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0" yWindow="2625" windowWidth="17895" windowHeight="53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2" i="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</calcChain>
</file>

<file path=xl/sharedStrings.xml><?xml version="1.0" encoding="utf-8"?>
<sst xmlns="http://schemas.openxmlformats.org/spreadsheetml/2006/main" count="4583" uniqueCount="1762">
  <si>
    <t>NO</t>
  </si>
  <si>
    <t>REGIONAL</t>
  </si>
  <si>
    <t>WITEL</t>
  </si>
  <si>
    <t>DATEL</t>
  </si>
  <si>
    <t>STO</t>
  </si>
  <si>
    <t>ORDER ID</t>
  </si>
  <si>
    <t>TYPE TRANSAKSI</t>
  </si>
  <si>
    <t>JENIS LAYANAN</t>
  </si>
  <si>
    <t>ALPRO</t>
  </si>
  <si>
    <t>NCLI</t>
  </si>
  <si>
    <t>POTS</t>
  </si>
  <si>
    <t>INTERNET</t>
  </si>
  <si>
    <t>STATUS RESUME</t>
  </si>
  <si>
    <t>STATUS MESSAGE</t>
  </si>
  <si>
    <t>ORDER DATE</t>
  </si>
  <si>
    <t>LAST UPDATE STATUS</t>
  </si>
  <si>
    <t>DURASI V1</t>
  </si>
  <si>
    <t>NAMA CUST</t>
  </si>
  <si>
    <t>NO HP</t>
  </si>
  <si>
    <t>ALAMAT</t>
  </si>
  <si>
    <t>K-CONTACT</t>
  </si>
  <si>
    <t>LONG</t>
  </si>
  <si>
    <t>LAT</t>
  </si>
  <si>
    <t>WFM ID</t>
  </si>
  <si>
    <t>STATUS WFM</t>
  </si>
  <si>
    <t>DESK TASK</t>
  </si>
  <si>
    <t>STATUS TASK</t>
  </si>
  <si>
    <t>TGL INSTALL</t>
  </si>
  <si>
    <t>AMCREW</t>
  </si>
  <si>
    <t>TEKNISI1</t>
  </si>
  <si>
    <t>PERSONID</t>
  </si>
  <si>
    <t>TEKNISI2</t>
  </si>
  <si>
    <t>PERSONID2</t>
  </si>
  <si>
    <t>TINDAK LANJUT</t>
  </si>
  <si>
    <t>KETERANGAN</t>
  </si>
  <si>
    <t>USER</t>
  </si>
  <si>
    <t>TGL TINDAK LANJUT</t>
  </si>
  <si>
    <t>PACKAGE NAME</t>
  </si>
  <si>
    <t>ESTIMASI DROP CORE</t>
  </si>
  <si>
    <t>PROVIDER</t>
  </si>
  <si>
    <t>SBY UTARA</t>
  </si>
  <si>
    <t>MGO</t>
  </si>
  <si>
    <t>AO</t>
  </si>
  <si>
    <t>2P</t>
  </si>
  <si>
    <t>ODP-DMO-FSU/20 FSU/D02/20.01</t>
  </si>
  <si>
    <t>Fallout (WFM)</t>
  </si>
  <si>
    <t>Provisioning Failed|WFM|IN59111339|Manja</t>
  </si>
  <si>
    <t>=DATEDIF(O2,NOW(),"d")&amp;" Hari"</t>
  </si>
  <si>
    <t>PAKUWON JATI</t>
  </si>
  <si>
    <t>SURABAYA, KEDUNGDORO, EMBONG MALANG, TP3</t>
  </si>
  <si>
    <t>DES;AM PRO AGI;PIC ILLNE 081216006684</t>
  </si>
  <si>
    <t>Kendala Pelanggan</t>
  </si>
  <si>
    <t>PENDING### tunggu konfirmasi AM, yg ngerjain mitra dari AM</t>
  </si>
  <si>
    <t>ADI PURWANTO</t>
  </si>
  <si>
    <t>- 11_1123;Biaya PSB[0] - BWY DL;BWY DL ~ Saluran Dua Arah(BothWay)[0] - C19034;C19034 ~ CS19 - IndiHome New Netizen POTS[0] - C19034~null~C19034_IN300;IN300 ~ Free Lokal dan SLJJ 300 Menit ~ C19034[45000] - EB1810;EB1810 ~ EBIS - Internet Netizen[0] - EB1810~null~EB1810_UNL;UNL ~ Internet-Link Unlimited Internet Usage ~ EB1810[0] - EB1810~null~EB1810_INETF10M;INETF10M ~ New Internet Fair Usage Speed 10 Mbps ~ EB1810[195000] - C16059_I;C16059 ~ CS16 - Perangkat Modem &amp; ONT (Internet)[0] - C16059_I~null~C16059_SWONT_I;SWONT ~ Biaya Sewa ONT ~ C16059 (Internet)[40000] Total (Sebelum PPN) : 280000</t>
  </si>
  <si>
    <t>DES - Property &amp; Construction</t>
  </si>
  <si>
    <t>1P</t>
  </si>
  <si>
    <t>ODP-DMO-FS/31 FS/D06/31.01</t>
  </si>
  <si>
    <t>Provisioning Failed|WFM|IN59137133|info staff di lokasi YBS sedang ke JKT, call RNA</t>
  </si>
  <si>
    <t>=DATEDIF(O3,NOW(),"d")&amp;" Hari"</t>
  </si>
  <si>
    <t>PT BANK UOB INDONESIA</t>
  </si>
  <si>
    <t>SURABAYA, EMBONG KALIASIN, PANGLIMA SUDIRMAN, 53</t>
  </si>
  <si>
    <t>PSB TLP ; SURABAYA, EMBONG KALIASIN, PANGLIMA SUDIRMAN, 53 ; PIC Alvin 081380129316</t>
  </si>
  <si>
    <t>CP RNA###info staff di lokasi YBS sedang ke JKT, call RNA</t>
  </si>
  <si>
    <t>USERLME</t>
  </si>
  <si>
    <t>- 1_1123;Biaya PSB ~ 1[450000] - BWY DL;BWY DL ~ Saluran Dua Arah(BothWay)[0] - C16001;C16001 ~ CS16 - POTS indiHOME 1000 Menit[0] - C16001~null~C16001_IN1000;IN1000 ~ Free Lokal dan SLJJ 1000 Menit ~ C16001[50000] Total (Sebelum PPN) : 50000</t>
  </si>
  <si>
    <t>DES - Finance Management</t>
  </si>
  <si>
    <t>OTB-DMO-235 OTB-DMO-235</t>
  </si>
  <si>
    <t>Provisioning Failed|WFM|IN59137279|info staff di lokasi YBS sedang ke JKT, call RNA</t>
  </si>
  <si>
    <t>=DATEDIF(O4,NOW(),"d")&amp;" Hari"</t>
  </si>
  <si>
    <t>ODP-DMO-FSU/32 FSU/D03/32.01</t>
  </si>
  <si>
    <t>Provisioning Failed|WFM|IN59205373|tunggu konformasi AM, karena penarikan gedung</t>
  </si>
  <si>
    <t>=DATEDIF(O5,NOW(),"d")&amp;" Hari"</t>
  </si>
  <si>
    <t>SURABAYA, KEDUNGDORO, EMBONG MALANG, TP3-LT2</t>
  </si>
  <si>
    <t>DES;AM PRO AGI;PIC YULIANTO 08123546726</t>
  </si>
  <si>
    <t>PENDING###tunggu konformasi AM, karena penarikan gedung</t>
  </si>
  <si>
    <t>TNS</t>
  </si>
  <si>
    <t>3P</t>
  </si>
  <si>
    <t>ODP-TDS-FCU/35 FCU/D04/35.01</t>
  </si>
  <si>
    <t>Provisioning Failed|WFM|IN59746507|CALL CP MINTA PENDING, RUMAH MASIH RENOV, ALPRO READY</t>
  </si>
  <si>
    <t>=DATEDIF(O6,NOW(),"d")&amp;" Hari"</t>
  </si>
  <si>
    <t>Harry Wijaya</t>
  </si>
  <si>
    <t>SURABAYA, LONTAR, VILLA BUKIT REGENCY PE 14, 27</t>
  </si>
  <si>
    <t>SPXTH02;Harry Wijaya;0811302201;PSB3P10MBPREMIUM</t>
  </si>
  <si>
    <t>Revoke Order</t>
  </si>
  <si>
    <t>CALL CP MINTA PENDING, RUMAH MASIH RENOV, ALPRO READY</t>
  </si>
  <si>
    <t>ANDRIAN WIJAYANTO</t>
  </si>
  <si>
    <t>- 11_2009;Biaya Initial Maintenance Service (IMS)[75000] - BWY DL;BWY DL ~ Saluran Dua Arah(BothWay)[0] - C19018;C19018 ~ CS19 - IndiHome New Premium POTS[0] - C19018~null~C19018_IN1000;IN1000 ~ Free Lokal dan SLJJ 1000 Menit ~ C19018[50000] - C19016;C19016 ~ CS19 - IndiHome New Premium INET[0] - C19016~null~C19016_UNL;UNL ~ Internet-Link Unlimited Internet Usage ~ C19016[0] - C19016~null~C19016_INETF10M;INETF10M ~ New Internet Fair Usage Speed 10 Mbps ~ C19016[195000] - C16059_I;C16059 ~ CS16 - Perangkat Modem &amp; ONT (Internet)[0] - C16059_I~null~C16059_SWONT_I;SWONT ~ Biaya Sewa ONT ~ C16059 (Internet)[40000] - C19019;C19019 ~ CS19 - IndiHome New Premium USEE[0] - C19019~null~C19019_USEEESSENH;USEEESSENH ~ New UseeTV Essential HD ~ C19019[100000] - C19019~null~C19019_USEE_HD;USEE_HD ~ USEE HD ~ C19019[0] - C16058;C16058 ~ CS16 - Perangkat Set Top Box[0] - C16058~null~C16058_SWSTBHYBRD;SWSTBHYBRD ~ Biaya Sewa Set Top Box Hybrid HD ~ C16058[40000] Total (Sebelum PPN) : 425000</t>
  </si>
  <si>
    <t>DCS - UCS V</t>
  </si>
  <si>
    <t>ODP-DMO-FQM/22</t>
  </si>
  <si>
    <t>Provisioning Failed|WFM|IN59331166|ALAMAT TIDAK KETEMU DAN CP RNA</t>
  </si>
  <si>
    <t>=DATEDIF(O7,NOW(),"d")&amp;" Hari"</t>
  </si>
  <si>
    <t>Ali Topan</t>
  </si>
  <si>
    <t>SURABAYA,TAMBAKSARI,TAMBAKSARI,Ngaglik DKA, BARAT/47,60136, RT , RW</t>
  </si>
  <si>
    <t>MI;MYIR-10122538690001;SP@sju1;Ali Topan;087701884871</t>
  </si>
  <si>
    <t>Cancel Order</t>
  </si>
  <si>
    <t>CP RNA, kunjungan tdk ada yg kenal</t>
  </si>
  <si>
    <t>10 Mbps, 300 mnt, Movin, IndiHome Music Silver, IndiHome Study, Cloud Storage 8GB</t>
  </si>
  <si>
    <t>ODP-TDS-FCJ/22</t>
  </si>
  <si>
    <t>INPROGRESS</t>
  </si>
  <si>
    <t>AUTO SUBMIT</t>
  </si>
  <si>
    <t>=DATEDIF(O8,NOW(),"d")&amp;" Hari"</t>
  </si>
  <si>
    <t>ICKSU KWON</t>
  </si>
  <si>
    <t>APARTEMEN GRAHA GOLF 1908</t>
  </si>
  <si>
    <t>MI;MYIR-10122176190001;SPXFR20-B1901PIV;ICKSU KWON;0811353765101</t>
  </si>
  <si>
    <t>order auto submit</t>
  </si>
  <si>
    <t>MOCHAMAD SUKMA PRADHONO</t>
  </si>
  <si>
    <t>KNN</t>
  </si>
  <si>
    <t>ODP-KND-FDN/23 FDN/D03/23.01</t>
  </si>
  <si>
    <t>Provisioning Failed|WFM|IN59422360|ODP RED BESAR TUNNGU REPAIR ODP ODP KND FDN 23</t>
  </si>
  <si>
    <t>=DATEDIF(O9,NOW(),"d")&amp;" Hari"</t>
  </si>
  <si>
    <t>SANDRADI HALIM</t>
  </si>
  <si>
    <t>SURABAYA, SUMBERREJO, SUMBER REJO MAKMUR, 00, RT/RW 00/00</t>
  </si>
  <si>
    <t>TAM DBS2 / DEA_081236334423 / R5 / SURABAYA / DIGIBIZ 20 MBPS / PAK SOLEH CP 082150420223 / TIKOR -7.229203, 112.602303</t>
  </si>
  <si>
    <t>PENDING###GUDANG KOSONG, TUNGGU KONFIRMASI PELANGGAN</t>
  </si>
  <si>
    <t>DHEA FITRI RAMADHANI</t>
  </si>
  <si>
    <t>- 11_2009;Biaya Initial Maintenance Service (IMS)[75000] - BWY DL;BWY DL ~ Saluran Dua Arah(BothWay)[0] - DS1805;DS1805 ~ DSS18 - DigiBiz 2P POTS[0] - DS1805~null~DS1805_IN100;IN100 ~ Free Lokal dan SLJJ 100 Menit ~ DS1805[20000] - DS1804;DS1804 ~ DSS18 - DigiBiz 2P INET[0] - DS1804~null~DS1804_UNL;UNL ~ Internet-Link Unlimited Internet Usage ~ DS1804[0] - DS1804~null~DS1804_INETF20M;INETF20M ~ New Internet Fair Usage Speed 20 Mbps ~ DS1804[290000] - C16059_I;C16059 ~ CS16 - Perangkat Modem &amp; ONT (Internet)[0] - C16059_I~null~C16059_SWONT_I;SWONT ~ Biaya Sewa ONT ~ C16059 (Internet)[40000] Total (Sebelum PPN) : 350000</t>
  </si>
  <si>
    <t>DBS-Commerce &amp; Community Serv</t>
  </si>
  <si>
    <t>KPS</t>
  </si>
  <si>
    <t>ODP-KBL-FAT/11 FAT/D03/11.01</t>
  </si>
  <si>
    <t>Provisioning Failed|WFM|IN60082977|manja</t>
  </si>
  <si>
    <t>=DATEDIF(O10,NOW(),"d")&amp;" Hari"</t>
  </si>
  <si>
    <t>BANK RAKYAT INDONESIA KANTOR DAERAH JATIM</t>
  </si>
  <si>
    <t>SURABAYA, KENJERAN, KENJERAN, 228-230</t>
  </si>
  <si>
    <t>DES;AM PRO NANDA;PIC SYAMSUL 0817303666523</t>
  </si>
  <si>
    <t>SUDAH TERPASANG DI SC501866166</t>
  </si>
  <si>
    <t>ARIS FRISTIAWAN</t>
  </si>
  <si>
    <t>- 1_1123;Biaya PSB ~ 1[450000] - BWY DL;BWY DL ~ Saluran Dua Arah(BothWay)[0] - EB1811;EB1811 ~ EBIS - POTS Netizen[0] - EB1811~null~EB1811_IN100;IN100 ~ Free Lokal dan SLJJ 100 Menit ~ EB1811[40000] - EB1810;EB1810 ~ EBIS - Internet Netizen[0] - EB1810~null~EB1810_UNL;UNL ~ Internet-Link Unlimited Internet Usage ~ EB1810[0] - EB1810~null~EB1810_INETF20M;INETF20M ~ New Internet Fair Usage Speed 20 Mbps ~ EB1810[295000] - C16059_I;C16059 ~ CS16 - Perangkat Modem &amp; ONT (Internet)[0] - C16059_I~null~C16059_SWONT_I;SWONT ~ Biaya Sewa ONT ~ C16059 (Internet)[40000] Total (Sebelum PPN) : 375000</t>
  </si>
  <si>
    <t>DES - Banking Management 1</t>
  </si>
  <si>
    <t>ODP-KBL-FAT/10 FAT/D03/10.01</t>
  </si>
  <si>
    <t>Provisioning Failed|WFM|IN59524547|Pending, Manja Ulang</t>
  </si>
  <si>
    <t>=DATEDIF(O11,NOW(),"d")&amp;" Hari"</t>
  </si>
  <si>
    <t>SUDAH TERPASANG DI SC501866478</t>
  </si>
  <si>
    <t>Provisioning Failed|WFM|IN59526936|manja ulang</t>
  </si>
  <si>
    <t>=DATEDIF(O12,NOW(),"d")&amp;" Hari"</t>
  </si>
  <si>
    <t>SUDAH TERPASANG DI SC501866814</t>
  </si>
  <si>
    <t>ODP-DMO-FDB/11</t>
  </si>
  <si>
    <t>OSS - FALLOUT</t>
  </si>
  <si>
    <t>Provisioning Failed</t>
  </si>
  <si>
    <t>=DATEDIF(O13,NOW(),"d")&amp;" Hari"</t>
  </si>
  <si>
    <t>Mashar Arifin (087876000028)</t>
  </si>
  <si>
    <t>SURABAYA,GUNDIH,GUNDIH,DEMAK TIMUR, 22B,60172, RT , RW</t>
  </si>
  <si>
    <t>MI;MYIR-10124206540001;SPRAYAN;Mashar Arifin (087876000028);0878760000288</t>
  </si>
  <si>
    <t>Management Janji</t>
  </si>
  <si>
    <t>FCC</t>
  </si>
  <si>
    <t>10 Mbps, UseeTV Entry, Free Local SLJJ 100 menit, Movin Phone, HOOQ, Iflix, Catchplay, UseeSports, IndiKids Lite</t>
  </si>
  <si>
    <t>ODP-DMO-FQH/17</t>
  </si>
  <si>
    <t>Provisioning Failed|||Failed to create and start the order due to oracle.communications.ordermanagement.ws.OrderTransact</t>
  </si>
  <si>
    <t>=DATEDIF(O14,NOW(),"d")&amp;" Hari"</t>
  </si>
  <si>
    <t>KURNIAWAN ARI UTOMO</t>
  </si>
  <si>
    <t>SURABAYA,WONOREJO,WONOREJO,WONOREJO 2, 71/E,60296, RT , RW</t>
  </si>
  <si>
    <t>MI;MYIR-10124797120001;SPREI70-B1132PIU;KURNIAWAN ARI UTOMO;081231558060</t>
  </si>
  <si>
    <t>GRESIK</t>
  </si>
  <si>
    <t>KDE</t>
  </si>
  <si>
    <t>ODP-KDE-FAD/46</t>
  </si>
  <si>
    <t>Provisioning Failed|WFM|IN59712483|manja</t>
  </si>
  <si>
    <t>=DATEDIF(O15,NOW(),"d")&amp;" Hari"</t>
  </si>
  <si>
    <t>MAYA WIDYANINGSIH PALA</t>
  </si>
  <si>
    <t>MENGANTI,MENGANTI,MENGANTI,BIBIS, DS, KIDUL/ZR-F4,61174, RT , RW</t>
  </si>
  <si>
    <t>MI;MYIR-10125605820001;SPXTH02-B1152PIU;MAYA WIDYANINGSIH PALA;08194970880701</t>
  </si>
  <si>
    <t>Kendala Teknik</t>
  </si>
  <si>
    <t>ODP FULL###ODP KDE FAD/46 FULL</t>
  </si>
  <si>
    <t>FATHUR AHMADI</t>
  </si>
  <si>
    <t>10 Mbps, Usee Entry, HOOQ, Iflix, Catchplay, IndiHome Music Gold</t>
  </si>
  <si>
    <t>ODP-KBL-FBY/20</t>
  </si>
  <si>
    <t>=DATEDIF(O16,NOW(),"d")&amp;" Hari"</t>
  </si>
  <si>
    <t>MOLIJA</t>
  </si>
  <si>
    <t>SURABAYA,TAMBAKREJO,TAMBAKREJO,KAPASARI PEDUKUAN, .,60142, RT 6, RW 10</t>
  </si>
  <si>
    <t>MI;MYIR-10127065100002;SPNDW04;MOLIJA;0857998060681</t>
  </si>
  <si>
    <t>ALAMAT TIDAK SESUAI DILOKASIH TIDAK ADA YG KENAL DGN NAMA TERSEBUT CP RNA</t>
  </si>
  <si>
    <t>ODP-KBL-FAU/22</t>
  </si>
  <si>
    <t>2 | Process SOA (Registered)</t>
  </si>
  <si>
    <t>SUCCESS</t>
  </si>
  <si>
    <t>=DATEDIF(O17,NOW(),"d")&amp;" Hari"</t>
  </si>
  <si>
    <t>Riffandi</t>
  </si>
  <si>
    <t>SURABAYA,RANGKAH,RANGKAH,KAPAS KRAMPUNG, 131,60135, RT , RW</t>
  </si>
  <si>
    <t>MI;MYIR-10127090230001;SPRAN19-B1152PIU;Riffandi;0812340587811</t>
  </si>
  <si>
    <t>Kendala Sistem</t>
  </si>
  <si>
    <t>SUDAH TERPASANG DI SC501462579</t>
  </si>
  <si>
    <t>RACHMANIA ILAVI</t>
  </si>
  <si>
    <t>20 Mbps, Usee Entry, HOOQ, Iflix, Catchplay, IndiHome Music Gold</t>
  </si>
  <si>
    <t>CRM</t>
  </si>
  <si>
    <t>ODP-CRM-FN/06</t>
  </si>
  <si>
    <t>Provisioning Failed|WFM|IN60016699|pending manja</t>
  </si>
  <si>
    <t>=DATEDIF(O18,NOW(),"d")&amp;" Hari"</t>
  </si>
  <si>
    <t>Taufik Hidayat</t>
  </si>
  <si>
    <t>CERME,CERME,CERME,CERME KIDUL, Raya66A,61171, RT , RW</t>
  </si>
  <si>
    <t>MI;MYIR-10127474980001;SPKRS12-B1573NRI;Taufik Hidayat;081259847886</t>
  </si>
  <si>
    <t>ODP FULL###ODP CRM NO LABEL PENUH</t>
  </si>
  <si>
    <t>ODP-DMO-FDL/32</t>
  </si>
  <si>
    <t>=DATEDIF(O19,NOW(),"d")&amp;" Hari"</t>
  </si>
  <si>
    <t>I Nengah rustika ch DRS</t>
  </si>
  <si>
    <t>Sawahan Baru Gg. I No.20, RW.03, Petemon, Kec. Sawahan, Kota SBY, Jawa Timur 60252, Indonesia, null, 60252, Kota Surabaya, Kecamatan Sawahan, Jawa Timur</t>
  </si>
  <si>
    <t>MI;MYIR-10126699130002;SPXLV01;I Nengah rustika ch DRS;081236125019</t>
  </si>
  <si>
    <t>ODP-DMO-FPD/43</t>
  </si>
  <si>
    <t>=DATEDIF(O20,NOW(),"d")&amp;" Hari"</t>
  </si>
  <si>
    <t>A RAJI</t>
  </si>
  <si>
    <t>SURABAYA,TEMBOK DUKUH,TEMBOK DUKUH,DEMAK JAYA 3, 75,60173, RT , RW</t>
  </si>
  <si>
    <t>MI;MYIR-10127509210001;SPDNN03-L1493IK;A RAJI;081939377774</t>
  </si>
  <si>
    <t>10 Mbps, UseeTV Entry, Free Local SLJJ 100 menit, Movin Phone, HOOQ, Iflix, Catchplay, Fox Action Movie, IndiKids Lite</t>
  </si>
  <si>
    <t>GSK</t>
  </si>
  <si>
    <t>ODP-GSK-FD/07</t>
  </si>
  <si>
    <t>Provisioning Failed|WFM|IN61395103|manja</t>
  </si>
  <si>
    <t>=DATEDIF(O21,NOW(),"d")&amp;" Hari"</t>
  </si>
  <si>
    <t>ANGGRAINI MEY ASTUTIK</t>
  </si>
  <si>
    <t>GRESIK,Kelurahan KEDANYANG,Kelurahan KEDANYANG,KEDANYANG, EmeralC9/14,61161, RT , RW</t>
  </si>
  <si>
    <t>MI;MYIR-10127932760001;SPUMA09-B1440NRI;ANGGRAINI MEY ASTUTIK;0878555350050</t>
  </si>
  <si>
    <t>dobel input dgn sc501328295</t>
  </si>
  <si>
    <t>KJR</t>
  </si>
  <si>
    <t>ODP-MYR-FVL/79</t>
  </si>
  <si>
    <t>Provisioning Failed|WFM|IN61311051|manja</t>
  </si>
  <si>
    <t>=DATEDIF(O22,NOW(),"d")&amp;" Hari"</t>
  </si>
  <si>
    <t>Ike</t>
  </si>
  <si>
    <t>SURABAYA,PACARKEMBANG,PACARKEMBANG,PACAR KEMBANG 5 C, 24,60132, RT , RW</t>
  </si>
  <si>
    <t>MI;MYIR-10127870520001;SPMUI46;Ike;082335360624</t>
  </si>
  <si>
    <t>ODP FULL###Odp satu satunya di depan gang penuh pasif 1:8 sudah tervaldat penuh ODP-MYR-FVL/30 -7.260004,112.767592</t>
  </si>
  <si>
    <t>SUPARNO</t>
  </si>
  <si>
    <t>ODP-CRM-FN/17</t>
  </si>
  <si>
    <t>=DATEDIF(O23,NOW(),"d")&amp;" Hari"</t>
  </si>
  <si>
    <t>M Rofii</t>
  </si>
  <si>
    <t>CERME,CERME,CERME,CERME KIDUL 7, .,61171, RT 2, RW 5</t>
  </si>
  <si>
    <t>MI;MYIR-10128068020001;SPPRS18-B1291NRI;M Rofii;081331508564</t>
  </si>
  <si>
    <t>10 Mbps, bonus Platform Game, 100 mnt panggilan Lokal-SLJJ &amp; UseeTV Entry</t>
  </si>
  <si>
    <t>=DATEDIF(O24,NOW(),"d")&amp;" Hari"</t>
  </si>
  <si>
    <t>BPG</t>
  </si>
  <si>
    <t>ODP-BPG-FE/02</t>
  </si>
  <si>
    <t>=DATEDIF(O25,NOW(),"d")&amp;" Hari"</t>
  </si>
  <si>
    <t>Akhmad Bagus Kurniawan</t>
  </si>
  <si>
    <t>BALONG PANGGANG,DAWAR BLANDONG,DAWAR BLANDONG,SIDOKERTO, DS, .,61354, RT 1, RW 2</t>
  </si>
  <si>
    <t>MI;MYIR-10128181550001;SPPRE12-B1291NRI;Akhmad Bagus Kurniawan;085731984544</t>
  </si>
  <si>
    <t>SDY</t>
  </si>
  <si>
    <t>ODP-SDY-FU/10</t>
  </si>
  <si>
    <t>=DATEDIF(O26,NOW(),"d")&amp;" Hari"</t>
  </si>
  <si>
    <t>Siti muafah</t>
  </si>
  <si>
    <t>SIDAYU,UJUNG PANGKAH,UJUNG PANGKAH,PANGKAH KULON, DS, .,61154, RT 5, RW 10</t>
  </si>
  <si>
    <t>MI;MYIR-10127723170001;SPPRE31-B1291NRI;Siti muafah;087756532754</t>
  </si>
  <si>
    <t>ODP-BPG-FA/54</t>
  </si>
  <si>
    <t>=DATEDIF(O27,NOW(),"d")&amp;" Hari"</t>
  </si>
  <si>
    <t>Agus Prabudiono</t>
  </si>
  <si>
    <t>BALONG PANGGANG,BALONG PANGGANG,BALONG PANGGANG,RAYA DAPET, .,61173, RT 7, RW 4</t>
  </si>
  <si>
    <t>MI;MYIR-10128217110002;SPPRE12-B1291NRI;Agus Prabudiono;085775143564</t>
  </si>
  <si>
    <t>=DATEDIF(O28,NOW(),"d")&amp;" Hari"</t>
  </si>
  <si>
    <t>Sunaryo ST</t>
  </si>
  <si>
    <t>BALONG PANGGANG,BALONG PANGGANG,BALONG PANGGANG,DAPET, DS, .,61173, RT 7, RW 4</t>
  </si>
  <si>
    <t>MI;MYIR-10128242640001;SPKSB07-B1274NRI;Sunaryo ST;08213192856701</t>
  </si>
  <si>
    <t>ODP-GSK-FY/75</t>
  </si>
  <si>
    <t>=DATEDIF(O29,NOW(),"d")&amp;" Hari"</t>
  </si>
  <si>
    <t>DYAH NIKEN SARASWATI</t>
  </si>
  <si>
    <t>Perumahan Graha Agung Residence Blok A No.2A, Bedilan, Kec. Gresik, Kabupaten Gresik, Jawa Timur</t>
  </si>
  <si>
    <t>MI;MYIR-10127296520001;SPKCD05-B1175PIU;DYAH NIKEN SARASWATI;082233301186</t>
  </si>
  <si>
    <t>KLN</t>
  </si>
  <si>
    <t>ODP-KLN-FAS/27</t>
  </si>
  <si>
    <t>=DATEDIF(O30,NOW(),"d")&amp;" Hari"</t>
  </si>
  <si>
    <t>ABDUL WAHAB</t>
  </si>
  <si>
    <t>Jl. Tambak Osowilangon 7 No.45 RT.000/RW.00, Greges, Kec. Asemrowo, Kota SBY, Jawa Timur 60183, Indonesia, null, 60183, Kota Surabaya, Kecamatan Asemrowo, Jawa Timur</t>
  </si>
  <si>
    <t>MI;MYIR-10127185910008;SPRTI01-B1175PIU;ABDUL WAHAB;0878660452322</t>
  </si>
  <si>
    <t>DOBEL INPUT 501330300</t>
  </si>
  <si>
    <t>UDAYANA ANGGA PRADANA</t>
  </si>
  <si>
    <t>ODP-GSK-FC/17</t>
  </si>
  <si>
    <t>=DATEDIF(O31,NOW(),"d")&amp;" Hari"</t>
  </si>
  <si>
    <t>Sofan Priyono</t>
  </si>
  <si>
    <t>Gang Dahlia Rt 01/01 Kedanyang, Kec. Kebomas, Kabupaten Gresik, Jawa Timur 61124, Indonesia, null, 61124, Kabupaten Gresik, Kecamatan Kebomas, Jawa Timur cp 085236164330 082135413391 , dekat dengan warung kopi gapuro</t>
  </si>
  <si>
    <t>MI;MYIR-10127309190001;SPMAU05-B1912PYY;Sofan Priyono;085236164330</t>
  </si>
  <si>
    <t>ODP-KND-FEW/06</t>
  </si>
  <si>
    <t>=DATEDIF(O32,NOW(),"d")&amp;" Hari"</t>
  </si>
  <si>
    <t>SOEGITO HARTOYO</t>
  </si>
  <si>
    <t>Jl. Villa Darmo indah NO 18, kel. Sambikerep, Kec. Sambikerep, Kota SBY, Jawa Timur</t>
  </si>
  <si>
    <t>MI;MYIR-10127325890001;SPFIN02-B1175PIU;SOEGITO HARTOYO;081134410630</t>
  </si>
  <si>
    <t>TIDAK ADA JARINGAN FO, WILAYAH CITRALAND</t>
  </si>
  <si>
    <t>ODP-DMO-FMF/55</t>
  </si>
  <si>
    <t>Provisioning Failed|WFM|IN60139381|ODP full, sudah validasi</t>
  </si>
  <si>
    <t>=DATEDIF(O33,NOW(),"d")&amp;" Hari"</t>
  </si>
  <si>
    <t>mohamad indra</t>
  </si>
  <si>
    <t>SURABAYA,PENELEH,PENELEH,JAGALAN, 81,60274, RT , RW</t>
  </si>
  <si>
    <t>MI;MYIR-10128181720001;SPXSBU5;mohamad indra;081999979994</t>
  </si>
  <si>
    <t>ODP FULL###ODP full, sudah validasi</t>
  </si>
  <si>
    <t>ODP-DMO-FTK/01 FTK/D02/01.01</t>
  </si>
  <si>
    <t>Provisioning Failed|WFM|IN60255401|manja</t>
  </si>
  <si>
    <t>=DATEDIF(O34,NOW(),"d")&amp;" Hari"</t>
  </si>
  <si>
    <t>SURABAYA, KEDUNGDORO, EMBONG MALANG, OF19.01</t>
  </si>
  <si>
    <t>DES;AM PRO AGI;PIC ANGELA 081333740709</t>
  </si>
  <si>
    <t>PENDING###tunggu konfirmasi AM</t>
  </si>
  <si>
    <t>- 11_1123;Biaya PSB[0] - BWY DL;BWY DL ~ Saluran Dua Arah(BothWay)[0] - EB1811;EB1811 ~ EBIS - POTS Netizen[0] - EB1811~null~EB1811_IN100;IN100 ~ Free Lokal dan SLJJ 100 Menit ~ EB1811[40000] - EB1810;EB1810 ~ EBIS - Internet Netizen[0] - EB1810~null~EB1810_UNL;UNL ~ Internet-Link Unlimited Internet Usage ~ EB1810[0] - EB1810~null~EB1810_INETF50M;INETF50M ~ New Internet Fair Usage Speed 50 Mbps ~ EB1810[705000] - C16059_I;C16059 ~ CS16 - Perangkat Modem &amp; ONT (Internet)[0] - C16059_I~null~C16059_SWONT_I;SWONT ~ Biaya Sewa ONT ~ C16059 (Internet)[40000] Total (Sebelum PPN) : 785000</t>
  </si>
  <si>
    <t>LAMONGAN</t>
  </si>
  <si>
    <t>BDG</t>
  </si>
  <si>
    <t>ODP-BDG-FB/02</t>
  </si>
  <si>
    <t>Provisioning Failed|WFM|IN61099099|manja</t>
  </si>
  <si>
    <t>=DATEDIF(O35,NOW(),"d")&amp;" Hari"</t>
  </si>
  <si>
    <t>RAFI ULFATH RAHMADHANA</t>
  </si>
  <si>
    <t>BRONDONG,BRONDONG,BRONDONG,SEDAYU LAWAS, TUBAN-GSK,62263, RT --, RW --</t>
  </si>
  <si>
    <t>MI;MYIR-10128601460001;SPNOP87;RAFI ULFATH RAHMADHANA;08527868585</t>
  </si>
  <si>
    <t>double sc 501384906</t>
  </si>
  <si>
    <t>RATNA EKASARI PRIHANDINI</t>
  </si>
  <si>
    <t>20 Mbps, 300 mnt, Movin, IndiHome Music Silver, IndiHome Study, Cloud Storage 8GB</t>
  </si>
  <si>
    <t>ODP-GSK-FFA/18</t>
  </si>
  <si>
    <t>Provisioning Failed|WFM|IN60256119|Manja</t>
  </si>
  <si>
    <t>=DATEDIF(O36,NOW(),"d")&amp;" Hari"</t>
  </si>
  <si>
    <t>masfuh</t>
  </si>
  <si>
    <t>GRESIK,Kelurahan SUCI,Kelurahan SUCI,SUCI, DS, .,61151, RT 2, RW 4</t>
  </si>
  <si>
    <t>MI;MYIR-10129525560001;SPSWD72-B1291NRI;masfuh;081335489879</t>
  </si>
  <si>
    <t>ODP FULL###ODP GSK FW 38 PENUH</t>
  </si>
  <si>
    <t>VERINANIKA NORMA JELITA</t>
  </si>
  <si>
    <t>ODP-CRM-FS/01 FS/D01/01.01</t>
  </si>
  <si>
    <t>Provisioning Failed|WFM|IN60300834|manja</t>
  </si>
  <si>
    <t>=DATEDIF(O37,NOW(),"d")&amp;" Hari"</t>
  </si>
  <si>
    <t>SYAHRONI AHMAD</t>
  </si>
  <si>
    <t>GRESIK , JOGODALU , JOGODALU , 1</t>
  </si>
  <si>
    <t>TAMDBS1/NUR YUSUF/R5/GRESIK JAWA TIMUR/2P/STREAMIX 20MB/SYAHRONI AHMAD/6281803333895 / 6282144154216/JL MAWAR KEL BANTER /JOGODALU RT12/03 KEC BENJENG GRESIK JATIM</t>
  </si>
  <si>
    <t>ALAMAT###call cp rna, alamat gak ketemu</t>
  </si>
  <si>
    <t>- 11_2009;Biaya Initial Maintenance Service (IMS)[150000] - C19189;C19189 ~ CS19 - IndiHome Streamix INET[0] - C19189~null~C19189_UNL;UNL ~ Internet-Link Unlimited Internet Usage ~ C19189[0] - C19189~null~38172;C19189||11||Abodemen 0[0] - C19189~null~C19189_INETF20M;INETF20M ~ New Internet Fair Usage Speed 20 Mbps ~ C19189[265000] - C16059_I;C16059 ~ CS16 - Perangkat Modem &amp; ONT (Internet)[0] - C16059_I~null~C16059_SWONT_I;SWONT ~ Biaya Sewa ONT ~ C16059 (Internet)[20000] - C19241;C19241 ~ CS19 - IndiHome Streamix Digital Service[0] - C19241~null~C19241_MEL_G;MEL_G ~ Melon Gold ~ C19241[10000] - C19190;C19190 ~ CS19 - IndiHome Streamix USEE + OTT[0] - C19190~null~C19190_USEEENTRYH;USEEENTRYH ~ New UseeTV Entry HD ~ C19190[40000] - C19190~null~C19190_USEE_HD;USEE_HD ~ USEE HD ~ C19190[0] - C19190~null~C19190_OTTIFLIX02;OTTIFLIX02 ~ OTT Iflix Hardbundling ~ C19190[10000] - C19190~null~C19190_OTTCATCH02;OTTCATCH02 ~ OTT Catchplay Hardbundling ~ C19190[10000] - C19190~null~C19190_OTTHOOQ02;OTTHOOQ02 ~ OTT Hooq Hardbundling ~ C19190[10000] - C19190~null~38168;C19190||11||Abodemen 0[0] - C16058;C16058 ~ CS16 - Perangkat Set Top Box[0] - C16058~null~C16058_SWSTBHYBRD;SWSTBHYBRD ~ Biaya Sewa Set Top Box Hybrid HD ~ C16058[20000] Total (Sebelum PPN) : 385000</t>
  </si>
  <si>
    <t>ODP-GSK-FM/100</t>
  </si>
  <si>
    <t>Provisioning Failed|WFM|IN60412020|manja</t>
  </si>
  <si>
    <t>=DATEDIF(O38,NOW(),"d")&amp;" Hari"</t>
  </si>
  <si>
    <t>SUCI ARDIA PRAMISTA ANJARSARI</t>
  </si>
  <si>
    <t>SURABAYA,TAMBAK OSO WILANGUN,TAMBAK OSO WILANGUN,TAMBAK OSO WILANGUN 9, 43,60191, RT , RW</t>
  </si>
  <si>
    <t>MI;MYIR-10129741580001;SPXMT92-B1170PIU;SUCI ARDIA PRAMISTA ANJARSARI;08785392606002</t>
  </si>
  <si>
    <t>PT2/PT3###PT3 tidak ada jaringan fo dan tiang | -7.209698,112.651493|FCC</t>
  </si>
  <si>
    <t>ODP-KDE-FAL/14</t>
  </si>
  <si>
    <t>Provisioning Failed|WFM|IN61121057|manja</t>
  </si>
  <si>
    <t>=DATEDIF(O39,NOW(),"d")&amp;" Hari"</t>
  </si>
  <si>
    <t>ACH MUHLISUN</t>
  </si>
  <si>
    <t>GRESIK,KEDAMEAN,KEDAMEAN,BELAHAREJO, DS, 99,61175, RT 11, RW 04</t>
  </si>
  <si>
    <t>MI;MYIR-10123835400001;SPXAS01-B1175PIU;ACH MUHLISUN;082253855678</t>
  </si>
  <si>
    <t>ODP FULL###ODP KDE FAK 43 PENUH</t>
  </si>
  <si>
    <t>ODP-GSK-FAM/09</t>
  </si>
  <si>
    <t>Provisioning Failed|WFM|IN61504983|sudah ps dg no inet 152412200795</t>
  </si>
  <si>
    <t>=DATEDIF(O40,NOW(),"d")&amp;" Hari"</t>
  </si>
  <si>
    <t>junaidi zamhari</t>
  </si>
  <si>
    <t>GRESIK,Kelurahan KLANGONAN,Kelurahan KLANGONAN,SUNAN PRAPEN, P-City9/D36,61124, RT , RW</t>
  </si>
  <si>
    <t>MI;MYIR-10130423090001;SPNYL12-B1274NRI;junaidi zamhari;0812525997988</t>
  </si>
  <si>
    <t>dobel input dgn sc501499037</t>
  </si>
  <si>
    <t>ODP-DMO-FSU/24 FSU/D03/24.01</t>
  </si>
  <si>
    <t>Provisioning Failed|WFM|IN60539653|manja</t>
  </si>
  <si>
    <t>=DATEDIF(O41,NOW(),"d")&amp;" Hari"</t>
  </si>
  <si>
    <t>SURABAYA, KEDUNGDORO, EMBONG MALANG, TP3.LT2</t>
  </si>
  <si>
    <t>DES;AM PRO AGI;PIC WILLY 082388304405</t>
  </si>
  <si>
    <t>- 11_1123;Biaya PSB[0] - BWY DL;BWY DL ~ Saluran Dua Arah(BothWay)[0] - EB1811;EB1811 ~ EBIS - POTS Netizen[0] - EB1811~null~EB1811_IN100;IN100 ~ Free Lokal dan SLJJ 100 Menit ~ EB1811[40000] - EB1810;EB1810 ~ EBIS - Internet Netizen[0] - EB1810~null~EB1810_UNL;UNL ~ Internet-Link Unlimited Internet Usage ~ EB1810[0] - EB1810~null~EB1810_INETF10M;INETF10M ~ New Internet Fair Usage Speed 10 Mbps ~ EB1810[195000] - C16059_I;C16059 ~ CS16 - Perangkat Modem &amp; ONT (Internet)[0] - C16059_I~null~C16059_SWONT_I;SWONT ~ Biaya Sewa ONT ~ C16059 (Internet)[40000] Total (Sebelum PPN) : 275000</t>
  </si>
  <si>
    <t>ODP-GSK-FU/17</t>
  </si>
  <si>
    <t>Provisioning Failed|WFM|IN60717045|manja</t>
  </si>
  <si>
    <t>=DATEDIF(O42,NOW(),"d")&amp;" Hari"</t>
  </si>
  <si>
    <t>Noviyanti charlina</t>
  </si>
  <si>
    <t>GRESIK,Kelurahan ROMO KALISARI,ROMO KALISARI, .,60192, RT 3, RW 1</t>
  </si>
  <si>
    <t>MI;MYIR-10131847790001;SPAKA15-B1573NRI;Noviyanti charlina;082260158886</t>
  </si>
  <si>
    <t>ODP FULL###ODP GSK FU 17 PENUH</t>
  </si>
  <si>
    <t>GCL-MGO-F35/08 GCL/F35/08.01</t>
  </si>
  <si>
    <t>Provisioning Failed|WFM|IN60663631|manja</t>
  </si>
  <si>
    <t>=DATEDIF(O43,NOW(),"d")&amp;" Hari"</t>
  </si>
  <si>
    <t>PAKUWON PERMAI</t>
  </si>
  <si>
    <t>SURABAYA, EMBONG KALIASIN, BASUKI RACHMAD, telkom</t>
  </si>
  <si>
    <t>DES;ASMAN YUYUN 081332996762</t>
  </si>
  <si>
    <t>PENDING###tunggu konfirmasi</t>
  </si>
  <si>
    <t>- 11_1123;Biaya PSB[0] - EB1810;EB1810 ~ EBIS - Internet Netizen[0] - EB1810~null~EB1810_UNL;UNL ~ Internet-Link Unlimited Internet Usage ~ EB1810[0] - EB1810~null~EB1810_INETF50M;INETF50M ~ New Internet Fair Usage Speed 50 Mbps ~ EB1810[705000] - C16059_I;C16059 ~ CS16 - Perangkat Modem &amp; ONT (Internet)[0] - C16059_I~null~C16059_SWONT_I;SWONT ~ Biaya Sewa ONT ~ C16059 (Internet)[40000] Total (Sebelum PPN) : 745000</t>
  </si>
  <si>
    <t>ODP-KDE-FAD/41 FAD/D03/41.01</t>
  </si>
  <si>
    <t>Provisioning Failed|WFM|IN60774273|manja</t>
  </si>
  <si>
    <t>=DATEDIF(O44,NOW(),"d")&amp;" Hari"</t>
  </si>
  <si>
    <t>RITA OKTOBERINA NINGSIH</t>
  </si>
  <si>
    <t>MENGANTI, MENGANTI, SIDOJANGKUNG, DS, 00, RT/RW 23/02</t>
  </si>
  <si>
    <t>TAM DBS1 / WINAR / R5 / SBY / 2P INET 10MB / PHONIX / IBU RITA +62 813-5963-2187 / +62 822-5744-1410</t>
  </si>
  <si>
    <t>CP RNA###call cp rna</t>
  </si>
  <si>
    <t>- 11_2009;Biaya Initial Maintenance Service (IMS)[150000] - BWY DL;BWY DL ~ Saluran Dua Arah(BothWay)[0] - C19191;C19191 ~ CS19 - IndiHome Phoenix POTS + MOVIN[0] - C19191~null~C19191_MVNPHONE1;MVNPHONE1 ~ Movin Phone 1 ~ C19191[5000] - C19191~null~C19191_IN300;IN300 ~ Free Lokal dan SLJJ 300 Menit ~ C19191[25000] - C19192;C19192 ~ CS19 - IndiHome Phoenix INET[0] - C19192~null~C19192_UNL;UNL ~ Internet-Link Unlimited Internet Usage ~ C19192[0] - C19192~null~C19192_INETF10M;INETF10M ~ New Internet Fair Usage Speed 10 Mbps ~ C19192[207000] - C16059_I;C16059 ~ CS16 - Perangkat Modem &amp; ONT (Internet)[0] - C16059_I~null~C16059_SWONT_I;SWONT ~ Biaya Sewa ONT ~ C16059 (Internet)[20000] - C19197;C19197 ~ CS19 - IndiHome Phoenix CLOUD[0] - C19197~null~38253;C19197||11||Abodemen 0[0] - C19197~null~C19197_CLOSTR8G;CLOSTR8G ~ Cloud Storage for IndiHome Berbayar 8GB Fixed &amp; Recurring ~ C19197[8000] - C19197~null~C19197_MEL_S;MEL_S ~ Melon Silver ~ C19197[5000] - C19197~null~C19197_OTTSTUDY1;OTTSTUDY1 ~ OTT Indihome Study 1 ~ C19197[10000] Total (Sebelum PPN) : 280000</t>
  </si>
  <si>
    <t>ODP-KND-FAE/08 FAE/D03/08.01</t>
  </si>
  <si>
    <t>Fallout (UIM)</t>
  </si>
  <si>
    <t>Provisioning Failed|UIM|IN61787449|1006:Invalid TN_Reservation_ID in request</t>
  </si>
  <si>
    <t>=DATEDIF(O45,NOW(),"d")&amp;" Hari"</t>
  </si>
  <si>
    <t>UD RIMBA ABADI</t>
  </si>
  <si>
    <t>RAYA BIBIS 24</t>
  </si>
  <si>
    <t>[PLSCSR:PL60272];TDS;RIMBA;08980556677 / 081216552772;PSB 1P VOICE 235RB+PPN;MUJI</t>
  </si>
  <si>
    <t>sudah terpasang 501956670</t>
  </si>
  <si>
    <t>- 1_2009;Biaya Initial Maintenance Service (IMS) ~ 1[125000] - BWY DL;BWY DL ~ Saluran Dua Arah(BothWay)[0] - C17035;C17035 ~ CS17 - 1P POTS Only[0] - C17035~null~C17035_IN300;IN300 ~ Free Lokal dan SLJJ 300 Menit ~ C17035[195000] - C16059_V;C16059 ~ CS16 - Perangkat Modem &amp; ONT (Telepon)[0] - C16059_V~null~C16059_SWONT_V;SWONT ~ Biaya Sewa ONT ~ C16059 (Telepon)[40000] Total (Sebelum PPN) : 235000</t>
  </si>
  <si>
    <t>ODP-BDG-FC/59</t>
  </si>
  <si>
    <t>Provisioning Failed|WFM|IN61492682|double sc501637331</t>
  </si>
  <si>
    <t>=DATEDIF(O46,NOW(),"d")&amp;" Hari"</t>
  </si>
  <si>
    <t>MUNAWAROH</t>
  </si>
  <si>
    <t>BRONDONG,PACIRAN,BLIMBING, DS, GRENJENG80,62264, RT 02, RW 01</t>
  </si>
  <si>
    <t>MI;MYIR-10132404380001;SPMHR90-B1155NRI;MUNAWAROH;081319242414</t>
  </si>
  <si>
    <t>double sc501637331</t>
  </si>
  <si>
    <t>LKI</t>
  </si>
  <si>
    <t>ODP-LKS-FEE/12 FEE/D01/12.01</t>
  </si>
  <si>
    <t>AGREE : Lanjut Order by RIDHO.ARDIANSYAH RIDHO ARDIANSYAH|FCC DBS</t>
  </si>
  <si>
    <t>=DATEDIF(O47,NOW(),"d")&amp;" Hari"</t>
  </si>
  <si>
    <t>SANGGAR ANDY BAGUS PRABOWO</t>
  </si>
  <si>
    <t>SURABAYA, BABATAN, BABATAN PILANG 4, 14, RT/RW -/-</t>
  </si>
  <si>
    <t>TAMDBS2/DIDIT PP/TREG5/SURABAYA/STREAMIX 0Mb/BUDI 081237483338_UDIN 082132025244 Tikor -7.312334, 112.682968 Jl. Babatan Pilang IV No.14, wiyung, surabaya</t>
  </si>
  <si>
    <t>Sudah PS di SC 501679210</t>
  </si>
  <si>
    <t>- 11_2009;Biaya Initial Maintenance Service (IMS)[150000] - C19189;C19189 ~ CS19 - IndiHome Streamix INET[0] - C19189~null~C19189_UNL;UNL ~ Internet-Link Unlimited Internet Usage ~ C19189[0] - C19189~null~38172;C19189||11||Abodemen 0[0] - C19189~null~C19189_INETF10M;INETF10M ~ New Internet Fair Usage Speed 10 Mbps ~ C19189[200000] - C16059_I;C16059 ~ CS16 - Perangkat Modem &amp; ONT (Internet)[0] - C16059_I~null~C16059_SWONT_I;SWONT ~ Biaya Sewa ONT ~ C16059 (Internet)[20000] - C19241;C19241 ~ CS19 - IndiHome Streamix Digital Service[0] - C19241~null~C19241_MEL_G;MEL_G ~ Melon Gold ~ C19241[10000] - C19190;C19190 ~ CS19 - IndiHome Streamix USEE + OTT[0] - C19190~null~C19190_USEEENTRYH;USEEENTRYH ~ New UseeTV Entry HD ~ C19190[40000] - C19190~null~C19190_USEE_HD;USEE_HD ~ USEE HD ~ C19190[0] - C19190~null~C19190_OTTIFLIX02;OTTIFLIX02 ~ OTT Iflix Hardbundling ~ C19190[10000] - C19190~null~C19190_OTTCATCH02;OTTCATCH02 ~ OTT Catchplay Hardbundling ~ C19190[10000] - C19190~null~C19190_OTTHOOQ02;OTTHOOQ02 ~ OTT Hooq Hardbundling ~ C19190[10000] - C19190~null~38168;C19190||11||Abodemen 0[0] - C16058;C16058 ~ CS16 - Perangkat Set Top Box[0] - C16058~null~C16058_SWSTBHYBRD;SWSTBHYBRD ~ Biaya Sewa Set Top Box Hybrid HD ~ C16058[20000] Total (Sebelum PPN) : 320000</t>
  </si>
  <si>
    <t>ODP-DMO-FMC/07 FMC/D01/07.01</t>
  </si>
  <si>
    <t>Provisioning Failed|WFM|IN60905323|NO CANTIK jgn di cancel, tunggu tarik KU</t>
  </si>
  <si>
    <t>=DATEDIF(O48,NOW(),"d")&amp;" Hari"</t>
  </si>
  <si>
    <t>PT. Merak Bersaudara</t>
  </si>
  <si>
    <t>SURABAYA, KETABANG, MELATI, 20</t>
  </si>
  <si>
    <t>SP5083/SP/KKSM/REVALINA YUNIAR/R5/SBU/1P Tlp cantik/1 Sst/CP Candra 085234341678/DBS</t>
  </si>
  <si>
    <t>PENDING###NOCAN jgn di cancel</t>
  </si>
  <si>
    <t>- 1_1123;Biaya PSB ~ 1[1000000] - BWY DL;BWY DL ~ Saluran Dua Arah(BothWay)[0] - C16001;C16001 ~ CS16 - POTS indiHOME 1000 Menit[0] - C16001~null~C16001_IN1000;IN1000 ~ Free Lokal dan SLJJ 1000 Menit ~ C16001[50000] - C16059_V;C16059 ~ CS16 - Perangkat Modem &amp; ONT (Telepon)[0] - C16059_V~null~C16059_SWONT_V;SWONT ~ Biaya Sewa ONT ~ C16059 (Telepon)[40000] Total (Sebelum PPN) : 90000</t>
  </si>
  <si>
    <t>Provisioning Failed|WFM|IN60905476|NO CANTIK, jangan di cancel. tunggu tarik KU</t>
  </si>
  <si>
    <t>=DATEDIF(O49,NOW(),"d")&amp;" Hari"</t>
  </si>
  <si>
    <t>PT. MERAK BERSAUDARA</t>
  </si>
  <si>
    <t>SP5052/SP/KKSM/SITI ANNISA/R5/SBU/1P Tlp cantik/1 Sst/CP Candra 085234341678/DBS</t>
  </si>
  <si>
    <t>PENDING###NOCAN</t>
  </si>
  <si>
    <t>ODP-KBL-FBW/12 FBW/D02/12.01</t>
  </si>
  <si>
    <t>Provisioning Failed|UIM|IN61089441|1029:Reservation not found for Broadband CFS with Reservation ID : 14555416646</t>
  </si>
  <si>
    <t>=DATEDIF(O50,NOW(),"d")&amp;" Hari"</t>
  </si>
  <si>
    <t>MUCHLIS</t>
  </si>
  <si>
    <t>SURABAYA, WONOKUSUMO, BULAK JAYA 9, 56, RT/RW 007/015</t>
  </si>
  <si>
    <t>TAMCFF;188BGR;DB291297;MUCHLIS;PsbIHQuadPlayRp.300K;6281330064493/6281331006004</t>
  </si>
  <si>
    <t>INSTALASI###MANJA, KABEL PANJANG 200m MASIH BELUM TERSEDIA</t>
  </si>
  <si>
    <t>- 11_2009;Biaya Initial Maintenance Service (IMS)[75000] - BWY DL;BWY DL ~ Saluran Dua Arah(BothWay)[0] - C18121;C18121 ~ CS18 - Indihome Quadplay Kuadran 3 POTS[0] - C18121~null~C18121_IN100;IN100 ~ Free Lokal dan SLJJ 100 Menit ~ C18121[20000] - C18121~null~C18121_TM100;TM100 ~ Add On TM to TSEL (100 Menit) Free - Indihome ~ C18121[10000] - C18119;C18119 ~ CS18 - Indihome Quadplay Kuadran 3 INET[0] - C18119~null~C18119_UNL;UNL ~ Internet-Link Unlimited Internet Usage ~ C18119[0] - C18119~null~C18119_INETFL10M;INETFL10M ~ New Internet Value 10 Mbps ~ C18119[190000] - C16059_I;C16059 ~ CS16 - Perangkat Modem &amp; ONT (Internet)[0] - C16059_I~null~C16059_SWONT_I;SWONT ~ Biaya Sewa ONT ~ C16059 (Internet)[20000] - C18120;C18120 ~ CS18 - Indihome Quadplay Kuadran 3 USEE[0] - C18120~null~C18120_USEE_HD;USEE_HD ~ USEE HD ~ C18120[0] - C18120~null~C18120_USEEENTRYH;USEEENTRYH ~ New UseeTV Entry HD ~ C18120[40000] - C16058;C16058 ~ CS16 - Perangkat Set Top Box[0] - C16058~null~C16058_SWSTBHYBRD;SWSTBHYBRD ~ Biaya Sewa Set Top Box Hybrid HD ~ C16058[20000] Total (Sebelum PPN) : 300000</t>
  </si>
  <si>
    <t>ODP-DMO-FQ/13</t>
  </si>
  <si>
    <t>Provisioning Failed|WFM|IN61684384|DOBEL INPUT DENGAN SC-501695225</t>
  </si>
  <si>
    <t>=DATEDIF(O51,NOW(),"d")&amp;" Hari"</t>
  </si>
  <si>
    <t>RIO YANUAR DWINATA</t>
  </si>
  <si>
    <t>SURABAYA,KEDUNGDORO,SURABAYAN 4, 36,60261, RT , RW</t>
  </si>
  <si>
    <t>MI;MYIR-10133398980001;SPMRD05;RIO YANUAR DWINATA;082257814414</t>
  </si>
  <si>
    <t>sudah PS SC 501732869</t>
  </si>
  <si>
    <t>Value Low FUP 10 Mbps, useetv (entry)</t>
  </si>
  <si>
    <t>KRP</t>
  </si>
  <si>
    <t>ODP-BBE-FT/20 FT/D01/20.01</t>
  </si>
  <si>
    <t>Provisioning Failed|WFM|IN61787600|TERPASANG DI SC501563781</t>
  </si>
  <si>
    <t>=DATEDIF(O52,NOW(),"d")&amp;" Hari"</t>
  </si>
  <si>
    <t>ANGGUN ERVIANA</t>
  </si>
  <si>
    <t>SURABAYA, BANGKINGAN, TELAGA TANJUNG, RT03/RW03</t>
  </si>
  <si>
    <t>PT2SIMPLE</t>
  </si>
  <si>
    <t>sudah ps dg sc501563781</t>
  </si>
  <si>
    <t>ACHMAD BURHANI WIDIYANA</t>
  </si>
  <si>
    <t>- 11_2009;Biaya Initial Maintenance Service (IMS)[150000] - C19027;C19027 ~ CS19 - IndiHome Value INET + OTT[0] - C19027~null~C19027_UNL;UNL ~ Internet-Link Unlimited Internet Usage ~ C19027[0] - C19027~null~C19027_INETF10M;INETF10M ~ New Internet Fair Usage Speed 10 Mbps ~ C19027[200000] - C16059_I;C16059 ~ CS16 - Perangkat Modem &amp; ONT (Internet)[0] - C16059_I~null~C16059_SWONT_I;SWONT ~ Biaya Sewa ONT ~ C16059 (Internet)[40000] - C17030;C17030 ~ CS17 - New Indihome Lower Value USEETV[0] - C17030~null~C17030_USEE_HD;USEE_HD ~ USEE HD ~ C17030[0] - C17030~null~C17030_USEEENTRYH;USEEENTRYH ~ New UseeTV Entry HD ~ C17030[40000] - C16058;C16058 ~ CS16 - Perangkat Set Top Box[0] - C16058~null~C16058_SWSTBHYBRD;SWSTBHYBRD ~ Biaya Sewa Set Top Box Hybrid HD ~ C16058[20000] Total (Sebelum PPN) : 300000</t>
  </si>
  <si>
    <t>ODP-LKS-FN/37 FN/D03/37.01</t>
  </si>
  <si>
    <t>Provisioning Failed|WFM|IN61632547|pending manja</t>
  </si>
  <si>
    <t>=DATEDIF(O53,NOW(),"d")&amp;" Hari"</t>
  </si>
  <si>
    <t>baskoro nandiwardono</t>
  </si>
  <si>
    <t>SURABAYA , WIYUNG , WIYUNG PRAJA , 62</t>
  </si>
  <si>
    <t>TAMCFF;188BGR;DA220794;baskoro nandiwardono;PSBIndihomeQuadPlayRp.300.000;6282230944998</t>
  </si>
  <si>
    <t>ODP RETI###ODP REDAMAN TINGGI</t>
  </si>
  <si>
    <t>MUHAMAD ADI KURNIAWAN</t>
  </si>
  <si>
    <t>ODP-GSK-FAB/96 FAB/D07/96.01</t>
  </si>
  <si>
    <t>=DATEDIF(O54,NOW(),"d")&amp;" Hari"</t>
  </si>
  <si>
    <t>PT Indal Steel Pipe</t>
  </si>
  <si>
    <t>GRESIK, Kelurahan MANYAR SIDOMUKTI, MANYAR, Sukomulyo-Manyar</t>
  </si>
  <si>
    <t>SP5083/SP/KKSM/REVALINA YUNIAR/R5/SBU/3P INET 100MB/Indihome Prestige HSI/CP Stevanus 08113388906/DBS</t>
  </si>
  <si>
    <t>port otb loss</t>
  </si>
  <si>
    <t>- 1_1123;Biaya PSB ~ 1[150000] - BWY SN;BWY SN ~ Saluran Dua Arah dengan Spesial Number (BothWay)[57600] - C16001;C16001 ~ CS16 - POTS indiHOME 1000 Menit[0] - C16001~null~C16001_IN1000;IN1000 ~ Free Lokal dan SLJJ 1000 Menit ~ C16001[50000] - C19175;C19175 ~ CS19 - IndiHome Prestige INET[0] - C19175~null~C19175_UNL;UNL ~ Internet-Link Unlimited Internet Usage ~ C19175[0] - C19175~null~38096;C19175||11||Abodemen 0[0] - C19175~null~C19175_INETF100M;INETF100M ~ New Internet Fair Usage Speed 100 Mbps ~ C19175[822000] - C16059_I;C16059 ~ CS16 - Perangkat Modem &amp; ONT (Internet)[0] - C16059_I~null~C16059_SWONT_I;SWONT ~ Biaya Sewa ONT ~ C16059 (Internet)[40000] - C19019;C19019 ~ CS19 - IndiHome New Premium USEE[0] - C19019~null~C19019_USEEESSENH;USEEESSENH ~ New UseeTV Essential HD ~ C19019[100000] - C19019~null~C19019_USEE_HD;USEE_HD ~ USEE HD ~ C19019[0] - C19019~null~C19019_OTTIFLIX02;OTTIFLIX02 ~ OTT Iflix Hardbundling ~ C19019[10000] - C16058;C16058 ~ CS16 - Perangkat Set Top Box[0] - C16058~null~C16058_SWSTBHYB4K;SWSTBHYB4K ~ Biaya Sewa Set Top Box Hybrid 4K ~ C16058[60000] Total (Sebelum PPN) : 1139600</t>
  </si>
  <si>
    <t>DBS-Manufacture Business Serv</t>
  </si>
  <si>
    <t>BBA</t>
  </si>
  <si>
    <t>ODP-BBA-FAE/09</t>
  </si>
  <si>
    <t>Provisioning Failed|WFM|IN61297409|double sc501756050</t>
  </si>
  <si>
    <t>=DATEDIF(O55,NOW(),"d")&amp;" Hari"</t>
  </si>
  <si>
    <t>NOVIE EKA NURKUMALASARI</t>
  </si>
  <si>
    <t>BABAD,KEDUNG PRING,SIDOBANGUN, --,62272, RT 01, RW 01</t>
  </si>
  <si>
    <t>MI;MYIR-10133524410001;SPSAK05-B1440NRI;NOVIE EKA NURKUMALASARI;082334442597</t>
  </si>
  <si>
    <t>Provisioning Failed|WFM|IN61297409|double sc501756050 |WITEL</t>
  </si>
  <si>
    <t>ODP-GSK-FX/14 FX/D-01/14-01</t>
  </si>
  <si>
    <t>Provisioning Failed|WFM|IN61169272|pending manja</t>
  </si>
  <si>
    <t>=DATEDIF(O56,NOW(),"d")&amp;" Hari"</t>
  </si>
  <si>
    <t>KANTOR KOMUNITAS WARTAWAN GRESIK</t>
  </si>
  <si>
    <t>GRESIK, Kelurahan BEDILAN, BASUKI RAHMAT, 8</t>
  </si>
  <si>
    <t>PSB 1P-20MB/DGS GRESIK AM TRIO R5PA171288/CP. PAK RUDI 081946756712</t>
  </si>
  <si>
    <t>PENDING###nunggu konfirmasi KOMINFO</t>
  </si>
  <si>
    <t>- 11_1123;Biaya PSB[0] - C17036;C17036 ~ CS17 - 1P Internet Only[0] - C17036~null~C17036_UNL;UNL ~ Internet-Link Unlimited Internet Usage ~ C17036[0] - C17036~null~C17036_INETF20M;INETF20M ~ New Internet Fair Usage Speed 20 Mbps ~ C17036[310000] - C16059_I;C16059 ~ CS16 - Perangkat Modem &amp; ONT (Internet)[0] - C16059_I~null~C16059_SWONT_I;SWONT ~ Biaya Sewa ONT ~ C16059 (Internet)[40000] Total (Sebelum PPN) : 350000</t>
  </si>
  <si>
    <t>DGS-Local Government Service</t>
  </si>
  <si>
    <t>ODP-SDY-FA/10 FA/D02/10.01</t>
  </si>
  <si>
    <t>Provisioning Failed|WFM|IN61176988|MANJA ULANG</t>
  </si>
  <si>
    <t>=DATEDIF(O57,NOW(),"d")&amp;" Hari"</t>
  </si>
  <si>
    <t>KECAMATAN PANCENG</t>
  </si>
  <si>
    <t>GRESIK, Kecamatan PANCENG, DALEGAN, DS, 00</t>
  </si>
  <si>
    <t>ODP RETI###ODP SDY FA 17 UNSPEC -25,49 dbm</t>
  </si>
  <si>
    <t>ODP-KDE-FAJ/06</t>
  </si>
  <si>
    <t>Provisioning Failed|WFM|IN61166241|manja</t>
  </si>
  <si>
    <t>=DATEDIF(O58,NOW(),"d")&amp;" Hari"</t>
  </si>
  <si>
    <t>Rangga SuryoputroSE</t>
  </si>
  <si>
    <t>GRESIK,Kelurahan MENGANTI,PURI SAFIRA REGENCY BLOK J3, 2/J4,61174, RT , RW</t>
  </si>
  <si>
    <t>MI;MYIR-10134146940001;SPSWD72-B1291NRI;Rangga SuryoputroSE;081362068899</t>
  </si>
  <si>
    <t>dobel dengan SC501731127</t>
  </si>
  <si>
    <t>ODP-GSK-FF/92 ODP-GSK-FF/92</t>
  </si>
  <si>
    <t>Provisioning Failed|WFM|IN61211800|pending manja</t>
  </si>
  <si>
    <t>=DATEDIF(O59,NOW(),"d")&amp;" Hari"</t>
  </si>
  <si>
    <t>MALL PELAYANAN PBMKB GRESIK</t>
  </si>
  <si>
    <t>GRESIK, Kelurahan KEBOMAS, DR WAHIDIN SUDIROHUSODO, 245</t>
  </si>
  <si>
    <t>ODP-DMO-FQP/24</t>
  </si>
  <si>
    <t>Provisioning Failed|WFM|IN61862953|manja</t>
  </si>
  <si>
    <t>=DATEDIF(O60,NOW(),"d")&amp;" Hari"</t>
  </si>
  <si>
    <t>UDIN ANTOKO</t>
  </si>
  <si>
    <t>JL B Tunjungan Gedung Tec Lt UG No.30-31, Genteng, Kec. Genteng, Kota SBY, Jawa Timur 60275, Indonesia - gedung TEC - 087777789924</t>
  </si>
  <si>
    <t>MI;MYIR-10133528580001;SPLFE99-B1170PIU;UDIN ANTOKO;0877777899241</t>
  </si>
  <si>
    <t>ISRONI DWI NURHANSYAH</t>
  </si>
  <si>
    <t>ODP-BDG-FD/41</t>
  </si>
  <si>
    <t>Provisioning Failed|WFM|IN61297597|DOUBLE SC501776855</t>
  </si>
  <si>
    <t>=DATEDIF(O61,NOW(),"d")&amp;" Hari"</t>
  </si>
  <si>
    <t>MOCH ROZIKIN</t>
  </si>
  <si>
    <t>BRONDONG,SOLOKURO,PAYAMAN, DS, -,62265, RT 02, RW 03</t>
  </si>
  <si>
    <t>MI;MYIR-10134918360001;SPMHR15-B1155NRI;MOCH ROZIKIN;085640058358</t>
  </si>
  <si>
    <t>Provisioning Failed|WFM|IN61297597|DOUBLE SC501776855 |WITEL</t>
  </si>
  <si>
    <t>ODP-GSK-FY/93 FY/D07/93.01</t>
  </si>
  <si>
    <t>Provisioning Failed|WFM|IN61312635|manja</t>
  </si>
  <si>
    <t>=DATEDIF(O62,NOW(),"d")&amp;" Hari"</t>
  </si>
  <si>
    <t>PT INTERNETWORK KOMUNIKASI INDONESIA</t>
  </si>
  <si>
    <t>GRESIK, Kelurahan SIDOMORO, VETERAN, 1</t>
  </si>
  <si>
    <t>DBS MBS / AM PRO / SABILA AMNI 081314921224/ 2P 20 MBPS / DIGIBIZ 2P / CINDY/MCD / 087785451535</t>
  </si>
  <si>
    <t>CP RNA###24-JAN-20</t>
  </si>
  <si>
    <t>- 11_1123;Biaya PSB[75000] - BWY DL;BWY DL ~ Saluran Dua Arah(BothWay)[0] - DS1805;DS1805 ~ DSS18 - DigiBiz 2P POTS[0] - DS1805~null~DS1805_IN100;IN100 ~ Free Lokal dan SLJJ 100 Menit ~ DS1805[20000] - DS1804;DS1804 ~ DSS18 - DigiBiz 2P INET[0] - DS1804~null~DS1804_UNL;UNL ~ Internet-Link Unlimited Internet Usage ~ DS1804[0] - DS1804~null~DS1804_INETF20M;INETF20M ~ New Internet Fair Usage Speed 20 Mbps ~ DS1804[290000] - C16059_I;C16059 ~ CS16 - Perangkat Modem &amp; ONT (Internet)[0] - C16059_I~null~C16059_SWMODEM_I;SWMODEM ~ Biaya Sewa Modem ~ C16059 (Internet)[20000] Total (Sebelum PPN) : 330000</t>
  </si>
  <si>
    <t>ODP-TDS-FHS/03 FHS/D01/03.01</t>
  </si>
  <si>
    <t>OSS - PROVISIONING START</t>
  </si>
  <si>
    <t>Provisioning Start</t>
  </si>
  <si>
    <t>=DATEDIF(O63,NOW(),"d")&amp;" Hari"</t>
  </si>
  <si>
    <t>SURABAYA, LONTAR, LONTAR, 2</t>
  </si>
  <si>
    <t>DES;AM PRO AGUS IRIANTO;PIC.AURELIUS-081330458485;SIP TRUNK 30CC DAN 30DID</t>
  </si>
  <si>
    <t>- IPPBX4_DIDIPPBX_1154;Biaya PSB Layanan IP PBX ~ DIDIPPBX(IPPBX4)[500000] - 1_1154;Biaya PSB Layanan IP PBX[3500000] - IPPBX4;IPPBX4 ~ NEW - SIP Trunk IP PBX Dengan DID[0] - IPPBX4~null~IPPBX4_IP_PBXDID;IP_PBXDID ~ Layanan IP PBX dengan DID ~ IPPBX4[0] - IPPBX4~null~IPPBX4_IPPBX03;IPPBX03 ~ Layanan IP PBX dengan 30 Concurrent Call ~ IPPBX4[1650000] - IPPBX4~null~IPPBX4_DIDIPPBX;DIDIPPBX ~ Nomor Tambahan IP PBX ~ IPPBX4[575000] Total (Sebelum PPN) : 2225000</t>
  </si>
  <si>
    <t>ODP-GSK-FK/38 FK/D01/38.01</t>
  </si>
  <si>
    <t>Provisioning Failed|WFM|IN61312987|manja</t>
  </si>
  <si>
    <t>=DATEDIF(O64,NOW(),"d")&amp;" Hari"</t>
  </si>
  <si>
    <t>INDAL STEEL PIPE</t>
  </si>
  <si>
    <t>GRESIK, Kelurahan MANYAR SIDOMUKTI, MANYAR, 000</t>
  </si>
  <si>
    <t>ODP LOSS###20-JAN-20</t>
  </si>
  <si>
    <t>ODP-GSK-FZ/120 FZ/D14/120.01</t>
  </si>
  <si>
    <t>Provisioning Failed|WFM|IN61863116|manja</t>
  </si>
  <si>
    <t>=DATEDIF(O65,NOW(),"d")&amp;" Hari"</t>
  </si>
  <si>
    <t>TOKO SEPATU BATA QQ SITI AISYAH</t>
  </si>
  <si>
    <t>GRESIK, Kelurahan KARANG POH, GUBERNUR SURYO, 081331591672, RT/RW -/-</t>
  </si>
  <si>
    <t>MYIR / TAM DBS2 / B 1291 NRI / JUNAIDI 085232236525 / R5 / GRESIK / PHOENIX 10Mbps / Ibu Dina 081331591672 - 0313982009 - 0313978152 / TOKO SEPATU BATA / TIKOR -7.151050, 112.648271</t>
  </si>
  <si>
    <t>DOUBLE DENGAN SC501833970</t>
  </si>
  <si>
    <t>ODP-BDG-FA/14</t>
  </si>
  <si>
    <t>Provisioning Failed|WFM|IN61357216|batal</t>
  </si>
  <si>
    <t>=DATEDIF(O66,NOW(),"d")&amp;" Hari"</t>
  </si>
  <si>
    <t>Mohammad Jamiluddin</t>
  </si>
  <si>
    <t>BRONDONG,BRONDONG,ALAMAT BELUM JELAS, -,62263, RT -, RW -</t>
  </si>
  <si>
    <t>MI;MYIR-10002458170004;CUST;Mohammad Jamiluddin;081328014438</t>
  </si>
  <si>
    <t>batal</t>
  </si>
  <si>
    <t>100 Mbps, 300 mnt, Movin, IndiHome Music Silver, IndiHome Study, Cloud Storage 8GB</t>
  </si>
  <si>
    <t>ODP-GSK-FAA/35 FAA/D01/35-01</t>
  </si>
  <si>
    <t>Provisioning Failed|WFM|IN61397895|manja</t>
  </si>
  <si>
    <t>=DATEDIF(O67,NOW(),"d")&amp;" Hari"</t>
  </si>
  <si>
    <t>GRESIK, Kelurahan RANDU AGUNG, SUMATRA, 4</t>
  </si>
  <si>
    <t>CP RNA###CP RNA</t>
  </si>
  <si>
    <t>ODP-SDY-FH/64 FH/D08/64.01</t>
  </si>
  <si>
    <t>Provisioning Failed|WFM|IN61398095|manja</t>
  </si>
  <si>
    <t>=DATEDIF(O68,NOW(),"d")&amp;" Hari"</t>
  </si>
  <si>
    <t>MUTAMAKIN</t>
  </si>
  <si>
    <t>GRESIK, Kelurahan BUNGAH, BUNGAH, DS, 0, RT/RW 0/0</t>
  </si>
  <si>
    <t>TAMDBS2 / FIRLI_081230290489 / PHOENIX 10 / MUTAMAKIN CP. 081283844569 / 081332441527</t>
  </si>
  <si>
    <t>CP RNA###21-JAN-20</t>
  </si>
  <si>
    <t>- 11_2009;Biaya Initial Maintenance Service (IMS)[150000] - BWY DL;BWY DL ~ Saluran Dua Arah(BothWay)[0] - C19191;C19191 ~ CS19 - IndiHome Phoenix POTS + MOVIN[0] - C19191~null~C19191_MVNPHONE1;MVNPHONE1 ~ Movin Phone 1 ~ C19191[5000] - C19191~null~C19191_IN300;IN300 ~ Free Lokal dan SLJJ 300 Menit ~ C19191[25000] - C19192;C19192 ~ CS19 - IndiHome Phoenix INET[0] - C19192~null~C19192_UNL;UNL ~ Internet-Link Unlimited Internet Usage ~ C19192[0] - C19192~null~C19192_INETF10M;INETF10M ~ New Internet Fair Usage Speed 10 Mbps ~ C19192[207000] - C16059_I;C16059 ~ CS16 - Perangkat Modem &amp; ONT (Internet)[0] - C16059_I~null~C16059_SWMODEM_I;SWMODEM ~ Biaya Sewa Modem ~ C16059 (Internet)[20000] - C19197;C19197 ~ CS19 - IndiHome Phoenix CLOUD[0] - C19197~null~38253;C19197||11||Abodemen 0[0] - C19197~null~C19197_CLOSTR8G;CLOSTR8G ~ Cloud Storage for IndiHome Berbayar 8GB Fixed &amp; Recurring ~ C19197[8000] - C19197~null~C19197_MEL_S;MEL_S ~ Melon Silver ~ C19197[5000] - C19197~null~C19197_OTTSTUDY1;OTTSTUDY1 ~ OTT Indihome Study 1 ~ C19197[10000] Total (Sebelum PPN) : 280000</t>
  </si>
  <si>
    <t>ODP-KBL-FX/25 FX/D01/25.01</t>
  </si>
  <si>
    <t>Provisioning Failed|WFM|IN61398250|manja</t>
  </si>
  <si>
    <t>=DATEDIF(O69,NOW(),"d")&amp;" Hari"</t>
  </si>
  <si>
    <t>HARIYANTO</t>
  </si>
  <si>
    <t>SURABAYA, TANAH KALIKEDINDING, KEDINDING LOR PALEM 2, 27</t>
  </si>
  <si>
    <t>MI:MYIR /TAM DBS 1 / L14931K / ENDAH SRI WAHYUNINGSIH / R5 / SBU / 2P 10MBPS / STREAMIX / BP HARIYANTO 082260585566</t>
  </si>
  <si>
    <t>INSTALASI###TARIKAN 200M, DROPCABLE HABIS</t>
  </si>
  <si>
    <t>ODP-TDS-FV/34 FV/D04/4.1.34</t>
  </si>
  <si>
    <t>Provisioning Failed|WFM|IN61402722|manja</t>
  </si>
  <si>
    <t>=DATEDIF(O70,NOW(),"d")&amp;" Hari"</t>
  </si>
  <si>
    <t>ROIS SUNANDAR</t>
  </si>
  <si>
    <t>SURABAYA, LIDAH KULON, PAKUWON RITZ BL AF2, 50</t>
  </si>
  <si>
    <t>MI;MYIR-10053719380002;SPXTH02-B1613PIW;ROIS SUNANDAR;081130969690</t>
  </si>
  <si>
    <t>Kunjungan kelokasi pelanggan belum izin pihak Developer.ROIS SUNANDAR (+62-81130969690)</t>
  </si>
  <si>
    <t>ADHI SANDRO TAMPUBOLON</t>
  </si>
  <si>
    <t>- 11_2009;Biaya Initial Maintenance Service (IMS)[150000] - C19189;C19189 ~ CS19 - IndiHome Streamix INET[0] - C19189~null~C19189_UNL;UNL ~ Internet-Link Unlimited Internet Usage ~ C19189[0] - C19189~null~38172;C19189||11||Abodemen 0[0] - C19189~null~C19189_INETF20M;INETF20M ~ New Internet Fair Usage Speed 20 Mbps ~ C19189[265000] - C16059_I;C16059 ~ CS16 - Perangkat Modem &amp; ONT (Internet)[0] - C16059_I~null~C16059_SWONT_I;SWONT ~ Biaya Sewa ONT ~ C16059 (Internet)[40000] - C19190;C19190 ~ CS19 - IndiHome Streamix USEE + OTT[0] - C19190~null~C19190_USEEENTRYH;USEEENTRYH ~ New UseeTV Entry HD ~ C19190[40000] - C19190~null~C19190_USEE_HD;USEE_HD ~ USEE HD ~ C19190[0] - C19190~null~C19190_OTTIFLIX02;OTTIFLIX02 ~ OTT Iflix Hardbundling ~ C19190[10000] - C19190~null~C19190_OTTCATCH02;OTTCATCH02 ~ OTT Catchplay Hardbundling ~ C19190[10000] - C19190~null~C19190_OTTHOOQ02;OTTHOOQ02 ~ OTT Hooq Hardbundling ~ C19190[10000] - C19190~null~38168;C19190||11||Abodemen 0[0] - C16058;C16058 ~ CS16 - Perangkat Set Top Box[0] - C16058~null~C16058_SWSTBHYBRD;SWSTBHYBRD ~ Biaya Sewa Set Top Box Hybrid HD ~ C16058[20000] Total (Sebelum PPN) : 395000</t>
  </si>
  <si>
    <t>ODP-KBL-FBX/22 FBX/D03/22.01</t>
  </si>
  <si>
    <t>Provisioning Failed|UIM|IN61803420|1007:Unable to locate service port ODP-KBL-FBX/22 FBX/D03/22.01</t>
  </si>
  <si>
    <t>=DATEDIF(O71,NOW(),"d")&amp;" Hari"</t>
  </si>
  <si>
    <t>M ERFAN FIRDAUS</t>
  </si>
  <si>
    <t>SURABAYA, BULAK BANTENG, DK BULAK BANTENG SEK 4 A, 30, RT/RW 10/07</t>
  </si>
  <si>
    <t>TAMDBS1 / HASNA HAFIDHYANTI / CP AGENT : 081717897889 / REG 5 / SURABAYA / 1P / SINGLE PLAY 10Mbps / CP PLG : M ERFAN FIRDAUS085646654340 / TIKOR -7.212796915,112.76714455.</t>
  </si>
  <si>
    <t>BUTUH PT3, TIDAK ADA JARINGAN DAN TIANG TELKOM -7.215675,112.768209</t>
  </si>
  <si>
    <t>- 11_2009;Biaya Initial Maintenance Service (IMS)[125000] - C17036;C17036 ~ CS17 - 1P Internet Only[0] - C17036~null~C17036_UNL;UNL ~ Internet-Link Unlimited Internet Usage ~ C17036[0] - C17036~null~C17036_INETF10M;INETF10M ~ New Internet Fair Usage Speed 10 Mbps ~ C17036[210000] - C16059_I;C16059 ~ CS16 - Perangkat Modem &amp; ONT (Internet)[0] - C16059_I~null~C16059_SWONT_I;SWONT ~ Biaya Sewa ONT ~ C16059 (Internet)[40000] Total (Sebelum PPN) : 250000</t>
  </si>
  <si>
    <t>ODP-GSK-FN/87 FN/D07/87.01</t>
  </si>
  <si>
    <t>Re-Submit Validation OK</t>
  </si>
  <si>
    <t>=DATEDIF(O72,NOW(),"d")&amp;" Hari"</t>
  </si>
  <si>
    <t>Seffin Dwi Agustin</t>
  </si>
  <si>
    <t>GRESIK, Kelurahan SINGOSARI, VETERAN 9D, RT.3RW.1</t>
  </si>
  <si>
    <t>SP5050/SP/KKSM/DWI NURRAHMA DITA/R5/SBU/2P INET 10MB/Indihome Net1/CP seffin dwi agustin 081233003762/DBS</t>
  </si>
  <si>
    <t>cancel inpul, karena Telkom Telepon Part 1 Cause doesnt have Tariff</t>
  </si>
  <si>
    <t>- 11_1123;Biaya PSB[75000] - BWY DL;BWY DL ~ Saluran Dua Arah(BothWay)[0] - C17028;C17028 ~ CS17 - New Indihome Lower Value POTS[0] - C17028~null~C17028_IN100;IN100 ~ Free Lokal dan SLJJ 100 Menit ~ C17028[20000] - C17029;C17029 ~ CS17 - New Indihome Lower Value INET[0] - C17029~null~C17029_UNL;UNL ~ Internet-Link Unlimited Internet Usage ~ C17029[0] - C17029~null~C17029_INETF10M;INETF10M ~ New Internet Fair Usage Speed 10 Mbps ~ C17029[190000] - C16059_I;C16059 ~ CS16 - Perangkat Modem &amp; ONT (Internet)[0] - C16059_I~null~C16059_SWMODEM_I;SWMODEM ~ Biaya Sewa Modem ~ C16059 (Internet)[20000] Total (Sebelum PPN) : 230000</t>
  </si>
  <si>
    <t>ODP-DMO-FST/23 FST/D02/23.01</t>
  </si>
  <si>
    <t>AGREE : Lanjut Order by MAYANG.TRIANI.DEVI MAYANG TRIANI DEVI |FCC DBS</t>
  </si>
  <si>
    <t>=DATEDIF(O73,NOW(),"d")&amp;" Hari"</t>
  </si>
  <si>
    <t>INTI CITRA AGUNG</t>
  </si>
  <si>
    <t>SURABAYA , EMBONG KALIASIN , BASUKI RACHMAD , 143-145</t>
  </si>
  <si>
    <t>TAM DBS1/ARY KRISTIANTI/R5/SURABAYA/2P DIGIBIZ 20 MBPS/CP BP SATRIO 08174867724/</t>
  </si>
  <si>
    <t>Sudah PS di SC 501851249</t>
  </si>
  <si>
    <t>ODP-DMO-FBX/39 FBX/D10/39.01</t>
  </si>
  <si>
    <t>Provisioning Failed|WFM|IN61501515|tunggu konfirmasi dari AM</t>
  </si>
  <si>
    <t>=DATEDIF(O74,NOW(),"d")&amp;" Hari"</t>
  </si>
  <si>
    <t>SURABAYA, EMBONG KALIASIN, BASUKI RACHMAD, TP.3-LT.2</t>
  </si>
  <si>
    <t>DES;AM PRO AGUS IRIANTO;PIC.GIDEON-0816878708</t>
  </si>
  <si>
    <t>PENDING###Provisioning Failed|WFM|IN61501515|tunggu konfirmasi dari AM |WITEL</t>
  </si>
  <si>
    <t>- 11_1123;Biaya PSB[0] - BWY DL;BWY DL ~ Saluran Dua Arah(BothWay)[0] - C17031;C17031 ~ CS17 - New Indihome Netizen I POTS[0] - C17031~null~C17031_IN100;IN100 ~ Free Lokal dan SLJJ 100 Menit ~ C17031[40000] - C17031~null~C17031_MVNPHONE1;MVNPHONE1 ~ Movin Phone 1 ~ C17031[5000] - C17032;C17032 ~ CS17 - New Indihome Netizen I INET (with MOVIN)[0] - C17032~null~C17032_UNL;UNL ~ Internet-Link Unlimited Internet Usage ~ C17032[0] - C17032~null~C17032_INETF50M;INETF50M ~ New Internet Fair Usage Speed 50 Mbps ~ C17032[705000] - C16059_I;C16059 ~ CS16 - Perangkat Modem &amp; ONT (Internet)[0] - C16059_I~null~C16059_SWONT_I;SWONT ~ Biaya Sewa ONT ~ C16059 (Internet)[40000] Total (Sebelum PPN) : 790000</t>
  </si>
  <si>
    <t>ODP-DMO-FES/37 FES/D10/37.01</t>
  </si>
  <si>
    <t>Provisioning Failed|WFM|IN61501611|tunggu konfirmasi AM</t>
  </si>
  <si>
    <t>=DATEDIF(O75,NOW(),"d")&amp;" Hari"</t>
  </si>
  <si>
    <t>SURABAYA, EMBONG KALIASIN, BASUKI RACHMAD, TP.1-LT.2</t>
  </si>
  <si>
    <t>DES;AM PRO AGUS IRIANTO;PIC.YULLI-085724450961</t>
  </si>
  <si>
    <t>PENDING###Provisioning Failed|WFM|IN61501611|tunggu konfirmasi AM |WITEL</t>
  </si>
  <si>
    <t>- C16059_I;C16059 ~ CS16 - Perangkat Modem &amp; ONT (Internet)[0] - C16059_I~null~C16059_SWONT_I;SWONT ~ Biaya Sewa ONT ~ C16059 (Internet)[40000] - C17032;C17032 ~ CS17 - New Indihome Netizen I INET (with MOVIN)[0] - C17032~null~C17032_INETF10M;INETF10M ~ New Internet Fair Usage Speed 10 Mbps ~ C17032[195000] - C17032~null~C17032_UNL;UNL ~ Internet-Link Unlimited Internet Usage ~ C17032[0] - 11_1123;Biaya PSB[0] - BWY DL;BWY DL ~ Saluran Dua Arah(BothWay)[0] - C17031;C17031 ~ CS17 - New Indihome Netizen I POTS[0] - C17031~null~C17031_IN100;IN100 ~ Free Lokal dan SLJJ 100 Menit ~ C17031[40000] - C17031~null~C17031_MVNPHONE1;MVNPHONE1 ~ Movin Phone 1 ~ C17031[5000] Total (Sebelum PPN) : 280000</t>
  </si>
  <si>
    <t>ODP-MYR-FSS/25 FSS/D03/25.01</t>
  </si>
  <si>
    <t>Provisioning Failed|WFM|IN61490950|Salah bonderi ikut kapasan</t>
  </si>
  <si>
    <t>=DATEDIF(O76,NOW(),"d")&amp;" Hari"</t>
  </si>
  <si>
    <t>DES;AM PRO NANDA;PIC SYAMSUL ARIFIN 081703666523</t>
  </si>
  <si>
    <t>Salah bonderi ikut kapasan</t>
  </si>
  <si>
    <t>- 1_1123;Biaya PSB ~ 1[450000] - BWY DL;BWY DL ~ Saluran Dua Arah(BothWay)[0] - C19036;C19036 ~ CS19 - IndiHome Single Play Phone FIBER[0] - C19036~null~C19036_IN300;IN300 ~ Free Lokal dan SLJJ 300 Menit ~ C19036[95000] - C16059_V;C16059 ~ CS16 - Perangkat Modem &amp; ONT (Telepon)[0] - C16059_V~null~C16059_SWONT_V;SWONT ~ Biaya Sewa ONT ~ C16059 (Telepon)[40000] Total (Sebelum PPN) : 135000</t>
  </si>
  <si>
    <t>ODP-SDY-FH/48 FH/D06/48.01</t>
  </si>
  <si>
    <t>Provisioning Failed|WFM|IN61512592|manja</t>
  </si>
  <si>
    <t>=DATEDIF(O77,NOW(),"d")&amp;" Hari"</t>
  </si>
  <si>
    <t>SULISNI</t>
  </si>
  <si>
    <t>GRESIK, Kelurahan BUNGAH, BUNGAH, DS, -</t>
  </si>
  <si>
    <t>TAMDBS2/ ZIDNI/ 089647425011/ R5/ GRESIK/ 2P INET 10 MB/ STREAMIX/ PIC BUS SULISNI 082234231756/ 082143178070/ TIKOR: -7.051549, 112.568681</t>
  </si>
  <si>
    <t>ODP RETI###ODP SDY FC/02 REDAMAN TINGGI</t>
  </si>
  <si>
    <t>ODP-BDG-FE/31</t>
  </si>
  <si>
    <t>Provisioning Failed|WFM|IN61542956|double SC501846492</t>
  </si>
  <si>
    <t>=DATEDIF(O78,NOW(),"d")&amp;" Hari"</t>
  </si>
  <si>
    <t>SONI SAHAB</t>
  </si>
  <si>
    <t>BRONDONG,PACIRAN,KRANJI, DS, TBN-GSK/20,62264, RT -, RW -</t>
  </si>
  <si>
    <t>MI;MYIR-10135347840002;SPSPPCT;SONI SAHAB;085730522666</t>
  </si>
  <si>
    <t>Provisioning Failed|WFM|IN61542956|double SC501846492 |WITEL</t>
  </si>
  <si>
    <t>50 Mbps, 300 mnt, Movin, IndiHome Music Silver, IndiHome Study, Cloud Storage 8GB</t>
  </si>
  <si>
    <t>ODP-CRM-FC/49 FC/D10/49.01</t>
  </si>
  <si>
    <t>Provisioning Failed|WFM|IN61568560|manja</t>
  </si>
  <si>
    <t>=DATEDIF(O79,NOW(),"d")&amp;" Hari"</t>
  </si>
  <si>
    <t>PAEDI</t>
  </si>
  <si>
    <t>MENGANTI, MENGANTI, NGASINAN, DS, 70</t>
  </si>
  <si>
    <t>MI:MYIR /TAM DBS 1 / B 1109PIU /NURJANAH / R5 / SBS / 2P 10MBPS / STREMIX / nurudin 0851019921119/ WA 085101992111/TIKOR -7.2375338,112.6024916,21/lokasi WARKOP 70</t>
  </si>
  <si>
    <t>CP RNA###call cp tdk bisa, cek lokasi tutup</t>
  </si>
  <si>
    <t>ODP-GSK-FR/111 FR/D11/111.01</t>
  </si>
  <si>
    <t>FULFILL BILLING COMPLETED</t>
  </si>
  <si>
    <t>Completed</t>
  </si>
  <si>
    <t>=DATEDIF(O80,NOW(),"d")&amp;" Hari"</t>
  </si>
  <si>
    <t>BUT. HANDY INTERNATIONAL INCOPORATED</t>
  </si>
  <si>
    <t>GRESIK, Kelurahan NGIPIK, KAWASAN INDUSTRI GRESIK, 2</t>
  </si>
  <si>
    <t>TAM DBS2 /DIMAS FARID//REG 5/GRESIK/2P/ DIGIBIZ 20MB /BPK MALIK/CP PLGN :081334238330/TIKOR :-7.1530085,112.6183042</t>
  </si>
  <si>
    <t>PENDING###nunggu konfirmasi dari teknisi gedung</t>
  </si>
  <si>
    <t>- 11_1123;Biaya PSB[75000] - BWY DL;BWY DL ~ Saluran Dua Arah(BothWay)[0] - DS1805;DS1805 ~ DSS18 - DigiBiz 2P POTS[0] - DS1805~null~DS1805_IN1000;IN1000 ~ Free Lokal dan SLJJ 1000 Menit ~ DS1805[50000] - DS1804;DS1804 ~ DSS18 - DigiBiz 2P INET[0] - DS1804~null~DS1804_UNL;UNL ~ Internet-Link Unlimited Internet Usage ~ DS1804[0] - DS1804~null~DS1804_INETF20M;INETF20M ~ New Internet Fair Usage Speed 20 Mbps ~ DS1804[290000] - C16059_I;C16059 ~ CS16 - Perangkat Modem &amp; ONT (Internet)[0] - C16059_I~null~C16059_SWMODEM_I;SWMODEM ~ Biaya Sewa Modem ~ C16059 (Internet)[40000] Total (Sebelum PPN) : 380000</t>
  </si>
  <si>
    <t>ODP-KBL-FAT/40 FAT/D06/40.01</t>
  </si>
  <si>
    <t>Provisioning Failed|WFM|IN61570842|manja</t>
  </si>
  <si>
    <t>=DATEDIF(O81,NOW(),"d")&amp;" Hari"</t>
  </si>
  <si>
    <t>DES;AM PRO NANDA;PIC SYAMSUL 081703666523</t>
  </si>
  <si>
    <t>INSTALASI###NUNGGU LISTRIK GEDUNG BLM ADA</t>
  </si>
  <si>
    <t>ODP-KBL-FAT/39 FAT/D06/39.01</t>
  </si>
  <si>
    <t>Provisioning Failed|WFM|IN61570884|manja</t>
  </si>
  <si>
    <t>=DATEDIF(O82,NOW(),"d")&amp;" Hari"</t>
  </si>
  <si>
    <t>DES;AM PRO NANDA ;PIC SYAMSUL 081703666523</t>
  </si>
  <si>
    <t>Provisioning Failed|WFM|IN61571016|manja</t>
  </si>
  <si>
    <t>=DATEDIF(O83,NOW(),"d")&amp;" Hari"</t>
  </si>
  <si>
    <t>ODP-SDY-FK/01 FK/D01/01.01</t>
  </si>
  <si>
    <t>Provisioning Failed|UIM|IN61595295|1007:Unable to locate service port ODP-SDY-FK/01 FK/D01/01.01</t>
  </si>
  <si>
    <t>=DATEDIF(O84,NOW(),"d")&amp;" Hari"</t>
  </si>
  <si>
    <t>Bpk Hariyanto,SPD</t>
  </si>
  <si>
    <t>GRESIK, Kecamatan PANCENG, RAYA SIWALAN, Desa_Siwalan, RT/RW 02/01</t>
  </si>
  <si>
    <t>SP5051/SP/KKSM/ERLIN WULANDARI/R5/SBU/2P INET10Mbps/Indihome Net1/CP Bapak Hariyanto, SPD 081332040101/DBS</t>
  </si>
  <si>
    <t>- 1_1123;Biaya PSB ~ 1[150000] - BWY DL;BWY DL ~ Saluran Dua Arah(BothWay)[0] - C17028;C17028 ~ CS17 - New Indihome Lower Value POTS[0] - C17028~null~C17028_IN100;IN100 ~ Free Lokal dan SLJJ 100 Menit ~ C17028[20000] - C17029;C17029 ~ CS17 - New Indihome Lower Value INET[0] - C17029~null~C17029_UNL;UNL ~ Internet-Link Unlimited Internet Usage ~ C17029[0] - C17029~null~C17029_INETF10M;INETF10M ~ New Internet Fair Usage Speed 10 Mbps ~ C17029[190000] - C16059_I;C16059 ~ CS16 - Perangkat Modem &amp; ONT (Internet)[0] - C16059_I~null~C16059_SWMODEM_I;SWMODEM ~ Biaya Sewa Modem ~ C16059 (Internet)[20000] Total (Sebelum PPN) : 230000</t>
  </si>
  <si>
    <t>ODP-KDE-FAE/16</t>
  </si>
  <si>
    <t>Provisioning Failed|WFM|IN61627931|manja</t>
  </si>
  <si>
    <t>=DATEDIF(O85,NOW(),"d")&amp;" Hari"</t>
  </si>
  <si>
    <t>Gani Nurcahyono</t>
  </si>
  <si>
    <t>Jl. Menganti Regency TMR 37, Blok Pepaya Tlogo Bedah, Hulaan, Kec. Menganti, Kabupaten Gresik, Jawa Timur 61174</t>
  </si>
  <si>
    <t>MI;MYIR-10133325290001;SPSTR06-B1250PIW;Gani Nurcahyono;081217631127</t>
  </si>
  <si>
    <t>ODP FULL###ODP KDE FAC/30 FULL</t>
  </si>
  <si>
    <t>ODP-BBA-FAE/20</t>
  </si>
  <si>
    <t>Provisioning Failed|WFM|IN61599365|ODP BELUM GOLIVE</t>
  </si>
  <si>
    <t>=DATEDIF(O86,NOW(),"d")&amp;" Hari"</t>
  </si>
  <si>
    <t>Nihayatul Musaafah</t>
  </si>
  <si>
    <t>BABAD,BABAD,MOROPELANG, DS, --,62271, RT 01, RW 01</t>
  </si>
  <si>
    <t>MI;MYIR-10135963850001;SPMHR08-B1155NRI;Nihayatul Musaafah;085840255565</t>
  </si>
  <si>
    <t>GO LIVE###|ODP BELUM GOLIVE|WITEL</t>
  </si>
  <si>
    <t>30 Mbps, UseeTV Entry, Free Local SLJJ 100 menit, Movin Phone, HOOQ, Iflix, Catchplay, UseeSports, IndiKids Lite</t>
  </si>
  <si>
    <t>ODP-LKS-FBN/17 FBN/D02/17.01</t>
  </si>
  <si>
    <t>=DATEDIF(O87,NOW(),"d")&amp;" Hari"</t>
  </si>
  <si>
    <t>SENYUM SEJAHTERA</t>
  </si>
  <si>
    <t>SURABAYA, LIDAH WETAN, RAYA MENGANTI LIDAH WETAN, 27C</t>
  </si>
  <si>
    <t>A00042/AMEX /M FAISAL /TREG5 / SBS/PSB1P INET ONLY 100M /CP PEL KEVIN 0818742574</t>
  </si>
  <si>
    <t>- 11_2009;Biaya Initial Maintenance Service (IMS)[0] - C19195;C19195 ~ CS19 - Single Play INET[0] - C19195~null~C19195_UNL;UNL ~ Internet-Link Unlimited Internet Usage ~ C19195[0] - C19195~null~C19195_INETF100M;INETF100M ~ New Internet Fair Usage Speed 100 Mbps ~ C19195[900000] - C16059_I;C16059 ~ CS16 - Perangkat Modem &amp; ONT (Internet)[0] - C16059_I~null~C16059_SWONT_I;SWONT ~ Biaya Sewa ONT ~ C16059 (Internet)[20000] Total (Sebelum PPN) : 920000</t>
  </si>
  <si>
    <t>ODP-CRM-FP/06 FP/D01/06.01</t>
  </si>
  <si>
    <t>Provisioning Failed|WFM|IN61629838|manja</t>
  </si>
  <si>
    <t>=DATEDIF(O88,NOW(),"d")&amp;" Hari"</t>
  </si>
  <si>
    <t>VADHILAH CESAR ISMAIL</t>
  </si>
  <si>
    <t>MENGANTI, MENGANTI, NGABLAK, DS, 0, RT/RW 01/03</t>
  </si>
  <si>
    <t>[PLSCSR:PL60272];TDS;VADHILAH;081230733139;PSB 1P 20MB 270RB+PPN;MUJI</t>
  </si>
  <si>
    <t>ODP FULL###odp crm fj/04 full sudah validasi</t>
  </si>
  <si>
    <t>- 11_2009;Biaya Initial Maintenance Service (IMS)[125000] - C19175;C19175 ~ CS19 - IndiHome Prestige INET[0] - C19175~null~C19175_UNL;UNL ~ Internet-Link Unlimited Internet Usage ~ C19175[0] - C19175~null~38096;C19175||11||Abodemen 0[0] - C19175~null~C19175_INETF20M;INETF20M ~ New Internet Fair Usage Speed 20 Mbps ~ C19175[230000] - C16059_I;C16059 ~ CS16 - Perangkat Modem &amp; ONT (Internet)[0] - C16059_I~null~C16059_SWONT_I;SWONT ~ Biaya Sewa ONT ~ C16059 (Internet)[40000] Total (Sebelum PPN) : 270000</t>
  </si>
  <si>
    <t>ODP-DMO-FT/06 FT/D01/06.01</t>
  </si>
  <si>
    <t>Provisioning Failed|WFM|IN61635373|manja</t>
  </si>
  <si>
    <t>=DATEDIF(O89,NOW(),"d")&amp;" Hari"</t>
  </si>
  <si>
    <t>NSBO</t>
  </si>
  <si>
    <t>SURABAYA, EMBONG KALIASIN, TAMAN A.I.S NASUTION, ADEIRMA</t>
  </si>
  <si>
    <t>A00292 /AMEX /ULUM /TREG5 / SBS/PSB 1P POTS/PIC WATI 081703717111 DAN ANDIKA 082143419291</t>
  </si>
  <si>
    <t>- 1_2009;Biaya Initial Maintenance Service (IMS) ~ 1[125000] - BWY DL;BWY DL ~ Saluran Dua Arah(BothWay)[0] - C17035;C17035 ~ CS17 - 1P POTS Only[0] - C17035~null~C17035_IN300;IN300 ~ Free Lokal dan SLJJ 300 Menit ~ C17035[195000] Total (Sebelum PPN) : 195000</t>
  </si>
  <si>
    <t>ODP-CRM-FK/07</t>
  </si>
  <si>
    <t>Provisioning Failed|UIM|IN61632153|1029:Reservation not found for Broadband CFS with Reservation ID : 14629517632</t>
  </si>
  <si>
    <t>=DATEDIF(O90,NOW(),"d")&amp;" Hari"</t>
  </si>
  <si>
    <t>mohamad saifuddin</t>
  </si>
  <si>
    <t>Jl. mando desa pandu RT 01 RW 03, Cerme Lor, Kec. Cerme, Kabupaten Gresik, Jawa Timur 61171, Indonesia,</t>
  </si>
  <si>
    <t>MI;MYIR-10135501370001;SPWAN86-B1274NRI;mohamad saifuddin;081235379958</t>
  </si>
  <si>
    <t>ODP-GSK-FJ/119</t>
  </si>
  <si>
    <t>Provisioning Failed|UIM|IN61634766|1029:Reservation not found for Broadband CFS with Reservation ID : 14630860442</t>
  </si>
  <si>
    <t>=DATEDIF(O91,NOW(),"d")&amp;" Hari"</t>
  </si>
  <si>
    <t>Fara elfira</t>
  </si>
  <si>
    <t>jl. kalimantan no.111 Kel. Yosowilangun Kec. Manyar Kab. Gresik jatim // patokan : dekat indomaret // 083110599558 // alt : 081216145758 // andijayadinata12@gmail.com</t>
  </si>
  <si>
    <t>MI;MYIR-10135524700001;SPAKA15-B1573NRI;Fara elfira;083110599558</t>
  </si>
  <si>
    <t>Belum Assign Teknisi###22-JAN-20</t>
  </si>
  <si>
    <t>ODP-KDE-FAC/08</t>
  </si>
  <si>
    <t>Provisioning Failed|WFM|IN61863188|manja</t>
  </si>
  <si>
    <t>=DATEDIF(O92,NOW(),"d")&amp;" Hari"</t>
  </si>
  <si>
    <t>AGUS SANJAYA</t>
  </si>
  <si>
    <t>GRESIK,Kelurahan MENGANTI,SIDOWUNGU, RT/RW: 01/01,61174, RT , RW</t>
  </si>
  <si>
    <t>MI;MYIR-10125779080001;SPKPT99-B1170PIU;AGUS SANJAYA;0857332018370</t>
  </si>
  <si>
    <t>Value Low FUP 10 Mbps, free 50 mnt Lokal-SLJJ</t>
  </si>
  <si>
    <t>ODP-GSK-FF/04</t>
  </si>
  <si>
    <t>Provisioning Failed|WFM|IN61738730|sudah terpasang di SC501899156</t>
  </si>
  <si>
    <t>=DATEDIF(O93,NOW(),"d")&amp;" Hari"</t>
  </si>
  <si>
    <t>Aris Wahyudi Warkop Cak Bogie</t>
  </si>
  <si>
    <t>GRESIK,Kelurahan SUCI,RAYA PERMATA SUCI, 91b,61151, RT , RW</t>
  </si>
  <si>
    <t>MI;MYIR-10136516210001;SPSWD72-B1291NRI;Aris Wahyudi Warkop Cak Bogie;085730129639</t>
  </si>
  <si>
    <t>Provisioning Failed|WFM|IN61738730|sudah terpasang di SC501899156 |WITEL</t>
  </si>
  <si>
    <t>Provisioning Failed|UIM|IN61812693|1029:Reservation not found for Broadband CFS with Reservation ID : 14629577054</t>
  </si>
  <si>
    <t>=DATEDIF(O94,NOW(),"d")&amp;" Hari"</t>
  </si>
  <si>
    <t>AHMAD AGUS FIRMAN</t>
  </si>
  <si>
    <t>ODP-GSK-FW/37</t>
  </si>
  <si>
    <t>Provisioning Failed|UIM|IN61759836|1029:Reservation not found for Broadband CFS with Reservation ID : 14629580388</t>
  </si>
  <si>
    <t>=DATEDIF(O95,NOW(),"d")&amp;" Hari"</t>
  </si>
  <si>
    <t>Mahfudz sulaiman</t>
  </si>
  <si>
    <t>GRESIK,Kelurahan SUCI,KH.SYAFI'I, 108-Milenial,61151, RT 0, RW 2</t>
  </si>
  <si>
    <t>MI;MYIR-10136565350001;SPNUR11-B1274NRI;Mahfudz sulaiman;085785066599</t>
  </si>
  <si>
    <t>ODP-GSK-FN/61</t>
  </si>
  <si>
    <t>Provisioning Failed|UIM|IN61739512|1029:Reservation not found for Broadband CFS with Reservation ID : 14652871384</t>
  </si>
  <si>
    <t>=DATEDIF(O96,NOW(),"d")&amp;" Hari"</t>
  </si>
  <si>
    <t>m syafirir romadhoni</t>
  </si>
  <si>
    <t>GRESIK,TEBALO,PERUM BUKIT EMAS BLOK A, 11/6,61151, RT , RW</t>
  </si>
  <si>
    <t>MI;MYIR-10136395510001;SPSAY99-B1274NRI;m syafirir romadhoni;082234743401</t>
  </si>
  <si>
    <t>ODP-TDS-FDP/65</t>
  </si>
  <si>
    <t>Fallout (Activation)</t>
  </si>
  <si>
    <t>Provisioning Failed|ACTIVATION|IN61838953|U31_PORT_NOT_FOUND:ServicePort Not Found / ONT Connectivity is Missing</t>
  </si>
  <si>
    <t>=DATEDIF(O97,NOW(),"d")&amp;" Hari"</t>
  </si>
  <si>
    <t>anik</t>
  </si>
  <si>
    <t>Jl.Balongsari dalam gg3 blok 4 F no 2 rt 5 rw , kel Balongsari, Kec. Tandes, Kota SBY, Jawa Timur 60186, Indonesia - patokan lokasi dekat pasar balonsari - dial to : 081220326135 083846151195</t>
  </si>
  <si>
    <t>MI;MYIR-10135757430001;SPImdik;anik;083846151195</t>
  </si>
  <si>
    <t>SO KANDANGAN</t>
  </si>
  <si>
    <t>ODP-BBA-FAF/24</t>
  </si>
  <si>
    <t>Provisioning Failed|WFM|IN61750649|double sc501911500</t>
  </si>
  <si>
    <t>=DATEDIF(O98,NOW(),"d")&amp;" Hari"</t>
  </si>
  <si>
    <t>SUMARMI</t>
  </si>
  <si>
    <t>BABAD,WIDANG,PENCOL,DS, -,62383, RT 004, RW 004</t>
  </si>
  <si>
    <t>MI;MYIR-10136352360001;SPMHR77-B1155NRI;SUMARMI;085330428852</t>
  </si>
  <si>
    <t>double sc501911500</t>
  </si>
  <si>
    <t>ODP-BBA-FB/34 FB/D06/34.01</t>
  </si>
  <si>
    <t>Provisioning Failed|WFM|IN61750716|paket 100mb blm bisa di layani</t>
  </si>
  <si>
    <t>=DATEDIF(O99,NOW(),"d")&amp;" Hari"</t>
  </si>
  <si>
    <t>SMP NEGRI I BABAT LAMONGAN</t>
  </si>
  <si>
    <t>BABAD, BABAD, RAYA BEDAHAN, 1, RT/RW 01/03</t>
  </si>
  <si>
    <t>TAM DBS2 /DIMAS FARID//REG 5/BABAD/5P /DIGIBIZ 100MB /BPK YUSUF/CP PLGN : 081330896509/TIKOR :-7.1003209,112.1826325</t>
  </si>
  <si>
    <t>paket 100mb blm bisa di layani</t>
  </si>
  <si>
    <t>- 11_1123;Biaya PSB[75000] - BWY DL;BWY DL ~ Saluran Dua Arah(BothWay)[0] - DS1805;DS1805 ~ DSS18 - DigiBiz 2P POTS[0] - DS1805~null~DS1805_IN1000;IN1000 ~ Free Lokal dan SLJJ 1000 Menit ~ DS1805[50000] - DS1804;DS1804 ~ DSS18 - DigiBiz 2P INET[0] - DS1804~null~DS1804_UNL;UNL ~ Internet-Link Unlimited Internet Usage ~ DS1804[0] - DS1804~null~DS1804_INETF100M;INETF100M ~ New Internet Fair Usage Speed 100 Mbps ~ DS1804[1200000] - C16059_I;C16059 ~ CS16 - Perangkat Modem &amp; ONT (Internet)[0] - C16059_I~null~C16059_SWMODEM_I;SWMODEM ~ Biaya Sewa Modem ~ C16059 (Internet)[40000] Total (Sebelum PPN) : 1290000</t>
  </si>
  <si>
    <t>ODP-BBA-FAF/08</t>
  </si>
  <si>
    <t>Registered</t>
  </si>
  <si>
    <t>=DATEDIF(O100,NOW(),"d")&amp;" Hari"</t>
  </si>
  <si>
    <t>ODP-DMO-FET/13 FET/D04/13.01</t>
  </si>
  <si>
    <t>Provisioning Failed|WFM|IN61739446|tunggu konfirmasi AM</t>
  </si>
  <si>
    <t>=DATEDIF(O101,NOW(),"d")&amp;" Hari"</t>
  </si>
  <si>
    <t>SURABAYA, KEDUNGDORO, EMBONG MALANG, TP.4</t>
  </si>
  <si>
    <t>DES;AM PRO AGUS IRIANTO;PIC.IKHLAS-087853350044</t>
  </si>
  <si>
    <t>PENDING###Provisioning Failed|WFM|IN61739446|tunggu konfirmasi AM |WITEL</t>
  </si>
  <si>
    <t>- 11_1123;Biaya PSB[0] - EB1802;EB1802 ~ EBIS - Internet Indihome Premium (inc.MVNNET1)[0] - EB1802~null~EB1802_UNL;UNL ~ Internet-Link Unlimited Internet Usage ~ EB1802[0] - EB1802~null~EB1802_INETF50M;INETF50M ~ New Internet Fair Usage Speed 50 Mbps ~ EB1802[700000] - C16059_I;C16059 ~ CS16 - Perangkat Modem &amp; ONT (Internet)[0] - C16059_I~null~C16059_SWONT_I;SWONT ~ Biaya Sewa ONT ~ C16059 (Internet)[40000] Total (Sebelum PPN) : 740000</t>
  </si>
  <si>
    <t>ODP-TDS-FQ/63</t>
  </si>
  <si>
    <t>Provisioning Failed|WFM|IN61740258|double input NMR SC : 501735775</t>
  </si>
  <si>
    <t>=DATEDIF(O102,NOW(),"d")&amp;" Hari"</t>
  </si>
  <si>
    <t>Amir Imam Safii</t>
  </si>
  <si>
    <t>SURABAYA,TANDES KIDUL,DARMO INDAH 1, BL-D/11,60187, RT , RW</t>
  </si>
  <si>
    <t>MI;MYIR-10133457700003;SPIDA08;Amir Imam Safii;081340091781</t>
  </si>
  <si>
    <t>double input NMR SC : 501735775</t>
  </si>
  <si>
    <t>ADY BAGUS WICAKSONO</t>
  </si>
  <si>
    <t>ODP-TDS-FHG/03 FHG/D01/03.01</t>
  </si>
  <si>
    <t>Ready to Submit (JOB SYSTEM)</t>
  </si>
  <si>
    <t>WAIT FOR PAYMENT</t>
  </si>
  <si>
    <t>=DATEDIF(O103,NOW(),"d")&amp;" Hari"</t>
  </si>
  <si>
    <t>HIDAYAT</t>
  </si>
  <si>
    <t>SURABAYA, SEMEMI, SEMEMI JAYA 5, 68</t>
  </si>
  <si>
    <t>TAM DBS1 / WINAR / R5 / SBY / 2P INET 10MB / PHONIX / BP RISKI 082138012710 / 0881 9501415 WA</t>
  </si>
  <si>
    <t>CROSSING###BUTUH PT3 ODP TERDEKAT -300 + ADA ODP LAGI CROSING REAL KERETA</t>
  </si>
  <si>
    <t>ODP-DMO-FSU/43 FSU/D04/43.01</t>
  </si>
  <si>
    <t>Provisioning Failed|WFM|IN61739584|tunggu konfirmasi AM</t>
  </si>
  <si>
    <t>=DATEDIF(O104,NOW(),"d")&amp;" Hari"</t>
  </si>
  <si>
    <t>SURABAYA, KEDUNGDORO, EMBONG MALANG, TP4-LT2</t>
  </si>
  <si>
    <t>DES;AM PRO HANIF;PIC GERARDUS MAXY 085711193908</t>
  </si>
  <si>
    <t>PENDING###Provisioning Failed|WFM|IN61739584|tunggu konfirmasi AM |WITEL</t>
  </si>
  <si>
    <t>- 1_1123;Biaya PSB ~ 1[0] - BWY DL;BWY DL ~ Saluran Dua Arah(BothWay)[0] - C19036;C19036 ~ CS19 - IndiHome Single Play Phone FIBER[0] - C19036~null~C19036_IN300;IN300 ~ Free Lokal dan SLJJ 300 Menit ~ C19036[95000] - C16059_V;C16059 ~ CS16 - Perangkat Modem &amp; ONT (Telepon)[0] - C16059_V~null~C16059_SWONT_V;SWONT ~ Biaya Sewa ONT ~ C16059 (Telepon)[40000] Total (Sebelum PPN) : 135000</t>
  </si>
  <si>
    <t>Provisioning Failed|WFM|IN61739658|tunggu konfirmasi AM</t>
  </si>
  <si>
    <t>=DATEDIF(O105,NOW(),"d")&amp;" Hari"</t>
  </si>
  <si>
    <t>DES;AM PRO NANDA;PIC GERARDUS 085711193908</t>
  </si>
  <si>
    <t>PENDING###Provisioning Failed|WFM|IN61739658|tunggu konfirmasi AM |WITEL</t>
  </si>
  <si>
    <t>KBL</t>
  </si>
  <si>
    <t>ODP-KBL-FVG/35</t>
  </si>
  <si>
    <t>Provisioning Failed|WFM|IN61745100|odp penuh FVG/36</t>
  </si>
  <si>
    <t>=DATEDIF(O106,NOW(),"d")&amp;" Hari"</t>
  </si>
  <si>
    <t>ABIT NUR DIYANSYAH</t>
  </si>
  <si>
    <t>SURABAYA,DUPAK,DUPAK BANDAR REJO 2, 18,60179, RT 3, RW 3</t>
  </si>
  <si>
    <t>MI;MYIR-10135903790001;SPXMY29-B1543PIW;ABIT NUR DIYANSYAH;081357057091</t>
  </si>
  <si>
    <t>ODP FULL###odp penuh FVG/36</t>
  </si>
  <si>
    <t>RIAL WAHYUDI</t>
  </si>
  <si>
    <t>ODP-KND-FDN/12 FDN/D01/12.01</t>
  </si>
  <si>
    <t>Provisioning Failed|WFM|IN61759948|Manja</t>
  </si>
  <si>
    <t>=DATEDIF(O107,NOW(),"d")&amp;" Hari"</t>
  </si>
  <si>
    <t>WARKOP ANTANIK 86</t>
  </si>
  <si>
    <t>SURABAYA, SUMBERREJO, SUMBEREJO 2, 082131694382, RT/RW -/-</t>
  </si>
  <si>
    <t>MYIR / TAM DBS2 / B1109PIU / JUNAIDI 085232236525 / R5 / SURABAYA / DIGIBIZ 2P E1 / Bp. Sholeh 082131694382 / Jl. Sumberejo 2, Depan perumahan GKP / TIKOR -7.232889, 112.606722</t>
  </si>
  <si>
    <t>CROSSING###BUTUH PT2 ODP TERDEKAR LEBIH DARI 300M</t>
  </si>
  <si>
    <t>ODP-BDG-FE/42</t>
  </si>
  <si>
    <t>Provisioning Failed|WFM|IN61757959|double sc501916343</t>
  </si>
  <si>
    <t>=DATEDIF(O108,NOW(),"d")&amp;" Hari"</t>
  </si>
  <si>
    <t>BRONDONG,PACIRAN,RAYA DRAJAT, -,62264, RT 001, RW 002</t>
  </si>
  <si>
    <t>MI;MYIR-10136872730001;SPNUR90-B1155NRI;Mohammad Jamiluddin;089616669361</t>
  </si>
  <si>
    <t>MUHAMMAD SUPRAYOGI</t>
  </si>
  <si>
    <t>LMG</t>
  </si>
  <si>
    <t>ODP-LMG-FK/05 FK/D01/05.01</t>
  </si>
  <si>
    <t>Provisioning Failed|WFM|IN61858680|manja</t>
  </si>
  <si>
    <t>=DATEDIF(O109,NOW(),"d")&amp;" Hari"</t>
  </si>
  <si>
    <t>ALAM KUNCORO WISNU AJI</t>
  </si>
  <si>
    <t>LAMONGAN, MADE, MADEDADI, KR, 76</t>
  </si>
  <si>
    <t>TAMCFF;188BGR;CF106917;ALAM KUNCORO WISNU AJI ;PsbIHQuadPlayRp300k;6281330726777</t>
  </si>
  <si>
    <t>ODP-LMG-FN/22 FN/D01/22.01</t>
  </si>
  <si>
    <t>Provisioning Failed|WFM|IN61898462|manja</t>
  </si>
  <si>
    <t>=DATEDIF(O110,NOW(),"d")&amp;" Hari"</t>
  </si>
  <si>
    <t>AGUNG TRI PURNOMO</t>
  </si>
  <si>
    <t>LAMONGAN, SIDOHARJO, SIDODADI, DSN, 0, RT/RW 1/4</t>
  </si>
  <si>
    <t>TAMDBS2 / FIRLI / R5 / LAMONGAN / PHOENIX 10 / AGUNG TRI PURNOMO CP. 085706208089 / 0812334466650</t>
  </si>
  <si>
    <t>ODP-KBL-FBL/27 FBL/D03/27.01</t>
  </si>
  <si>
    <t>Provisioning Failed|WFM|IN61760295|Manja</t>
  </si>
  <si>
    <t>=DATEDIF(O111,NOW(),"d")&amp;" Hari"</t>
  </si>
  <si>
    <t>LIA OKTAVIA KURNIAWATI</t>
  </si>
  <si>
    <t>SURABAYA, TANAH KALIKEDINDING, POGOT, 50B, RT/RW 2/6</t>
  </si>
  <si>
    <t>MI:MYIR /TAM DBS 1 / B1152 PIU /NURJANAH / R5 / SBS / 2P PHOONIX / 10 INET ONLY / lia 081952680078 / 08813506104</t>
  </si>
  <si>
    <t>ALAMAT###ALAMAT TIDAK KETEMU, CALL CP BERKALI2 G DIANGKAT</t>
  </si>
  <si>
    <t>ODP-DMO-FSU/37 FSU/D04/37.01</t>
  </si>
  <si>
    <t>Provisioning Failed|WFM|IN61752524|tunggu konfirmasi AM</t>
  </si>
  <si>
    <t>=DATEDIF(O112,NOW(),"d")&amp;" Hari"</t>
  </si>
  <si>
    <t>DES;AM PRO AGI;PIC GERARDUS MAXY 085711193908</t>
  </si>
  <si>
    <t>ODP-DMO-FSU/05 FSU/D01/05.01</t>
  </si>
  <si>
    <t>Provisioning Failed|WFM|IN61752620|tunggu konfirmasi AM</t>
  </si>
  <si>
    <t>=DATEDIF(O113,NOW(),"d")&amp;" Hari"</t>
  </si>
  <si>
    <t>ODP-KBL-FGN/53 FGN/D05/53.01</t>
  </si>
  <si>
    <t>Provisioning Failed|ACTIVATION|IN61792111|ALU_AMS_PORT_NT_FOUN:ServicePort Not Found / ONT Connectivity is Missing.</t>
  </si>
  <si>
    <t>=DATEDIF(O114,NOW(),"d")&amp;" Hari"</t>
  </si>
  <si>
    <t>HARTANTO SUHARJA TANDI</t>
  </si>
  <si>
    <t>SURABAYA, NYAMPLUNGAN, SONGOYUDAN 3, 9</t>
  </si>
  <si>
    <t>[PLSCSR:PL090306];GRD;FERRY ONGKOWIJOYO;08563000766;PSB POTS ; CS LILIK</t>
  </si>
  <si>
    <t>- 1_1123;Biaya PSB ~ 1[0] - BWY DL;BWY DL ~ Saluran Dua Arah(BothWay)[0] - C16059_V;C16059 ~ CS16 - Perangkat Modem &amp; ONT (Telepon)[0] - C16059_V~null~C16059_SWONT_V;SWONT ~ Biaya Sewa ONT ~ C16059 (Telepon)[0] Total (Sebelum PPN) : 0</t>
  </si>
  <si>
    <t>ODP-KBL-FAM/21</t>
  </si>
  <si>
    <t>Provisioning Failed|WFM|IN61821597|manja</t>
  </si>
  <si>
    <t>=DATEDIF(O115,NOW(),"d")&amp;" Hari"</t>
  </si>
  <si>
    <t>Sidhayta</t>
  </si>
  <si>
    <t>SURABAYA,KAPASAN,DONOKERTO BARU E, 23,60141, RT 5, RW 11</t>
  </si>
  <si>
    <t>MI;MYIR-10136217420006;CUST;Sidhayta;083857880990</t>
  </si>
  <si>
    <t>Alamat Instalasi TDK sesuai DP Area###Salah boundry, minta pasang di alamat Woodland WL2 NO 86 CITRA LAND ikut STO TANDES</t>
  </si>
  <si>
    <t>ODP-KRP-FAN/05 FAN/D01/05.01</t>
  </si>
  <si>
    <t>Provisioning Failed|WFM|IN61863990|manja</t>
  </si>
  <si>
    <t>=DATEDIF(O116,NOW(),"d")&amp;" Hari"</t>
  </si>
  <si>
    <t>SINARIADI SUASONO IR</t>
  </si>
  <si>
    <t>SURABAYA, KEDURUS, KEDURUS SAWAH GEDE 1, 8</t>
  </si>
  <si>
    <t>SP5053/SP/KKSM/HENDRIO KRISNANDA M/R5/SBU/2P INET 50MB/Indihome Net1 Prestige/CP damar 08118800049/DBS</t>
  </si>
  <si>
    <t>cancel sudah up di SC501905202</t>
  </si>
  <si>
    <t>- 1_1123;Biaya PSB ~ 1[150000] - BWY DL;BWY DL ~ Saluran Dua Arah(BothWay)[0] - C17028;C17028 ~ CS17 - New Indihome Lower Value POTS[0] - C17028~null~C17028_IN100;IN100 ~ Free Lokal dan SLJJ 100 Menit ~ C17028[20000] - C19175;C19175 ~ CS19 - IndiHome Prestige INET[0] - C19175~null~C19175_UNL;UNL ~ Internet-Link Unlimited Internet Usage ~ C19175[0] - C19175~null~38096;C19175||11||Abodemen 0[0] - C19175~null~C19175_INETF50M;INETF50M ~ New Internet Fair Usage Speed 50 Mbps ~ C19175[462000] - C16059_I;C16059 ~ CS16 - Perangkat Modem &amp; ONT (Internet)[0] - C16059_I~null~C16059_SWMODEM_I;SWMODEM ~ Biaya Sewa Modem ~ C16059 (Internet)[20000] Total (Sebelum PPN) : 502000</t>
  </si>
  <si>
    <t>ODP-KBL-FV/42</t>
  </si>
  <si>
    <t>Provisioning Failed|WFM|IN61802827|double dengan SC501927966</t>
  </si>
  <si>
    <t>=DATEDIF(O117,NOW(),"d")&amp;" Hari"</t>
  </si>
  <si>
    <t>Vivi Apriyanti</t>
  </si>
  <si>
    <t>SURABAYA,BULAK BANTENG,NAGA BANDA, 5/B-153,60127, RT 9, RW 5</t>
  </si>
  <si>
    <t>MI;MYIR-10136912270001;SPIMDWP;Vivi Apriyanti;081230054800</t>
  </si>
  <si>
    <t>DOUBLE INPUT DENGAN SC501927966</t>
  </si>
  <si>
    <t>ODP-BBA-FAH/09</t>
  </si>
  <si>
    <t>Provisioning Failed|WFM|IN61821164|double sc501938751</t>
  </si>
  <si>
    <t>=DATEDIF(O118,NOW(),"d")&amp;" Hari"</t>
  </si>
  <si>
    <t>ANAS BISYRI SPD</t>
  </si>
  <si>
    <t>BABAD,BABAD,GEMBONG, DS, 2,62271, RT 2, RW 2</t>
  </si>
  <si>
    <t>MI;MYIR-10134266970001;SPMHR76-B1155NRI;ANAS BISYRI SPD;081233726859</t>
  </si>
  <si>
    <t>ODP-DMO-FTL/01 FTL/D01/01.01</t>
  </si>
  <si>
    <t>Provisioning Failed|WFM|IN61805139|ini di telp PICnya jarene McD, tpi AM'e tk tnya gk ada order</t>
  </si>
  <si>
    <t>=DATEDIF(O119,NOW(),"d")&amp;" Hari"</t>
  </si>
  <si>
    <t>SURABAYA, EMBONG KALIASIN, PEMUDA, 27-31</t>
  </si>
  <si>
    <t>ODP-DMO-FSZ/03</t>
  </si>
  <si>
    <t>Provisioning Failed|WFM|IN61805227|ini intiland tower punya AM, inputan sales di workfail saja. biar pelanggan hubungi manajemen dan menginfokan ke AM</t>
  </si>
  <si>
    <t>=DATEDIF(O120,NOW(),"d")&amp;" Hari"</t>
  </si>
  <si>
    <t>Pramono Iwan prasetyo</t>
  </si>
  <si>
    <t>JL Panglima Sudirman 101-103,PT.mitra rejeki Investa as agent hyundai merchant, Embong Kaliasin, Genteng, Surabaya, East Java Intiland Tower 5th Floor, 60271, Embong Kaliasin, Genteng, Surabaya City, East Java 60271, Indonesia, null, 60271, Surabaya</t>
  </si>
  <si>
    <t>MI;MYIR-10135472570001;SPMRD05;Pramono Iwan prasetyo;081331415789</t>
  </si>
  <si>
    <t>ODP-KBL-FEF/11</t>
  </si>
  <si>
    <t>Provisioning Failed|UIM|IN61804416|1029:Reservation not found for Broadband CFS with Reservation ID : 14629546957</t>
  </si>
  <si>
    <t>=DATEDIF(O121,NOW(),"d")&amp;" Hari"</t>
  </si>
  <si>
    <t>SULISTIO BUDI</t>
  </si>
  <si>
    <t>Jl. Kp. Seratus Gedung FLAT A2 No. 06 (RUSUNAWA DBAL (flat) Kamar Lantai No.105 ),RT.001/RW.003, Kel.Ujung, Kec. Semampir, Kota Surabaya.</t>
  </si>
  <si>
    <t>MI;MYIR-10136043480001;SPKPT99-B1170PIU;SULISTIO BUDI;082153875863</t>
  </si>
  <si>
    <t>ODP-KBL-FBX/13</t>
  </si>
  <si>
    <t>7 | OSS - PROVISIONING ISSUED</t>
  </si>
  <si>
    <t>Provisioning Issued</t>
  </si>
  <si>
    <t>=DATEDIF(O122,NOW(),"d")&amp;" Hari"</t>
  </si>
  <si>
    <t>Safuddin</t>
  </si>
  <si>
    <t>Jl bulakbanteng tengah NO 58, Kec. Kenjeran, Kota SBY, Jawa Timur 60127, Indonesia - dekat puskesmas - 082234077924</t>
  </si>
  <si>
    <t>MI;MYIR-10136475450001;SPMCH05-L1493IK;Safuddin;082234077924</t>
  </si>
  <si>
    <t>ODP-GSK-FAW/19</t>
  </si>
  <si>
    <t>=DATEDIF(O123,NOW(),"d")&amp;" Hari"</t>
  </si>
  <si>
    <t>Jazilatun Nimah</t>
  </si>
  <si>
    <t>GRESIK,Kelurahan MANYAR REJO,KH.SYAHLAN 27, 23,61151, RT 9, RW 3</t>
  </si>
  <si>
    <t>MI;MYIR-10137291020001;SPMAD05-B1572NRI;Jazilatun Nimah;08121638516</t>
  </si>
  <si>
    <t>ODP-BDG-FE/29</t>
  </si>
  <si>
    <t>=DATEDIF(O124,NOW(),"d")&amp;" Hari"</t>
  </si>
  <si>
    <t>Indah Silvia</t>
  </si>
  <si>
    <t>Jl. Makam Maulana Ishaq, Desa Kemantren, Paciran, Lamongan GEMA 085707016889 Id Sales 7554907</t>
  </si>
  <si>
    <t>MI;MYIR-10136126840001;SPLFW02;Indah Silvia;085707016889</t>
  </si>
  <si>
    <t>ODP-KND-FDE/03</t>
  </si>
  <si>
    <t>Provisioning Failed|UIM|IN61812067|1029:Reservation not found for Broadband CFS with Reservation ID : 14652879360</t>
  </si>
  <si>
    <t>=DATEDIF(O125,NOW(),"d")&amp;" Hari"</t>
  </si>
  <si>
    <t>SUROSO</t>
  </si>
  <si>
    <t>CANDI LEMPUNG BLOK 47A NO. 55</t>
  </si>
  <si>
    <t>MI;MYIR-10136537530001;SPRLY03-B1109PIU;SUROSO;082335508520</t>
  </si>
  <si>
    <t>double input 501898684</t>
  </si>
  <si>
    <t>ODP-GSK-FB/13 FB/D07-01/02.01</t>
  </si>
  <si>
    <t>Provisioning Failed|WFM|IN61827432|manja</t>
  </si>
  <si>
    <t>=DATEDIF(O126,NOW(),"d")&amp;" Hari"</t>
  </si>
  <si>
    <t>ACHMAD FAHMI CHOLIDI</t>
  </si>
  <si>
    <t>GRESIK, Kelurahan RANDU AGUNG, TRI DARMA, 10</t>
  </si>
  <si>
    <t>SP5083/SP/KKSM/REVALINA YUNIAR/R5/SBU/2P INET 20MB/Indihome Net1/CP Fahmi 082230193399/DBS</t>
  </si>
  <si>
    <t>ODP FULL###ODP GSK FAE/05 FULL SUDAH VALIDASI DAN REDAMAN UNSPEC</t>
  </si>
  <si>
    <t>- 1_1123;Biaya PSB ~ 1[150000] - BWY DL;BWY DL ~ Saluran Dua Arah(BothWay)[0] - C16001;C16001 ~ CS16 - POTS indiHOME 1000 Menit[0] - C16001~null~C16001_IN1000;IN1000 ~ Free Lokal dan SLJJ 1000 Menit ~ C16001[50000] - C19175;C19175 ~ CS19 - IndiHome Prestige INET[0] - C19175~null~C19175_UNL;UNL ~ Internet-Link Unlimited Internet Usage ~ C19175[0] - C19175~null~38096;C19175||11||Abodemen 0[0] - C19175~null~C19175_INETF20M;INETF20M ~ New Internet Fair Usage Speed 20 Mbps ~ C19175[230000] - C16059_I;C16059 ~ CS16 - Perangkat Modem &amp; ONT (Internet)[0] - C16059_I~null~C16059_SWONT_I;SWONT ~ Biaya Sewa ONT ~ C16059 (Internet)[40000] Total (Sebelum PPN) : 320000</t>
  </si>
  <si>
    <t>ODP-GSK-FAM/10</t>
  </si>
  <si>
    <t>Provisioning Failed|UIM|IN61823190|1029:Reservation not found for Broadband CFS with Reservation ID : 14629575495</t>
  </si>
  <si>
    <t>=DATEDIF(O127,NOW(),"d")&amp;" Hari"</t>
  </si>
  <si>
    <t>ARIF</t>
  </si>
  <si>
    <t>Jl. Sunan Prapen No.38, Klangonan, Kebomas, Kec. Kebomas, Kabupaten Gresik, Jawa Timur 61124, Indonesia, null,</t>
  </si>
  <si>
    <t>MI;MYIR-10136489910001;SPIND02-B1572NRI;ARIF;085655642818</t>
  </si>
  <si>
    <t>Provisioning Failed|UIM|IN61824568|1029:Reservation not found for Broadband CFS with Reservation ID : 14652871384</t>
  </si>
  <si>
    <t>=DATEDIF(O128,NOW(),"d")&amp;" Hari"</t>
  </si>
  <si>
    <t>perum bukit emas dahan rejo blok A 11 no 6 kel dahan rejo kec kebumas gresik patokan : dekat pos satpam</t>
  </si>
  <si>
    <t>Provisioning Failed|UIM|IN61826149|1029:Reservation not found for Broadband CFS with Reservation ID : 14629580388</t>
  </si>
  <si>
    <t>=DATEDIF(O129,NOW(),"d")&amp;" Hari"</t>
  </si>
  <si>
    <t>Cafe Milenial, Jl. Kyai H. Syafiez?i No.108, RW.2, kel Suci, Kec. Manyar, Kabupaten Gresik, Jawa Timur 61151, Indonesia - patokan lokasi dekat depan pombemsin suci pemasngan untuk Cafe Milenial - dial to : 085785066599</t>
  </si>
  <si>
    <t>ODP-GSK-FZ/52</t>
  </si>
  <si>
    <t>Provisioning Failed|ACTIVATION|IN61842241|U31_PORT_NOT_FOUND:ServicePort Not Found / ONT Connectivity is Missing</t>
  </si>
  <si>
    <t>=DATEDIF(O130,NOW(),"d")&amp;" Hari"</t>
  </si>
  <si>
    <t>Irma Sadiyah</t>
  </si>
  <si>
    <t>GRESIK,Kelurahan KARANG POH,GUBERNUR SURYO, 3E/61,61116, RT 3, RW 3</t>
  </si>
  <si>
    <t>MI;MYIR-10137352970001;SPCRM05-B1572NRI;Irma Sadiyah;0813451719391</t>
  </si>
  <si>
    <t>ODP-KBL-FBE/45</t>
  </si>
  <si>
    <t>Provisioning Failed|WFM|IN61859871|IKUT SO KAPASAN</t>
  </si>
  <si>
    <t>=DATEDIF(O131,NOW(),"d")&amp;" Hari"</t>
  </si>
  <si>
    <t>Sri purwaningsih</t>
  </si>
  <si>
    <t>SURABAYA,PEGIRIAN,WONOKUSUMO JAYA 3, 30,60153, RT , RW 11</t>
  </si>
  <si>
    <t>MI;MYIR-10137297090001;SPMCH05-L1493IK;Sri purwaningsih;081342956134</t>
  </si>
  <si>
    <t>ikut so kapasan</t>
  </si>
  <si>
    <t>ODP-SDY-FB/57</t>
  </si>
  <si>
    <t>Provisioning Failed|UIM|IN61838715|1029:Reservation not found for Broadband CFS with Reservation ID : 14652881177</t>
  </si>
  <si>
    <t>=DATEDIF(O132,NOW(),"d")&amp;" Hari"</t>
  </si>
  <si>
    <t>Vicky Nifa Yanti</t>
  </si>
  <si>
    <t>Ds Kertosono Rt02 Rw01 Sidayu, Gresik Regency, East Java 61153, Indonesia, null, 61153, Gresik Regency, Sidayu, East Java</t>
  </si>
  <si>
    <t>MI;MYIR-10136573700001;SPXIK41-B1274NRI;Vicky Nifa Yanti;082332654483</t>
  </si>
  <si>
    <t>ODP-TDS-FCL/117</t>
  </si>
  <si>
    <t>=DATEDIF(O133,NOW(),"d")&amp;" Hari"</t>
  </si>
  <si>
    <t>KRIS TJAHJONO</t>
  </si>
  <si>
    <t>SURABAYA,PRADAH KALI KENDAL,APARTEMENT GRAHA GOLF, ALEXA-0908,60226, RT , RW</t>
  </si>
  <si>
    <t>MI;MYIR-10137269220001;SPXSF01-B1613PIW;KRIS TJAHJONO;0812358388101</t>
  </si>
  <si>
    <t>manja 30-01-2020</t>
  </si>
  <si>
    <t>50 Mbps, Usee Entry, HOOQ, Iflix, Catchplay, IndiHome Music Gold</t>
  </si>
  <si>
    <t>ODP-MYR-FEV/40 FEV/D07/40.01</t>
  </si>
  <si>
    <t>Provisioning Failed|WFM|IN61849863|Di dalam gang blom ada jaringan FO masuk butu PT2 PT3 -7.249044,112.770911 cp teknisi 082336071837</t>
  </si>
  <si>
    <t>=DATEDIF(O134,NOW(),"d")&amp;" Hari"</t>
  </si>
  <si>
    <t>YULIANA LIMEINA</t>
  </si>
  <si>
    <t>SURABAYA, PLOSO, KARANG ASEM 4, 68</t>
  </si>
  <si>
    <t>[PLSCSR:PL101173];GRD;YULIANA;0815106179090;PSB 2P INET USEE 20MB ABN 385K+PPN10%;KDBK;CS AGNES;PERLU KUNJUNGAN PSB</t>
  </si>
  <si>
    <t>PT2/PT3###Di dalam gang blom ada jaringan FO masuk butu PT2 PT3 -7.249044,112.770911 cp teknisi 082336071837</t>
  </si>
  <si>
    <t>- 11_11370;Biaya PSB New DP[150000] - C19189;C19189 ~ CS19 - IndiHome Streamix INET[0] - C19189~null~C19189_UNL;UNL ~ Internet-Link Unlimited Internet Usage ~ C19189[0] - C19189~null~38172;C19189||11||Abodemen 0[0] - C19189~null~C19189_INETF20M;INETF20M ~ New Internet Fair Usage Speed 20 Mbps ~ C19189[265000] - C16059_I;C16059 ~ CS16 - Perangkat Modem &amp; ONT (Internet)[0] - C16059_I~null~C16059_SWONT_I;SWONT ~ Biaya Sewa ONT ~ C16059 (Internet)[20000] - C19241;C19241 ~ CS19 - IndiHome Streamix Digital Service[0] - C19241~null~C19241_MEL_G;MEL_G ~ Melon Gold ~ C19241[10000] - C19190;C19190 ~ CS19 - IndiHome Streamix USEE + OTT[0] - C19190~null~C19190_USEEENTRYH;USEEENTRYH ~ New UseeTV Entry HD ~ C19190[40000] - C19190~null~C19190_USEE_HD;USEE_HD ~ USEE HD ~ C19190[0] - C19190~null~C19190_OTTIFLIX02;OTTIFLIX02 ~ OTT Iflix Hardbundling ~ C19190[10000] - C19190~null~C19190_OTTCATCH02;OTTCATCH02 ~ OTT Catchplay Hardbundling ~ C19190[10000] - C19190~null~C19190_OTTHOOQ02;OTTHOOQ02 ~ OTT Hooq Hardbundling ~ C19190[10000] - C19190~null~38168;C19190||11||Abodemen 0[0] - C16058;C16058 ~ CS16 - Perangkat Set Top Box[0] - C16058~null~C16058_SWSTBHYBRD;SWSTBHYBRD ~ Biaya Sewa Set Top Box Hybrid HD ~ C16058[20000] Total (Sebelum PPN) : 385000</t>
  </si>
  <si>
    <t>ODP-TDS-FJ/43 FJ/D09/43.01</t>
  </si>
  <si>
    <t>Provisioning Failed|WFM|IN61922132|manja</t>
  </si>
  <si>
    <t>=DATEDIF(O135,NOW(),"d")&amp;" Hari"</t>
  </si>
  <si>
    <t>HERU RUSTANDI</t>
  </si>
  <si>
    <t>SURABAYA, PRADAH KALI KENDAL, DARMO PERMAI 3, KR, 5</t>
  </si>
  <si>
    <t>[PLSCSR:PL60272];TDS;AP HERU;081223498494;PSB;INET ONLY 20MBPS 270RB BLM PPN;CSARUM</t>
  </si>
  <si>
    <t>ODP-SDY-FQ/42 FQ/D04/42.01</t>
  </si>
  <si>
    <t>Provisioning Failed|WFM|IN61860129|manja</t>
  </si>
  <si>
    <t>=DATEDIF(O136,NOW(),"d")&amp;" Hari"</t>
  </si>
  <si>
    <t>NURUL JIVAR</t>
  </si>
  <si>
    <t>GRESIK, Kecamatan PANCENG, WOTAN, DS, Telaga_Asinan</t>
  </si>
  <si>
    <t>SP5051/SP/KKSM/ERLIN WULANDARI/R5/SBU/2P Inet 10Mbps/Indihome Net1/CP Nurul Jivar 081515250487/DBS</t>
  </si>
  <si>
    <t>odp penuh</t>
  </si>
  <si>
    <t>- 1_1123;Biaya PSB ~ 1[150000] - BWY DL;BWY DL ~ Saluran Dua Arah(BothWay)[0] - C16061;C16061 ~ CS16 - POTS indiHOME 100 Menit[0] - C16061~null~C16061_IN100;IN100 ~ Free Lokal dan SLJJ 100 Menit ~ C16061[20000] - C17029;C17029 ~ CS17 - New Indihome Lower Value INET[0] - C17029~null~C17029_UNL;UNL ~ Internet-Link Unlimited Internet Usage ~ C17029[0] - C17029~null~C17029_INETF10M;INETF10M ~ New Internet Fair Usage Speed 10 Mbps ~ C17029[190000] - C16059_I;C16059 ~ CS16 - Perangkat Modem &amp; ONT (Internet)[0] - C16059_I~null~C16059_SWMODEM_I;SWMODEM ~ Biaya Sewa Modem ~ C16059 (Internet)[20000] Total (Sebelum PPN) : 230000</t>
  </si>
  <si>
    <t>Provisioning Failed|WFM|IN61860641|manja</t>
  </si>
  <si>
    <t>=DATEDIF(O137,NOW(),"d")&amp;" Hari"</t>
  </si>
  <si>
    <t>Devi Ayu Lestari</t>
  </si>
  <si>
    <t>GRESIK, Kecamatan PANCENG, WOTAN, DS, RT04-RW02, RT/RW 4/2</t>
  </si>
  <si>
    <t>SP5051/SP/KKSM/ERLIN WULANDARI/R5/SBU/2P INET 10MB/Indihome Net1/CP Devi Ayu Lestari 081330434962/DBS</t>
  </si>
  <si>
    <t>ODP-BBE-FHC/03</t>
  </si>
  <si>
    <t>Provisioning Failed|WFM|IN61860867|manja</t>
  </si>
  <si>
    <t>=DATEDIF(O138,NOW(),"d")&amp;" Hari"</t>
  </si>
  <si>
    <t>CATHARINE FRIDA PASKATYA</t>
  </si>
  <si>
    <t>GRESIK,BAMBE,BUKIT BAMBE BL AM, 7,61177, RT , RW</t>
  </si>
  <si>
    <t>MI;MYIR-10137324220001;SPDON23-B1184PIU;CATHARINE FRIDA PASKATYA;085745969184</t>
  </si>
  <si>
    <t>PENDING###MANJA HARI SABTU</t>
  </si>
  <si>
    <t>ODP-KBL-FBY/01</t>
  </si>
  <si>
    <t>Provisioning Failed|WFM|IN61860930|manja</t>
  </si>
  <si>
    <t>=DATEDIF(O139,NOW(),"d")&amp;" Hari"</t>
  </si>
  <si>
    <t>HANAFI</t>
  </si>
  <si>
    <t>Jl. Kapasari Pedukuhan gg langgar no 6, RT.010/RW.10, Tambakrejo, Kec. Simokerto, Kota SBY, Jawa Timur 60142, Indonesia, null, 60142, Kota Surabaya, Kecamatan Simokerto, Jawa Timur</t>
  </si>
  <si>
    <t>MI;MYIR-10136103520002;SPHAF03;HANAFI;082328080839</t>
  </si>
  <si>
    <t>INDIKASI CABUT PASANG, ADA LAYANAN AKTIF DILOKASI</t>
  </si>
  <si>
    <t>ODP-KBL-FED/07</t>
  </si>
  <si>
    <t>Provisioning Failed|UIM|IN61919655|terminationPoint == null</t>
  </si>
  <si>
    <t>=DATEDIF(O140,NOW(),"d")&amp;" Hari"</t>
  </si>
  <si>
    <t>HADI PRAYITNO</t>
  </si>
  <si>
    <t>SURABAYA,KAPASARI,KAPASARI, 5,60273, RT 13, RW 5</t>
  </si>
  <si>
    <t>MI;MYIR-10136629050001;SPMRD11;HADI PRAYITNO;0895700652203</t>
  </si>
  <si>
    <t>NO ONT###NOKIA MASIH KOSONG</t>
  </si>
  <si>
    <t>ODP-KBL-FEB/01</t>
  </si>
  <si>
    <t>=DATEDIF(O141,NOW(),"d")&amp;" Hari"</t>
  </si>
  <si>
    <t>VALENTINA RENWARIN</t>
  </si>
  <si>
    <t>SURABAYA,GADING,KAPAS MADYA 1 G, 28,60134, RT , RW</t>
  </si>
  <si>
    <t>MI;MYIR-10136225760001;SPDNN03-L1493IK;VALENTINA RENWARIN;081803162377</t>
  </si>
  <si>
    <t>ODP-KBL-FBB/16</t>
  </si>
  <si>
    <t>=DATEDIF(O142,NOW(),"d")&amp;" Hari"</t>
  </si>
  <si>
    <t>AYU RAHMAWATI</t>
  </si>
  <si>
    <t>SURABAYA,SIMOKERTO,SIMOKERTO 7, 11H,60143, RT , RW</t>
  </si>
  <si>
    <t>MI;MYIR-10136734930001;SPDIN03-L1493IK;AYU RAHMAWATI;085731213223</t>
  </si>
  <si>
    <t>ODP-KBL-FW/24</t>
  </si>
  <si>
    <t>=DATEDIF(O143,NOW(),"d")&amp;" Hari"</t>
  </si>
  <si>
    <t>Siprianus maskudi</t>
  </si>
  <si>
    <t>SURABAYA,TAMBAK WEDI,TAMBAK WEDI BARU 17, 12,60126, RT , RW</t>
  </si>
  <si>
    <t>MI;MYIR-10137022840001;SPRFH20-B1543PIW;Siprianus maskudi;081349023222</t>
  </si>
  <si>
    <t>ODP-DMO-FML/33 FML/D04/33.01</t>
  </si>
  <si>
    <t>=DATEDIF(O144,NOW(),"d")&amp;" Hari"</t>
  </si>
  <si>
    <t>BAGUS TRY PRASETYO</t>
  </si>
  <si>
    <t>SURABAYA, TEMBOK DUKUH, KALIBUTUH, 133, RT/RW 00/00</t>
  </si>
  <si>
    <t>[PLSCSR:PL38544]MGO;BAGUS;082139513690;PSB 2P INET USEETV ABN 615K;+PPN 10%;NOVISIT;CSANITA</t>
  </si>
  <si>
    <t>- C19189;C19189 ~ CS19 - IndiHome Streamix INET[0] - C19189~null~C19189_UNL;UNL ~ Internet-Link Unlimited Internet Usage ~ C19189[0] - C19189~null~38172;C19189||11||Abodemen 0[0] - C19189~null~C19189_INETF50M;INETF50M ~ New Internet Fair Usage Speed 50 Mbps ~ C19189[495000] - C16059_I;C16059 ~ CS16 - Perangkat Modem &amp; ONT (Internet)[0] - C16059_I~null~C16059_SWONT_I;SWONT ~ Biaya Sewa ONT ~ C16059 (Internet)[20000] - C19190;C19190 ~ CS19 - IndiHome Streamix USEE + OTT[0] - C19190~null~C19190_USEEENTRYH;USEEENTRYH ~ New UseeTV Entry HD ~ C19190[40000] - C19190~null~C19190_USEE_HD;USEE_HD ~ USEE HD ~ C19190[0] - C19190~null~C19190_OTTIFLIX02;OTTIFLIX02 ~ OTT Iflix Hardbundling ~ C19190[10000] - C19190~null~C19190_OTTCATCH02;OTTCATCH02 ~ OTT Catchplay Hardbundling ~ C19190[10000] - C19190~null~C19190_OTTHOOQ02;OTTHOOQ02 ~ OTT Hooq Hardbundling ~ C19190[10000] - C19190~null~38168;C19190||11||Abodemen 0[0] - C16058;C16058 ~ CS16 - Perangkat Set Top Box[0] - C16058~null~C16058_SWSTBHD;SWSTBHD ~ Biaya Sewa Set Top Box HD ~ C16058[30000] Total (Sebelum PPN) : 615000</t>
  </si>
  <si>
    <t>ODP-LMG-FD/60 FD/D03/60.01</t>
  </si>
  <si>
    <t>Provisioning Failed|WFM|IN61881763|manja</t>
  </si>
  <si>
    <t>=DATEDIF(O145,NOW(),"d")&amp;" Hari"</t>
  </si>
  <si>
    <t>HIDAYATUL MUNAWAROH</t>
  </si>
  <si>
    <t>LAMONGAN, SIDOBINANGUN, SEMAMBUNG, DSN, 18, RT/RW 1/3</t>
  </si>
  <si>
    <t>TAMDBS2 / FIRLI_081230290489 / R5 / LAMONGAN / PHOENIX 10 / HIDAYATUL MUNAWAROH CP. 085707734899 / 081227690523</t>
  </si>
  <si>
    <t>ODP-DMO-FTD/31 FTD/D05/31.01</t>
  </si>
  <si>
    <t>=DATEDIF(O146,NOW(),"d")&amp;" Hari"</t>
  </si>
  <si>
    <t>PT. HARDAYAWIDYA GRAHA</t>
  </si>
  <si>
    <t>SURABAYA, KETABANG, WALIKOTA MUSTAJAB, 1</t>
  </si>
  <si>
    <t>SP5083/SP/KKSM/REVALINA YUNIAR/R5/SBU/2P INET 20MB/Indihome Phoenix/CP Ibu Fenny 081254182777/DBS</t>
  </si>
  <si>
    <t>ALAMAT TIDAK KETEMU DAN CP RNA</t>
  </si>
  <si>
    <t>- 11_1123;Biaya PSB[0] - BWY DL;BWY DL ~ Saluran Dua Arah(BothWay)[0] - C19191;C19191 ~ CS19 - IndiHome Phoenix POTS + MOVIN[0] - C19191~null~C19191_MVNPHONE1;MVNPHONE1 ~ Movin Phone 1 ~ C19191[5000] - C19191~null~C19191_IN300;IN300 ~ Free Lokal dan SLJJ 300 Menit ~ C19191[25000] - C19192;C19192 ~ CS19 - IndiHome Phoenix INET[0] - C19192~null~C19192_UNL;UNL ~ Internet-Link Unlimited Internet Usage ~ C19192[0] - C19192~null~C19192_INETF20M;INETF20M ~ New Internet Fair Usage Speed 20 Mbps ~ C19192[272000] - C16059_I;C16059 ~ CS16 - Perangkat Modem &amp; ONT (Internet)[0] - C16059_I~null~C16059_SWMODEM_I;SWMODEM ~ Biaya Sewa Modem ~ C16059 (Internet)[20000] Total (Sebelum PPN) : 322000</t>
  </si>
  <si>
    <t>BBE</t>
  </si>
  <si>
    <t>ODP-BBE-FAD/64 FAD/D03/64.01</t>
  </si>
  <si>
    <t>Provisioning Failed|WFM|IN61867553|manja</t>
  </si>
  <si>
    <t>=DATEDIF(O147,NOW(),"d")&amp;" Hari"</t>
  </si>
  <si>
    <t>ALDO SYAHPUTRA</t>
  </si>
  <si>
    <t>GRESIK, PETIKEN, GRANIT KUMALA 1.1, 14</t>
  </si>
  <si>
    <t>TAM DBS1 / WINAR / R5 / JATIM / 2P INET 10MB / PHONIX / BP ALDO 082141350077 / 0813 9621 2878 / +62 822-5741-8740</t>
  </si>
  <si>
    <t>ODP FULL###ODP PENUH TERVALDAT FAD/33</t>
  </si>
  <si>
    <t>AGUNG RAMADHAN</t>
  </si>
  <si>
    <t>ODP-KBL-FX/26</t>
  </si>
  <si>
    <t>Provisioning Failed|WFM|IN61864273|manja</t>
  </si>
  <si>
    <t>=DATEDIF(O148,NOW(),"d")&amp;" Hari"</t>
  </si>
  <si>
    <t>UMI KULSUM</t>
  </si>
  <si>
    <t>SURABAYA,TAMBAK WEDI,TAMBAK WEDI TENGAH 8, 33,60126, RT , RW</t>
  </si>
  <si>
    <t>MI;MYIR-10137127570001;SPDIN03-L1493IK;UMI KULSUM;089636861816</t>
  </si>
  <si>
    <t>ODP FULL###ODP FULL DAN SUDAH TERVALIDASI -7.214250,112.773993</t>
  </si>
  <si>
    <t>ODP-KBL-FAX/08</t>
  </si>
  <si>
    <t>=DATEDIF(O149,NOW(),"d")&amp;" Hari"</t>
  </si>
  <si>
    <t>Nuryanik</t>
  </si>
  <si>
    <t>SURABAYA,KENJERAN,KENJERAN, 4A/4,60123, RT , RW</t>
  </si>
  <si>
    <t>MI;MYIR-10137264000001;SPAXD02-B1156PIU;Nuryanik;0856485959560</t>
  </si>
  <si>
    <t>ODP-KDE-FAD/08 FAD/D02/08.01</t>
  </si>
  <si>
    <t>Provisioning Failed|WFM|IN61865103|manja</t>
  </si>
  <si>
    <t>=DATEDIF(O150,NOW(),"d")&amp;" Hari"</t>
  </si>
  <si>
    <t>SMP DARUTTAWWABIN</t>
  </si>
  <si>
    <t>MENGANTI, MENGANTI, MENGANTI, DS, RYMENGANTI, RT/RW 24/08</t>
  </si>
  <si>
    <t>TAM DBS2 / AYA / R5/MENGANTI/DIGIBIZ 2P 20MBPS/2P/SUMALI 085100228769 /TIKOR (-7.29221992617476, 112.5776164576721)DKT PONPES DARUTTAWWABIN</t>
  </si>
  <si>
    <t>ODP-LKS-FBD/52</t>
  </si>
  <si>
    <t>=DATEDIF(O151,NOW(),"d")&amp;" Hari"</t>
  </si>
  <si>
    <t>Reshi Ria Salinra</t>
  </si>
  <si>
    <t>SURABAYA,LONTAR,RAYA LONTAR, 03,60216, RT , RW</t>
  </si>
  <si>
    <t>MI;MYIR-10137309380001;SPadt06;Reshi Ria Salinra;0838497202699</t>
  </si>
  <si>
    <t>ODP-KBL-FED/38</t>
  </si>
  <si>
    <t>8 | OSS - PONR</t>
  </si>
  <si>
    <t>PONR</t>
  </si>
  <si>
    <t>=DATEDIF(O152,NOW(),"d")&amp;" Hari"</t>
  </si>
  <si>
    <t>MOCH ZUBAIR</t>
  </si>
  <si>
    <t>SURABAYA,KAPASARI,GEMBONG 2, 5,60273, RT , RW</t>
  </si>
  <si>
    <t>MI;MYIR-10137432010001;SPION02;MOCH ZUBAIR;087846148024</t>
  </si>
  <si>
    <t>Provisioning Failed|WFM|IN61866067|manja</t>
  </si>
  <si>
    <t>=DATEDIF(O153,NOW(),"d")&amp;" Hari"</t>
  </si>
  <si>
    <t>SURABAYA, SUMBERREJO, SUMBEREJO 2, 082131694382</t>
  </si>
  <si>
    <t>PT2/PT3###BUTUH PT2 ODP TERDEKAR LEBIH DARI 300M</t>
  </si>
  <si>
    <t>ODP-KBL-FX/12</t>
  </si>
  <si>
    <t>=DATEDIF(O154,NOW(),"d")&amp;" Hari"</t>
  </si>
  <si>
    <t>ASYRIFATIN</t>
  </si>
  <si>
    <t>SURABAYA,TANAH KALIKEDINDING,KEDINDING LOR KEMUNING 1, 15,60129, RT 9, RW 1</t>
  </si>
  <si>
    <t>MI;MYIR-10136903360001;SPTik04;ASYRIFATIN;085733600631</t>
  </si>
  <si>
    <t>ODP-KBL-FVL/40</t>
  </si>
  <si>
    <t>=DATEDIF(O155,NOW(),"d")&amp;" Hari"</t>
  </si>
  <si>
    <t>SAIFUL RACHMAN</t>
  </si>
  <si>
    <t>SURABAYA,KEMAYORAN,KREMBANGAN JAYA UTARA 6, 81,60176, RT 02, RW 05</t>
  </si>
  <si>
    <t>MI;MYIR-10137492900003;SPMUI46;SAIFUL RACHMAN;085330043192</t>
  </si>
  <si>
    <t>ODP-KBL-FAD/19</t>
  </si>
  <si>
    <t>=DATEDIF(O156,NOW(),"d")&amp;" Hari"</t>
  </si>
  <si>
    <t>ALEX HADI PRIHANDOKO</t>
  </si>
  <si>
    <t>SURABAYA,JEPARA,DUPAK 6, 26,60171, RT , RW</t>
  </si>
  <si>
    <t>MI;MYIR-10137140130001;SPULA46;ALEX HADI PRIHANDOKO;082229987030</t>
  </si>
  <si>
    <t>ODP-KDE-FAE/11</t>
  </si>
  <si>
    <t>=DATEDIF(O157,NOW(),"d")&amp;" Hari"</t>
  </si>
  <si>
    <t>Muhammad Khoirul</t>
  </si>
  <si>
    <t>KEDAMEAN,MENGANTI,RAYA MENGANTI, Sidowungu18,61174, RT 16, RW 4</t>
  </si>
  <si>
    <t>MI;MYIR-10137569270001;SPBCA99-B1901PIV;Muhammad Khoirul;085258949148</t>
  </si>
  <si>
    <t>ODP-MYR-FSM/31 FSM/D04/31.01</t>
  </si>
  <si>
    <t>Provisioning Failed|WFM|IN61867626|MANJA</t>
  </si>
  <si>
    <t>=DATEDIF(O158,NOW(),"d")&amp;" Hari"</t>
  </si>
  <si>
    <t>DIVO KURNIAWAN JAYADI</t>
  </si>
  <si>
    <t>SURABAYA, BULAK, GADING INDAH UTARA 7, 1A</t>
  </si>
  <si>
    <t>PLSDNY:GTTST87:PSB IDH2P AP BPK DIVO CP 087750158885:320K 12 BLN:FREE ONTDAN STB JIKA DIPROMOKAN CSR ULLY</t>
  </si>
  <si>
    <t>ODP FULL###Odp satu satunya penuh pasif gendong 1:8 1:8 ODP-MYR-FSM/31 -7.234687,112.783350 No teknisi:087854135239 (Eko)</t>
  </si>
  <si>
    <t>- 11_1123;Biaya PSB[0] - C19189;C19189 ~ CS19 - IndiHome Streamix INET[0] - C19189~null~C19189_UNL;UNL ~ Internet-Link Unlimited Internet Usage ~ C19189[0] - C19189~null~38172;C19189||11||Abodemen 0[0] - C19189~null~C19189_INETF10M;INETF10M ~ New Internet Fair Usage Speed 10 Mbps ~ C19189[200000] - C16059_I;C16059 ~ CS16 - Perangkat Modem &amp; ONT (Internet)[0] - C16059_I~null~C16059_SWONT_I;SWONT ~ Biaya Sewa ONT ~ C16059 (Internet)[20000] - C19190;C19190 ~ CS19 - IndiHome Streamix USEE + OTT[0] - C19190~null~C19190_USEEENTRYH;USEEENTRYH ~ New UseeTV Entry HD ~ C19190[40000] - C19190~null~C19190_USEE_HD;USEE_HD ~ USEE HD ~ C19190[0] - C19190~null~C19190_OTTIFLIX02;OTTIFLIX02 ~ OTT Iflix Hardbundling ~ C19190[10000] - C19190~null~C19190_OTTCATCH02;OTTCATCH02 ~ OTT Catchplay Hardbundling ~ C19190[10000] - C19190~null~C19190_OTTHOOQ02;OTTHOOQ02 ~ OTT Hooq Hardbundling ~ C19190[10000] - C19190~null~38168;C19190||11||Abodemen 0[0] - C16058;C16058 ~ CS16 - Perangkat Set Top Box[0] - C16058~null~C16058_SWSTBHYBRD;SWSTBHYBRD ~ Biaya Sewa Set Top Box Hybrid HD ~ C16058[20000] Total (Sebelum PPN) : 310000</t>
  </si>
  <si>
    <t>ODP-KLN-FJ/10 FJ/D03/10.01</t>
  </si>
  <si>
    <t>=DATEDIF(O159,NOW(),"d")&amp;" Hari"</t>
  </si>
  <si>
    <t>ANDARU PUTRI SULISTYO WARNI</t>
  </si>
  <si>
    <t>SURABAYA, GREGES, MARGOMULYO, GG.PLN5.NO.9</t>
  </si>
  <si>
    <t>TAM DBS1 / WINAR / R5 / SBY / 2P INET 10MB / PHONIX / BP TEJO 081 550 22847 / 082143154525</t>
  </si>
  <si>
    <t>PENDING###manja besok tgl 30</t>
  </si>
  <si>
    <t>ODP-KBL-FBM/43 FBM/D04/43.01</t>
  </si>
  <si>
    <t>Provisioning Failed|WFM|IN61895405|manja</t>
  </si>
  <si>
    <t>=DATEDIF(O160,NOW(),"d")&amp;" Hari"</t>
  </si>
  <si>
    <t>BAMBANG KURNIAWAN</t>
  </si>
  <si>
    <t>SURABAYA, SIDOTOPO WETAN, SIDOMULYO 3 C, 24</t>
  </si>
  <si>
    <t>PLSDNY:GTTST87:PSB IHOME 2P INET POTS PAKET PHOENIX 10MBPS 300MENIT LOKAL-SLJJ AP BAMBANG CP 081553980999 SELAKU OWNER USAHA:280K:BIAYA PSB FREE JIKA DIPROMOKAN CSR NAUFAL</t>
  </si>
  <si>
    <t>- 11_1123;Biaya PSB[0] - BWY DL;BWY DL ~ Saluran Dua Arah(BothWay)[0] - C19191;C19191 ~ CS19 - IndiHome Phoenix POTS + MOVIN[0] - C19191~null~C19191_MVNPHONE1;MVNPHONE1 ~ Movin Phone 1 ~ C19191[5000] - C19191~null~C19191_IN300;IN300 ~ Free Lokal dan SLJJ 300 Menit ~ C19191[25000] - C19192;C19192 ~ CS19 - IndiHome Phoenix INET[0] - C19192~null~C19192_UNL;UNL ~ Internet-Link Unlimited Internet Usage ~ C19192[0] - C19192~null~C19192_INETF10M;INETF10M ~ New Internet Fair Usage Speed 10 Mbps ~ C19192[207000] - C16059_I;C16059 ~ CS16 - Perangkat Modem &amp; ONT (Internet)[0] - C16059_I~null~C16059_SWONT_I;SWONT ~ Biaya Sewa ONT ~ C16059 (Internet)[20000] Total (Sebelum PPN) : 257000</t>
  </si>
  <si>
    <t>ODP-BBE-FFA/19</t>
  </si>
  <si>
    <t>=DATEDIF(O161,NOW(),"d")&amp;" Hari"</t>
  </si>
  <si>
    <t>A LUKI NUGROHO SKOM</t>
  </si>
  <si>
    <t>GRESIK,DRIYOREJO,TENARU, WATES,61177, RT , RW</t>
  </si>
  <si>
    <t>MI;MYIR-10137281970001;SPYOS04;A LUKI NUGROHO SKOM;089601590590</t>
  </si>
  <si>
    <t>200 Mbps, UseeTV Essential, Free SLJJ 1000 menit, wifi.id Seamless, Cloud Storage 8Gb, Movin Phone, HOOQ, Iflix, Catchplay, IndiKids Lite, IndiMovie 1 &amp; 2, IndiSport 2, Inditainment Lite, IndiKorea</t>
  </si>
  <si>
    <t>ODP-KBL-FWA/05</t>
  </si>
  <si>
    <t>=DATEDIF(O162,NOW(),"d")&amp;" Hari"</t>
  </si>
  <si>
    <t>ROFFY YULEANTO</t>
  </si>
  <si>
    <t>SURABAYA,MOROKREMBANGAN,GADUKAN UTARA 4 A, 14,60178, RT , RW</t>
  </si>
  <si>
    <t>MI;MYIR-10136423970001;SPXMY93-B1152PIU;ROFFY YULEANTO;081216202287</t>
  </si>
  <si>
    <t>ODP-DMO-FDD/20</t>
  </si>
  <si>
    <t>=DATEDIF(O163,NOW(),"d")&amp;" Hari"</t>
  </si>
  <si>
    <t>FITRA AFNIA SHOFYANITA</t>
  </si>
  <si>
    <t>SURABAYA,TEGALSARI,KOMBES POL DURYAT, 09,60262, RT , RW</t>
  </si>
  <si>
    <t>MI;MYIR-10137569290001;SPXAP02-B1156PIU;FITRA AFNIA SHOFYANITA;081230083683</t>
  </si>
  <si>
    <t>ODP-KBL-FX/32</t>
  </si>
  <si>
    <t>=DATEDIF(O164,NOW(),"d")&amp;" Hari"</t>
  </si>
  <si>
    <t>SUGENG PRIYADI SS</t>
  </si>
  <si>
    <t>SURABAYA,TAMBAK WEDI,TAMBAK WEDI BARU 3, 10,60126, RT , RW</t>
  </si>
  <si>
    <t>MI;MYIR-10136270070001;SPMRD11;SUGENG PRIYADI SS;085955164960</t>
  </si>
  <si>
    <t>ODP-KBL-FEB/29</t>
  </si>
  <si>
    <t>Provisioning Failed|ACTIVATION|IN61913730|ALU_AMS_PORT_NT_FOUN:ServicePort Not Found / ONT Connectivity is Missing.</t>
  </si>
  <si>
    <t>=DATEDIF(O165,NOW(),"d")&amp;" Hari"</t>
  </si>
  <si>
    <t>ABDURRAHMAN SADAD</t>
  </si>
  <si>
    <t>SURABAYA,GADING,KAPAS MADYA 4 L, 16,60134, RT , RW</t>
  </si>
  <si>
    <t>MI;MYIR-10135552500001;SPSBU99;ABDURRAHMAN SADAD;085648564878</t>
  </si>
  <si>
    <t>ODP-KND-FEL/06</t>
  </si>
  <si>
    <t>Provisioning Failed|WFM|IN61911144|manja</t>
  </si>
  <si>
    <t>=DATEDIF(O166,NOW(),"d")&amp;" Hari"</t>
  </si>
  <si>
    <t>dandy agus ferdianza</t>
  </si>
  <si>
    <t>SURABAYA,SAMBIKEREP,KALIJARAN, 113,60217, RT , RW</t>
  </si>
  <si>
    <t>MI;MYIR-10137393090001;SPFsI07;dandy agus ferdianza;085645941179</t>
  </si>
  <si>
    <t>sudah terpasang 501967670</t>
  </si>
  <si>
    <t>ODP-CRM-FJ/15</t>
  </si>
  <si>
    <t>=DATEDIF(O167,NOW(),"d")&amp;" Hari"</t>
  </si>
  <si>
    <t>CHAIRUL ANWAR</t>
  </si>
  <si>
    <t>MENGANTI,MENGANTI,GEMPOL KURUNG, DS, .,61174, RT 4, RW 2</t>
  </si>
  <si>
    <t>MI;MYIR-10137555210001;SPXHR05-B1156PIU;CHAIRUL ANWAR;085708699670</t>
  </si>
  <si>
    <t>ODP-MYR-FSN/85 FSN/D05/85.01</t>
  </si>
  <si>
    <t>Provisioning Failed|WFM|IN61875665|manja</t>
  </si>
  <si>
    <t>=DATEDIF(O168,NOW(),"d")&amp;" Hari"</t>
  </si>
  <si>
    <t>UD MATAHARI</t>
  </si>
  <si>
    <t>SURABAYA, GADING, LEBAK TIMUR INDAH KAV., 6</t>
  </si>
  <si>
    <t>SF/DBS/BARATA/MOCHZULKHA</t>
  </si>
  <si>
    <t>CP RNA###Odp ready cp pelanggan salah sambung dan orang gudang tidak tau kalo ada pemasangan wifi indihome baru cp teknisi 082336071837</t>
  </si>
  <si>
    <t>- 11_2009;Biaya Initial Maintenance Service (IMS)[125000] - C17036;C17036 ~ CS17 - 1P Internet Only[0] - C17036~null~C17036_UNL;UNL ~ Internet-Link Unlimited Internet Usage ~ C17036[0] - C17036~null~C17036_INETF20M;INETF20M ~ New Internet Fair Usage Speed 20 Mbps ~ C17036[310000] - C16059_I;C16059 ~ CS16 - Perangkat Modem &amp; ONT (Internet)[0] - C16059_I~null~C16059_SWONT_I;SWONT ~ Biaya Sewa ONT ~ C16059 (Internet)[40000] Total (Sebelum PPN) : 350000</t>
  </si>
  <si>
    <t>ODP-LMG-FJ/23</t>
  </si>
  <si>
    <t>=DATEDIF(O169,NOW(),"d")&amp;" Hari"</t>
  </si>
  <si>
    <t>SUHARIYANTO dr Sp BS</t>
  </si>
  <si>
    <t>LAMONGAN,SUKOMULYO,PAGER WOJO, A1,62216, RT 1, RW 2</t>
  </si>
  <si>
    <t>MI;MYIR-10137445830001;SPMHR76-B1155NRI;SUHARIYANTO dr Sp BS;081330331090</t>
  </si>
  <si>
    <t>ODP-GSK-FQ/55</t>
  </si>
  <si>
    <t>=DATEDIF(O170,NOW(),"d")&amp;" Hari"</t>
  </si>
  <si>
    <t>ZUBAIDAH</t>
  </si>
  <si>
    <t>GRESIK,KEMBANGAN,PERUM CITRA GRAHA BLOK C, 24,61161, RT , RW</t>
  </si>
  <si>
    <t>MI;MYIR-10137576150001;SPRFK10-B1573NRI;ZUBAIDAH;081231811745</t>
  </si>
  <si>
    <t>20 Mbps, bonus Platform Game, 100 mnt panggilan Lokal-SLJJ &amp; UseeTV Entry</t>
  </si>
  <si>
    <t>ODP-SDY-FR/08</t>
  </si>
  <si>
    <t>=DATEDIF(O171,NOW(),"d")&amp;" Hari"</t>
  </si>
  <si>
    <t>Saiful adzim roziqin</t>
  </si>
  <si>
    <t>SIDAYU,SIDAYU,PENGULU, DS, .,61153, RT 1, RW 2</t>
  </si>
  <si>
    <t>MI;MYIR-10137647980001;SPXAR88-B1573NRI;Saiful adzim roziqin;083839915179</t>
  </si>
  <si>
    <t>=DATEDIF(O172,NOW(),"d")&amp;" Hari"</t>
  </si>
  <si>
    <t>TAM DBS2 /DIMAS FARID//REG 5/BABAD/5P /DIGIBIZ 50MB /BPK YUSUF/CP PLGN : 081330896509/TIKOR :-7.1003209,112.1826325</t>
  </si>
  <si>
    <t>- 11_2009;Biaya Initial Maintenance Service (IMS)[150000] - BWY DL;BWY DL ~ Saluran Dua Arah(BothWay)[0] - C19191;C19191 ~ CS19 - IndiHome Phoenix POTS + MOVIN[0] - C19191~null~C19191_MVNPHONE1;MVNPHONE1 ~ Movin Phone 1 ~ C19191[5000] - C19191~null~C19191_IN300;IN300 ~ Free Lokal dan SLJJ 300 Menit ~ C19191[25000] - C19192;C19192 ~ CS19 - IndiHome Phoenix INET[0] - C19192~null~C19192_UNL;UNL ~ Internet-Link Unlimited Internet Usage ~ C19192[0] - C19192~null~C19192_INETF50M;INETF50M ~ New Internet Fair Usage Speed 50 Mbps ~ C19192[502000] - C16059_I;C16059 ~ CS16 - Perangkat Modem &amp; ONT (Internet)[0] - C16059_I~null~C16059_SWMODEM_I;SWMODEM ~ Biaya Sewa Modem ~ C16059 (Internet)[20000] - C19197;C19197 ~ CS19 - IndiHome Phoenix CLOUD[0] - C19197~null~38253;C19197||11||Abodemen 0[0] - C19197~null~C19197_CLOSTR8G;CLOSTR8G ~ Cloud Storage for IndiHome Berbayar 8GB Fixed &amp; Recurring ~ C19197[8000] - C19197~null~C19197_MEL_S;MEL_S ~ Melon Silver ~ C19197[5000] - C19197~null~C19197_OTTSTUDY1;OTTSTUDY1 ~ OTT Indihome Study 1 ~ C19197[10000] Total (Sebelum PPN) : 575000</t>
  </si>
  <si>
    <t>ODP-KBL-FFP/01</t>
  </si>
  <si>
    <t>=DATEDIF(O173,NOW(),"d")&amp;" Hari"</t>
  </si>
  <si>
    <t>Iqbal Syamsurijal</t>
  </si>
  <si>
    <t>JL.Gadukan Baru Sekolahan No.61, RT.009/RW.004, Morokrembangan, Kec. Krembangan, Kota SBY, Jawa Timur 60178, Indonesia,patokannya paud ppt mekar sari - 085732157946</t>
  </si>
  <si>
    <t>MI;MYIR-10136649930001;SPKCD06-B1901PIV;Iqbal Syamsurijal;085732157946</t>
  </si>
  <si>
    <t>PELANGGAN CABUT PASANG.,</t>
  </si>
  <si>
    <t>ODP-GSK-FR/84 FR/D07/84-01</t>
  </si>
  <si>
    <t>=DATEDIF(O174,NOW(),"d")&amp;" Hari"</t>
  </si>
  <si>
    <t>rayhan fahrizul zaman</t>
  </si>
  <si>
    <t>GRESIK, Kelurahan YOSOWILANGUN, MAGETAN 1, 4, RT/RW 002/004</t>
  </si>
  <si>
    <t>[PLSCSR:PL38519];GSK;RAYHAN; 082230802030 ;PSB;20 MBPS INET USEETV 385:CSR LALA</t>
  </si>
  <si>
    <t>ODP-KBL-FGP/58 FGP/D07/58.01</t>
  </si>
  <si>
    <t>=DATEDIF(O175,NOW(),"d")&amp;" Hari"</t>
  </si>
  <si>
    <t>PT MAXIPRO SURABAYA</t>
  </si>
  <si>
    <t>SURABAYA, BONGKARAN, PENGAMPON SQUARE BLOK C, 6</t>
  </si>
  <si>
    <t>TAM DBS2 RISKY /CP AGENT : 082231384721 /REG V / SURABAYA /2P / DIGIBIS 2P 20MB / KRISTIAN / CP KRITSTIAN 081133330380 ATAU 0313536762</t>
  </si>
  <si>
    <t>- 11_1123;Biaya PSB[75000] - BWY DL;BWY DL ~ Saluran Dua Arah(BothWay)[0] - DS1805;DS1805 ~ DSS18 - DigiBiz 2P POTS[0] - DS1805~null~DS1805_IN1000;IN1000 ~ Free Lokal dan SLJJ 1000 Menit ~ DS1805[50000] - DS1804;DS1804 ~ DSS18 - DigiBiz 2P INET[0] - DS1804~null~DS1804_UNL;UNL ~ Internet-Link Unlimited Internet Usage ~ DS1804[0] - DS1804~null~DS1804_INETF20M;INETF20M ~ New Internet Fair Usage Speed 20 Mbps ~ DS1804[290000] - C16059_I;C16059 ~ CS16 - Perangkat Modem &amp; ONT (Internet)[0] - C16059_I~null~C16059_SWONT_I;SWONT ~ Biaya Sewa ONT ~ C16059 (Internet)[40000] Total (Sebelum PPN) : 380000</t>
  </si>
  <si>
    <t>ODP-LKS-FBD/26</t>
  </si>
  <si>
    <t>Provisioning Failed|UIM|IN61919098|1054:Service Port 1-1-13-11 on device GPON03-D5-LKI-3(172.27.142.143) has no connectivity</t>
  </si>
  <si>
    <t>=DATEDIF(O176,NOW(),"d")&amp;" Hari"</t>
  </si>
  <si>
    <t>NURUL SULISTIANI</t>
  </si>
  <si>
    <t>SURABAYA,LIDAH WETAN,LIDAH WETAN, 35,60213, RT , RW</t>
  </si>
  <si>
    <t>MI;MYIR-10137166340001;SPHOK11-B1175PIU;NURUL SULISTIANI;08113665669</t>
  </si>
  <si>
    <t>ODP-LKS-FBD/27</t>
  </si>
  <si>
    <t>=DATEDIF(O177,NOW(),"d")&amp;" Hari"</t>
  </si>
  <si>
    <t>Nur afrida alfianti</t>
  </si>
  <si>
    <t>SURABAYA,WIYUNG,WIYUNG 2, 2/61,60228, RT , RW</t>
  </si>
  <si>
    <t>MI;MYIR-10137518210001;SPAMG02-B1901PIV;Nur afrida alfianti;083857028946</t>
  </si>
  <si>
    <t>Provisioning Failed|WFM|IN61895033|belum ada jaringan butuh pt3</t>
  </si>
  <si>
    <t>=DATEDIF(O178,NOW(),"d")&amp;" Hari"</t>
  </si>
  <si>
    <t>ODP-LKS-FBD/67</t>
  </si>
  <si>
    <t>=DATEDIF(O179,NOW(),"d")&amp;" Hari"</t>
  </si>
  <si>
    <t>okky yuanita kurniawati</t>
  </si>
  <si>
    <t>SURABAYA,BANGKINGAN,ASRAMA POLISI BANGKINGAN, 10A/BARU,60214, RT , RW</t>
  </si>
  <si>
    <t>MI;MYIR-10136615680001;SPXMJU3-B1901PIV;okky yuanita kurniawati;081907869195</t>
  </si>
  <si>
    <t>ODP-KRP-FB/02</t>
  </si>
  <si>
    <t>=DATEDIF(O180,NOW(),"d")&amp;" Hari"</t>
  </si>
  <si>
    <t>YUSTIKA ASTARY</t>
  </si>
  <si>
    <t>SURABAYA,BALASKLUMPRIK,DE ALAMUDA RESIDENCE, O'Nay/K-16,60222, RT , RW</t>
  </si>
  <si>
    <t>MI;MYIR-10137495910001;SPXSF01-B1901PIV;YUSTIKA ASTARY;08121339370901</t>
  </si>
  <si>
    <t>20 Mbps, UseeTV Essential, Free Local SLJJ 1000 menit, Movin Phone, HOOQ, Iflix, Catchplay, IndiKids Lite, IndiMovie 2</t>
  </si>
  <si>
    <t>ODP-TDS-FAW/06</t>
  </si>
  <si>
    <t>Provisioning Failed|WFM|IN61897351|manja</t>
  </si>
  <si>
    <t>=DATEDIF(O181,NOW(),"d")&amp;" Hari"</t>
  </si>
  <si>
    <t>SUKARNO SE</t>
  </si>
  <si>
    <t>SURABAYA,SIMOMULYO,SIMO GUNUNG BARAT TOL, GG-1/63,60181, RT , RW</t>
  </si>
  <si>
    <t>MI;MYIR-10137114370001;SPXAP02-B1613PIW;SUKARNO SE;081333343035</t>
  </si>
  <si>
    <t>ODP-BBE-FAA/35</t>
  </si>
  <si>
    <t>=DATEDIF(O182,NOW(),"d")&amp;" Hari"</t>
  </si>
  <si>
    <t>ACHMAD SUNARYO</t>
  </si>
  <si>
    <t>GRESIK,PETIKEN,BIDURI BULAN 2.3, 8,61177, RT 2, RW 16</t>
  </si>
  <si>
    <t>MI;MYIR-10137414960001;SPADS04-B1250PIW;ACHMAD SUNARYO;085100598079</t>
  </si>
  <si>
    <t>ODP-BBE-FHA/15</t>
  </si>
  <si>
    <t>=DATEDIF(O183,NOW(),"d")&amp;" Hari"</t>
  </si>
  <si>
    <t>SEPTIAN RISKY KURNIAWAN</t>
  </si>
  <si>
    <t>GRESIK,PETIKEN,MUTIARA 4, 20,61177, RT 4, RW 7</t>
  </si>
  <si>
    <t>MI;MYIR-10137516380001;SPYON04;SEPTIAN RISKY KURNIAWAN;082233784920</t>
  </si>
  <si>
    <t>ODP-BBE-FY/16</t>
  </si>
  <si>
    <t>=DATEDIF(O184,NOW(),"d")&amp;" Hari"</t>
  </si>
  <si>
    <t>SUWITO</t>
  </si>
  <si>
    <t>SURABAYA,WARUGUNUNG,WARU GUNUNG BAGONG, .,60221, RT 004, RW 001</t>
  </si>
  <si>
    <t>MI;MYIR-10137064440001;SPSBU09-B1156PIU;SUWITO;082244400479</t>
  </si>
  <si>
    <t>ODP-KND-FAE/04</t>
  </si>
  <si>
    <t>=DATEDIF(O185,NOW(),"d")&amp;" Hari"</t>
  </si>
  <si>
    <t>ilham ansori</t>
  </si>
  <si>
    <t>SURABAYA,BERINGIN,BERINGIN JAYA, 5,60218, RT , RW</t>
  </si>
  <si>
    <t>MI;MYIR-10137026670001;SPIMD35;ilham ansori;082132241024</t>
  </si>
  <si>
    <t>ODP-KND-FB/03</t>
  </si>
  <si>
    <t>=DATEDIF(O186,NOW(),"d")&amp;" Hari"</t>
  </si>
  <si>
    <t>deny firmansyah</t>
  </si>
  <si>
    <t>SURABAYA,BABAT JERAWAT,PONDOK BENOWO INDAH BL J, 1,60197, RT , RW</t>
  </si>
  <si>
    <t>MI;MYIR-10137599550001;SPCRO04;deny firmansyah;08510031444500</t>
  </si>
  <si>
    <t>ODP-TDS-FCP/12</t>
  </si>
  <si>
    <t>Provisioning Failed|UIM|IN61898294|1054:Service Port 1-1-4-10 on device GPON10-D5-TNS-5(172.23.225.169) has existing customer.Please check connectivity</t>
  </si>
  <si>
    <t>=DATEDIF(O187,NOW(),"d")&amp;" Hari"</t>
  </si>
  <si>
    <t>CHRIS P WANDA</t>
  </si>
  <si>
    <t>SURABAYA,PRADAH KALI KENDAL,DARMO PERMAI SELATAN 10, 41,60226, RT , RW</t>
  </si>
  <si>
    <t>MI;MYIR-10136974700001;SPROY04-B1613PIW;CHRIS P WANDA;08124846217</t>
  </si>
  <si>
    <t>ODP-KND-FEX/01</t>
  </si>
  <si>
    <t>=DATEDIF(O188,NOW(),"d")&amp;" Hari"</t>
  </si>
  <si>
    <t>ODP-GSK-FAW/18</t>
  </si>
  <si>
    <t>=DATEDIF(O189,NOW(),"d")&amp;" Hari"</t>
  </si>
  <si>
    <t>Kasiyati</t>
  </si>
  <si>
    <t>GRESIK,Kelurahan MANYAR REJO,KH.SYAHLAN 28, .,61151, RT 3, RW 4</t>
  </si>
  <si>
    <t>MI;MYIR-10137669970001;SPXIK41-B1274NRI;Kasiyati;085796000337</t>
  </si>
  <si>
    <t>ACHMAD YUSUF ZUNAIDI</t>
  </si>
  <si>
    <t>ODP-KDE-FAF/26</t>
  </si>
  <si>
    <t>=DATEDIF(O190,NOW(),"d")&amp;" Hari"</t>
  </si>
  <si>
    <t>Richard Sie</t>
  </si>
  <si>
    <t>GRESIK,Kelurahan MENGANTI,PERUM LADIVA GREEN HILL, C1/21,61174, RT , RW</t>
  </si>
  <si>
    <t>MI;MYIR-10137581600001;SPMAD05-B1572NRI;Richard Sie;082296362678</t>
  </si>
  <si>
    <t>ODP-GSK-FAC/80</t>
  </si>
  <si>
    <t>=DATEDIF(O191,NOW(),"d")&amp;" Hari"</t>
  </si>
  <si>
    <t>Rissa Puspitasari</t>
  </si>
  <si>
    <t>GRESIK,Kelurahan RANDU AGUNG,DR WAHIDIN SUDIROHUSODO 14 F, 48,61121, RT , RW</t>
  </si>
  <si>
    <t>MI;MYIR-10137572120001;SPWAN86-B1274NRI;Rissa Puspitasari;082330832255</t>
  </si>
  <si>
    <t>GCL-KRP-F04/003</t>
  </si>
  <si>
    <t>=DATEDIF(O192,NOW(),"d")&amp;" Hari"</t>
  </si>
  <si>
    <t>DZAKIYYAH ISLAMIAH NOORSY</t>
  </si>
  <si>
    <t>SURABAYA,BALASKLUMPRIK,PONDOK MARITIM INDAH BL ZB, 33,60222, RT , RW</t>
  </si>
  <si>
    <t>MI;MYIR-10137419540001;SPAFN02;DZAKIYYAH ISLAMIAH NOORSY;081235012712</t>
  </si>
  <si>
    <t>ODP-KDE-FAD/39</t>
  </si>
  <si>
    <t>=DATEDIF(O193,NOW(),"d")&amp;" Hari"</t>
  </si>
  <si>
    <t>SULIK</t>
  </si>
  <si>
    <t>KEDAMEAN,MENGANTI,SIDO JANGKUNG, DS, .,61174, RT 4, RW 2</t>
  </si>
  <si>
    <t>MI;MYIR-10137728800001;SPMAD05-B1572NRI;SULIK;0822492436871</t>
  </si>
  <si>
    <t>ODP-SDY-FN/17</t>
  </si>
  <si>
    <t>WFM - ACTIVATION COMPLETE</t>
  </si>
  <si>
    <t>Activation Complete</t>
  </si>
  <si>
    <t>=DATEDIF(O194,NOW(),"d")&amp;" Hari"</t>
  </si>
  <si>
    <t>Erni Wulan Sari</t>
  </si>
  <si>
    <t>SIDAYU,SEMBAYAT,RAYA SEMBAYAT, KaliTengah17,61151, RT 7, RW 2</t>
  </si>
  <si>
    <t>MI;MYIR-10137657940001;SPSWD72-B1291NRI;Erni Wulan Sari;082123412346</t>
  </si>
  <si>
    <t>ODP-MYR-FGH/24</t>
  </si>
  <si>
    <t>=DATEDIF(O195,NOW(),"d")&amp;" Hari"</t>
  </si>
  <si>
    <t>ANDRIAN EKAPUTRA</t>
  </si>
  <si>
    <t>SURABAYA,GADING,LEBAK REJO UTARA 2, 33,60134, RT , RW</t>
  </si>
  <si>
    <t>MI;MYIR-10137449090001;SPXAP02-B1156PIU;ANDRIAN EKAPUTRA;0821313883330</t>
  </si>
  <si>
    <t>ODP-MYR-FDW/06</t>
  </si>
  <si>
    <t>Provisioning Failed|WFM|IN61896643|manja</t>
  </si>
  <si>
    <t>=DATEDIF(O196,NOW(),"d")&amp;" Hari"</t>
  </si>
  <si>
    <t>Sholehuddin</t>
  </si>
  <si>
    <t>SURABAYA,GADING,SETRO BARU UTARA 12, 28,60134, RT , RW</t>
  </si>
  <si>
    <t>MI;MYIR-10137041350001;SPMRD02;Sholehuddin;081259144141</t>
  </si>
  <si>
    <t>PT2/PT3###Di area tersebut blm ad tiang Telkom &amp; jargan FO perlu PT2 PT3 -7.235879,112.780289 No teknisi:087854135239 (Eko)</t>
  </si>
  <si>
    <t>ODP-GSK-FAS/15</t>
  </si>
  <si>
    <t>=DATEDIF(O197,NOW(),"d")&amp;" Hari"</t>
  </si>
  <si>
    <t>yuris arismawanto</t>
  </si>
  <si>
    <t>GRESIK,Kelurahan SIDOKUMPUL,JAKSA AGUNG SUPRAPTO, 38c,61111, RT , RW</t>
  </si>
  <si>
    <t>MI;MYIR-10137632840001;SPPRS26-B1291NRI;yuris arismawanto;085608700057</t>
  </si>
  <si>
    <t>ODP-GSK-FAC/93</t>
  </si>
  <si>
    <t>=DATEDIF(O198,NOW(),"d")&amp;" Hari"</t>
  </si>
  <si>
    <t>IKWANA SAFIRA</t>
  </si>
  <si>
    <t>GRESIK,Kelurahan RANDU AGUNG,DR WAHIDIN SUDIROHUSODO 28, BaruBlk-B/18,61121, RT 4, RW 2</t>
  </si>
  <si>
    <t>MI;MYIR-10137681420001;SPBAB99;IKWANA SAFIRA;081327723973</t>
  </si>
  <si>
    <t>ODP-CRM-FE/70</t>
  </si>
  <si>
    <t>=DATEDIF(O199,NOW(),"d")&amp;" Hari"</t>
  </si>
  <si>
    <t>Sutrisno</t>
  </si>
  <si>
    <t>CERME,CERME,CAGAK AGUNG, DS, .,61171, RT 2, RW 1</t>
  </si>
  <si>
    <t>MI;MYIR-10137656510001;SPKRS12-B1573NRI;Sutrisno;082234905808</t>
  </si>
  <si>
    <t>ODP-KBL-FTD/02</t>
  </si>
  <si>
    <t>Provisioning Failed|WFM|IN61903907|manja</t>
  </si>
  <si>
    <t>=DATEDIF(O200,NOW(),"d")&amp;" Hari"</t>
  </si>
  <si>
    <t>SUYITNO</t>
  </si>
  <si>
    <t>SURABAYA,MOROKREMBANGAN,GRESIK GADUKAN TIMUR, 188A,60178, RT , RW</t>
  </si>
  <si>
    <t>MI;MYIR-10137617120001;SPXMY93-B1152PIU;SUYITNO;082233221483</t>
  </si>
  <si>
    <t>ODP-MYR-FUM/13</t>
  </si>
  <si>
    <t>Provisioning Failed|WFM|IN61903580|manja</t>
  </si>
  <si>
    <t>=DATEDIF(O201,NOW(),"d")&amp;" Hari"</t>
  </si>
  <si>
    <t>Devina callista ayungga</t>
  </si>
  <si>
    <t>SURABAYA,KALIJUDAN,PUNCAK DHARMAHUSADA TOWER A, 703,60114, RT , RW</t>
  </si>
  <si>
    <t>MI;MYIR-10137626520001;SPXTH89-B1543PIW;Devina callista ayungga;081252930000</t>
  </si>
  <si>
    <t>ODP-KBL-FZQ/36</t>
  </si>
  <si>
    <t>Provisioning Failed|WFM|IN61919479|odp belum golive</t>
  </si>
  <si>
    <t>=DATEDIF(O202,NOW(),"d")&amp;" Hari"</t>
  </si>
  <si>
    <t>SAHID ABDULLAH</t>
  </si>
  <si>
    <t>Jl. Kalimas Baru Pos 3 Stand 69, RT.001/RW.01, Perak Utara, Kec. Pabean Cantian, Kota SBY, Jawa Timur 60165, Indonesia, null, 60165, Kota Surabaya, Kecamatan Pabean Cantian, Jawa Timur</t>
  </si>
  <si>
    <t>MI;MYIR-10136410570001;SPXMY93-B1152PIU;SAHID ABDULLAH;083857882480</t>
  </si>
  <si>
    <t>GO LIVE###odp belum golive</t>
  </si>
  <si>
    <t>ODP-BDG-FE/59</t>
  </si>
  <si>
    <t>Provisioning Failed|WFM|IN61901266|Manja</t>
  </si>
  <si>
    <t>=DATEDIF(O203,NOW(),"d")&amp;" Hari"</t>
  </si>
  <si>
    <t>FATIN FUADAH</t>
  </si>
  <si>
    <t>Jln.Tuban- Gresik Tunggul, Kec. Paciran, Kabupaten Lamongan, Jawa Timur 62264, Indonesia, null, 62264, Kabupaten Lamongan, Kecamatan Paciran, Jawa Timur</t>
  </si>
  <si>
    <t>MI;MYIR-10136376190001;SPMHR16-B1155NRI;FATIN FUADAH;081515503102</t>
  </si>
  <si>
    <t>ODP-BBE-FP/02</t>
  </si>
  <si>
    <t>=DATEDIF(O204,NOW(),"d")&amp;" Hari"</t>
  </si>
  <si>
    <t>CHORUL AKHLADA</t>
  </si>
  <si>
    <t>GRESIK,DRIYOREJO,BANJARAN, 21,61177, RT 2, RW 1</t>
  </si>
  <si>
    <t>MI;MYIR-10136211830001;SPADS04-B1250PIW;CHORUL AKHLADA;0895340601276</t>
  </si>
  <si>
    <t>ODP-KND-FC/04 FC/D01/04.01</t>
  </si>
  <si>
    <t>Provisioning Failed|WFM|IN61906989|manja</t>
  </si>
  <si>
    <t>=DATEDIF(O205,NOW(),"d")&amp;" Hari"</t>
  </si>
  <si>
    <t>NANDA DWI PERMANA PUTRA</t>
  </si>
  <si>
    <t>SURABAYA, SEMEMI, RAYA KENDUNG, 0</t>
  </si>
  <si>
    <t>MI;MYIR/TAM DBS2/MOLLA_085102122890/TREG 5/B1613PIW/SURABAYA/2P PAKET STREAMIX 10MB/P NANDA 082233428861</t>
  </si>
  <si>
    <t>PT2/PT3###ALAMAT YANG BENAR KENDUNG SELATAN KAVLINGAN, BUTUH PT 3</t>
  </si>
  <si>
    <t>ODP-BDG-FE/60</t>
  </si>
  <si>
    <t>=DATEDIF(O206,NOW(),"d")&amp;" Hari"</t>
  </si>
  <si>
    <t>Bambang Priyanto</t>
  </si>
  <si>
    <t>BRONDONG,PACIRAN,KEMANTREN,DS, TUBANGSK16,62264, RT 05, RW 05</t>
  </si>
  <si>
    <t>MI;MYIR-10137410970001;SPMHR90-B1155NRI;Bambang Priyanto;081364376119</t>
  </si>
  <si>
    <t>ODP-KBL-FTA/06</t>
  </si>
  <si>
    <t>=DATEDIF(O207,NOW(),"d")&amp;" Hari"</t>
  </si>
  <si>
    <t>Lutfi zuhrotul puadah</t>
  </si>
  <si>
    <t>SURABAYA,PERAK UTARA,TELUK NIBUNG BARAT 4, 27,60165, RT 04, RW 07</t>
  </si>
  <si>
    <t>MI;MYIR-10137543080001;SPIMDWP;Lutfi zuhrotul puadah;087852436686</t>
  </si>
  <si>
    <t>ODP-BBA-FAE/48</t>
  </si>
  <si>
    <t>=DATEDIF(O208,NOW(),"d")&amp;" Hari"</t>
  </si>
  <si>
    <t>ENI WIJAYANTI</t>
  </si>
  <si>
    <t>BABAD,KEDUNG PRING,MEJONO,DS, -,62272, RT 01, RW 06</t>
  </si>
  <si>
    <t>MI;MYIR-10137503150001;SPMHR74-B1155NRI;ENI WIJAYANTI;085733730523</t>
  </si>
  <si>
    <t>ODP-GSK-FAA/129</t>
  </si>
  <si>
    <t>Provisioning Failed|UIM|IN61897236|1029:Reservation not found for Broadband CFS with Reservation ID : 14652918639</t>
  </si>
  <si>
    <t>=DATEDIF(O209,NOW(),"d")&amp;" Hari"</t>
  </si>
  <si>
    <t>RUKAYYAH</t>
  </si>
  <si>
    <t>Jl. Tambang No.48, Gn. Malang, Randuagung, Kec. Kebomas, Kabupaten Gresik, Jawa Timur 61121, Indonesia, null, 61121, Kabupaten Gresik, Kecamatan Kebomas, Jawa Timur</t>
  </si>
  <si>
    <t>MI;MYIR-10136807370001;SPMJL05;RUKAYYAH;085736888735</t>
  </si>
  <si>
    <t>ODP-KJR-FBZ/08</t>
  </si>
  <si>
    <t>Provisioning Failed|UIM|IN61897237|1029:Reservation not found for Broadband CFS with Reservation ID : 14652920532</t>
  </si>
  <si>
    <t>=DATEDIF(O210,NOW(),"d")&amp;" Hari"</t>
  </si>
  <si>
    <t>SARIJONO</t>
  </si>
  <si>
    <t>Kalijudan VI No.22 F, Kalijudan, Kec. Mulyorejo, Kota SBY, Jawa Timur 60114, Indonesia, null, 60114, Kota Surabaya, Kecamatan Mulyorejo, Jawa Timur</t>
  </si>
  <si>
    <t>MI;MYIR-10136855090001;SPAXC02-B1156PIU;SARIJONO;0823385287350</t>
  </si>
  <si>
    <t>Doubel unput dengan sc 501920867</t>
  </si>
  <si>
    <t>=DATEDIF(O211,NOW(),"d")&amp;" Hari"</t>
  </si>
  <si>
    <t>ARI REKOTOMO</t>
  </si>
  <si>
    <t>SURABAYA,LIDAH WETAN,LIDAH WETAN 2, B/38-KMR-10,60213, RT , RW</t>
  </si>
  <si>
    <t>MI;MYIR-10135749770001;SPKPT99-B1170PIU;ARI REKOTOMO;087859404639</t>
  </si>
  <si>
    <t>ODP-KBL-FBP/07</t>
  </si>
  <si>
    <t>Provisioning Failed|WFM|IN61904177|manja</t>
  </si>
  <si>
    <t>=DATEDIF(O212,NOW(),"d")&amp;" Hari"</t>
  </si>
  <si>
    <t>RIFQI FAUZAN</t>
  </si>
  <si>
    <t>Randu timur lebar gg 3 No. 8b, rt 5 rw 10, Sidotopo Wetan, Kec. Kenjeran, Kota SBY, Jawa Timur 60128, Indonesia, Patokan masuk gang - 082213253236</t>
  </si>
  <si>
    <t>MI;MYIR-10136508620001;SPNAC08;RIFQI FAUZAN;08082213253236</t>
  </si>
  <si>
    <t>=DATEDIF(O213,NOW(),"d")&amp;" Hari"</t>
  </si>
  <si>
    <t>PUDOT ISRAWAN SH</t>
  </si>
  <si>
    <t>SURABAYA,KEBRAON,GRIYA KEBRAON BARAT, CA/15,60222, RT , RW</t>
  </si>
  <si>
    <t>MI;MYIR-10137612740002;SPREI70-B1132PIU;PUDOT ISRAWAN SH;082260227272</t>
  </si>
  <si>
    <t>ODP-KND-FDJ/01</t>
  </si>
  <si>
    <t>=DATEDIF(O214,NOW(),"d")&amp;" Hari"</t>
  </si>
  <si>
    <t>HENY LUSITA</t>
  </si>
  <si>
    <t>SURABAYA,BALONGSARI,BALONGSARI TAMA 9, KR, C/1-2,60186, RT , RW</t>
  </si>
  <si>
    <t>MI;MYIR-10137614680001;SPAZI06-B1613PIW;HENY LUSITA;082133472798</t>
  </si>
  <si>
    <t>ODP-KND-FDZ/09</t>
  </si>
  <si>
    <t>=DATEDIF(O215,NOW(),"d")&amp;" Hari"</t>
  </si>
  <si>
    <t>FABRIZIO RAFLY IMANSYAH</t>
  </si>
  <si>
    <t>SURABAYA,MANUKAN KULON,MANUKAN SUBUR 7, KR, 43,60185, RT , RW</t>
  </si>
  <si>
    <t>MI;MYIR-10137639310001;SPXSR52-B1901PIV;FABRIZIO RAFLY IMANSYAH;08113444644</t>
  </si>
  <si>
    <t>ODP-MYR-FVC/01</t>
  </si>
  <si>
    <t>=DATEDIF(O216,NOW(),"d")&amp;" Hari"</t>
  </si>
  <si>
    <t>FRESDY HERMAWAN</t>
  </si>
  <si>
    <t>SURABAYA,GADING,DUKUH SETRO 1 TENGAH, 17A,60134, RT 1, RW 8</t>
  </si>
  <si>
    <t>MI;MYIR-10137669890001;SPDAKI1-L1493IK;FRESDY HERMAWAN;082233296504</t>
  </si>
  <si>
    <t>ODP-BPG-FC/10 FC/D02/10.01</t>
  </si>
  <si>
    <t>Provisioning Failed|WFM|IN61915646|manja</t>
  </si>
  <si>
    <t>=DATEDIF(O217,NOW(),"d")&amp;" Hari"</t>
  </si>
  <si>
    <t>KIKI PUTU YANCE</t>
  </si>
  <si>
    <t>MOJOKERTO, DAWARBLANDONG, CENDORO, 0, RT/RW 1/4</t>
  </si>
  <si>
    <t>TAMDBS2 / FIRLI_081230290489 / GAMERS 10 / KIKI PUTU YANCE CP. 087758411972 / 085852544877 (DUSUN PELEM DESA CENDORO RT 1 RW 4 KECAMATAN DAWARBLANDONG / ODP terdekat ODP-BPG-FC/03)</t>
  </si>
  <si>
    <t>- 11_2009;Biaya Initial Maintenance Service (IMS)[75000] - BWY DL;BWY DL ~ Saluran Dua Arah(BothWay)[0] - C18053;C18053 ~ CS18 - Indihome Gamer POTS[0] - C18053~null~C18053_IN100;IN100 ~ Free Lokal dan SLJJ 100 Menit ~ C18053[20000] - C18052;C18052 ~ CS18 - Indihome Gamer INET[0] - C18052~null~C18052_UNL;UNL ~ Internet-Link Unlimited Internet Usage ~ C18052[0] - C18052~null~C18052_APP_GAMERS;APP_GAMERS ~ Apps Gamer untuk HSI Gamer ~ C18052[50000] - C18052~null~C18052_INETC10M;INETC10M ~ Internet HSI Gamer Speed 10 Mbps ~ C18052[190000] - C16059_I;C16059 ~ CS16 - Perangkat Modem &amp; ONT (Internet)[0] - C16059_I~null~C16059_SWONT_I;SWONT ~ Biaya Sewa ONT ~ C16059 (Internet)[40000] - C18054;C18054 ~ CS18 - Indihome Gamer USEE[0] - C18054~null~C18054_USEEENTRYH;USEEENTRYH ~ New UseeTV Entry HD ~ C18054[40000] - C18054~null~C18054_USEE_HD;USEE_HD ~ USEE HD ~ C18054[0] - C16058;C16058 ~ CS16 - Perangkat Set Top Box[0] - C16058~null~C16058_SWSTBHYBRD;SWSTBHYBRD ~ Biaya Sewa Set Top Box Hybrid HD ~ C16058[40000] Total (Sebelum PPN) : 380000</t>
  </si>
  <si>
    <t>=DATEDIF(O218,NOW(),"d")&amp;" Hari"</t>
  </si>
  <si>
    <t>mie lan</t>
  </si>
  <si>
    <t>SURABAYA,PETEMON,PETEMON BARAT, 188B,60252, RT , RW</t>
  </si>
  <si>
    <t>MI;MYIR-10137337690001;SPADY83-B1543PIW;mie lan;081232553000</t>
  </si>
  <si>
    <t>=DATEDIF(O219,NOW(),"d")&amp;" Hari"</t>
  </si>
  <si>
    <t>BETYN FATIMA THUZ ZHARA</t>
  </si>
  <si>
    <t>SURABAYA,BABATAN,DUKUH KARANGAN 4, 18A,60227, RT , RW</t>
  </si>
  <si>
    <t>MI;MYIR-10137118970005;SPBBC90;BETYN FATIMA THUZ ZHARA;087850488386</t>
  </si>
  <si>
    <t>ODP-LMG-FJ/13</t>
  </si>
  <si>
    <t>10 | OSS - PROVISIONING COMPLETE</t>
  </si>
  <si>
    <t>Provisioning Completed</t>
  </si>
  <si>
    <t>=DATEDIF(O220,NOW(),"d")&amp;" Hari"</t>
  </si>
  <si>
    <t>SITI PUJIASTUTIK</t>
  </si>
  <si>
    <t>LAMONGAN,MADE,RAYA MADE, VALENCIA-A1,62251, RT -, RW -</t>
  </si>
  <si>
    <t>MI;MYIR-10137519070001;SPMHR90-B1155NRI;SITI PUJIASTUTIK;081259139394</t>
  </si>
  <si>
    <t>=DATEDIF(O221,NOW(),"d")&amp;" Hari"</t>
  </si>
  <si>
    <t>YUYUN NAILUFAR</t>
  </si>
  <si>
    <t>SURABAYA,LIDAH KULON,LIDAH KULON BUNTU, PERUM-1/12,60210, RT , RW</t>
  </si>
  <si>
    <t>MI;MYIR-10137713950001;SPROB02;YUYUN NAILUFAR;0856456037681</t>
  </si>
  <si>
    <t>ODP-LMG-FM/59</t>
  </si>
  <si>
    <t>Provisioning Failed|UIM|IN61910974|1054:Service Port 0/3/9 on device GPON00-D5-LMG-2(172.27.104.205) has existing customer.Please check connectivity</t>
  </si>
  <si>
    <t>=DATEDIF(O222,NOW(),"d")&amp;" Hari"</t>
  </si>
  <si>
    <t>ROISMIYAH</t>
  </si>
  <si>
    <t>LAMONGAN,TURI,GEDONG BOYO UNTUNG, DS, DAMPET,62252, RT 08, RW 04</t>
  </si>
  <si>
    <t>MI;MYIR-10137187710001;SPMHR77-B1155NRI;ROISMIYAH;085843505175</t>
  </si>
  <si>
    <t>=DATEDIF(O223,NOW(),"d")&amp;" Hari"</t>
  </si>
  <si>
    <t>wiro handoko agung prayitno</t>
  </si>
  <si>
    <t>SURABAYA,MANUKAN KULON,MANUKAN TAMA, KR, Ruko/C-9,60185, RT , RW</t>
  </si>
  <si>
    <t>MI;MYIR-10137629850001;SPCRO04;wiro handoko agung prayitno;082233530583</t>
  </si>
  <si>
    <t>ODP-KRP-FB/04</t>
  </si>
  <si>
    <t>=DATEDIF(O224,NOW(),"d")&amp;" Hari"</t>
  </si>
  <si>
    <t>marlupi berlianti</t>
  </si>
  <si>
    <t>SURABAYA,KARANGPILANG,KARANGPILANG BARAT, gelatik/5/58,60221, RT , RW</t>
  </si>
  <si>
    <t>MI;MYIR-10137697430001;SPAISHA-B1572NRI;marlupi berlianti;085646662142</t>
  </si>
  <si>
    <t>ODP-DMO-FPD/56</t>
  </si>
  <si>
    <t>=DATEDIF(O225,NOW(),"d")&amp;" Hari"</t>
  </si>
  <si>
    <t>SYAIFUL AZIS</t>
  </si>
  <si>
    <t>SURABAYA,KUPANG KRAJAN,SIMO KWAGEAN BUNTU LOR, 46-BLK,60253, RT , RW</t>
  </si>
  <si>
    <t>MI;MYIR-10137669320001;SPDIN03-L1493IK;SYAIFUL AZIS;082141006854</t>
  </si>
  <si>
    <t>ODP-KRP-FAK/03</t>
  </si>
  <si>
    <t>=DATEDIF(O226,NOW(),"d")&amp;" Hari"</t>
  </si>
  <si>
    <t>Moch Ismail</t>
  </si>
  <si>
    <t>SURABAYA,KEBRAON,RAYA MASTRIP KEBRAON, 62,60222, RT , RW</t>
  </si>
  <si>
    <t>MI;MYIR-10137604540001;SPXMJU3;Moch Ismail;0823233331120</t>
  </si>
  <si>
    <t>ODP-CRM-FF/100</t>
  </si>
  <si>
    <t>=DATEDIF(O227,NOW(),"d")&amp;" Hari"</t>
  </si>
  <si>
    <t>Ida Susanti</t>
  </si>
  <si>
    <t>MENGANTI,MENGANTI,RAYA DOMAS, 487Petul,61174, RT , RW</t>
  </si>
  <si>
    <t>MI;MYIR-10137749590001;SPRFK10-B1573NRI;Ida Susanti;085749430995</t>
  </si>
  <si>
    <t>ODP-KBL-FDT/12</t>
  </si>
  <si>
    <t>Provisioning Failed|UIM|IN61901843|1007:Unable to locate service port ODP-KBL-FDT/12 FDT/D01/12.01</t>
  </si>
  <si>
    <t>=DATEDIF(O228,NOW(),"d")&amp;" Hari"</t>
  </si>
  <si>
    <t>CHRISTIN NATALIA</t>
  </si>
  <si>
    <t>SURABAYA,PERAK UTARA,TELUK NIBUNG, 2/19B,60165, RT , RW</t>
  </si>
  <si>
    <t>MI;MYIR-10137499530001;SPMUI46;CHRISTIN NATALIA;083117633864</t>
  </si>
  <si>
    <t>ODP-TDS-FGM/37</t>
  </si>
  <si>
    <t>Provisioning Failed|UIM|IN61921596|1054:Service Port 1-1-2-9 on device MGPON00-D5-TNS-3WP1(172.27.142.187) has existing customer.Please check connectivity</t>
  </si>
  <si>
    <t>=DATEDIF(O229,NOW(),"d")&amp;" Hari"</t>
  </si>
  <si>
    <t>AMIR HUSSAIN SHAH</t>
  </si>
  <si>
    <t>SURABAYA,LONTAR,APARTEMENT WATER PALACE TWR C, 1503,60216, RT , RW</t>
  </si>
  <si>
    <t>MI;MYIR-10137702370001;SPXAS04-B1613PIW;AMIR HUSSAIN SHAH;081269520311</t>
  </si>
  <si>
    <t>ODP-BBE-FAA/40</t>
  </si>
  <si>
    <t>=DATEDIF(O230,NOW(),"d")&amp;" Hari"</t>
  </si>
  <si>
    <t>BUDIONO</t>
  </si>
  <si>
    <t>GRESIK,PETIKEN,INTAN 5.1, 45,61177, RT , RW</t>
  </si>
  <si>
    <t>MI;MYIR-10137250870001;SPYOU08-B1572NRI;BUDIONO;081330784007</t>
  </si>
  <si>
    <t>ODP-KND-FDQ/06</t>
  </si>
  <si>
    <t>Provisioning Failed|WFM|IN61906274|manja</t>
  </si>
  <si>
    <t>=DATEDIF(O231,NOW(),"d")&amp;" Hari"</t>
  </si>
  <si>
    <t>MOCH YUDHO NEGORO</t>
  </si>
  <si>
    <t>SURABAYA,BABAT JERAWAT,PONDOK BENOWO INDAH,KR, OX/2,60197, RT , RW</t>
  </si>
  <si>
    <t>MI;MYIR-10056232210020;CUST;MOCH YUDHO NEGORO;082140350770</t>
  </si>
  <si>
    <t>ODP-BDG-FA/18</t>
  </si>
  <si>
    <t>Provisioning Failed|UIM|IN61911338|1007:Unable to locate service port ODP-BDG-FA/18 FA/D01/18.01</t>
  </si>
  <si>
    <t>=DATEDIF(O232,NOW(),"d")&amp;" Hari"</t>
  </si>
  <si>
    <t>Dul Aziz</t>
  </si>
  <si>
    <t>BRONDONG,PACIRAN,SENDANG AGUNG, DS, ----,62264, RT 002, RW 003</t>
  </si>
  <si>
    <t>MI;MYIR-10137635190001;SPNUR90-B1155NRI;Dul Aziz;081336797148</t>
  </si>
  <si>
    <t>ODP-BBA-FAF/13</t>
  </si>
  <si>
    <t>=DATEDIF(O233,NOW(),"d")&amp;" Hari"</t>
  </si>
  <si>
    <t>DIA ASTUTIK</t>
  </si>
  <si>
    <t>BABAD,WIDANG,MANDUNGAN,DS, --,62383, RT --, RW --</t>
  </si>
  <si>
    <t>MI;MYIR-10137554990001;SPPDW86-B1155NRI;DIA ASTUTIK;082232720297</t>
  </si>
  <si>
    <t>ODP-LMG-FB/42</t>
  </si>
  <si>
    <t>=DATEDIF(O234,NOW(),"d")&amp;" Hari"</t>
  </si>
  <si>
    <t>BAYU SETIYOBUDI</t>
  </si>
  <si>
    <t>LAMONGAN,KARANG LANGIT,RAYA KARANG LANGIT, XX,62251, RT --, RW --</t>
  </si>
  <si>
    <t>MI;MYIR-10137594520001;SPPDW86-B1155NRI;BAYU SETIYOBUDI;085731387009</t>
  </si>
  <si>
    <t>ODP-GSK-FR/113</t>
  </si>
  <si>
    <t>=DATEDIF(O235,NOW(),"d")&amp;" Hari"</t>
  </si>
  <si>
    <t>Saroni</t>
  </si>
  <si>
    <t>GRESIK,Kelurahan RANDU AGUNG,SITI FATIMAH BINTI MAIMUN, 3/3Setingi,61121, RT , RW</t>
  </si>
  <si>
    <t>MI;MYIR-10137173210001;SPADM21-B1274NRI;Saroni;081331067899</t>
  </si>
  <si>
    <t>ODP-BPG-FD/30</t>
  </si>
  <si>
    <t>=DATEDIF(O236,NOW(),"d")&amp;" Hari"</t>
  </si>
  <si>
    <t>M Jais Effendi</t>
  </si>
  <si>
    <t>BALONG PANGGANG,BENJENG,NGEPUNG, DS, .,61172, RT 7, RW 4</t>
  </si>
  <si>
    <t>MI;MYIR-10137347730001;SPPRE12-B1291NRI;M Jais Effendi;08563297125</t>
  </si>
  <si>
    <t>ODP-DMO-FTA/05</t>
  </si>
  <si>
    <t>Provisioning Failed|UIM|IN61922647|1054:Service Port 1-1-1-12 on device GPON00-D5-DMO-3TDR(172.23.219.9) has existing customer.Please check connectivity</t>
  </si>
  <si>
    <t>=DATEDIF(O237,NOW(),"d")&amp;" Hari"</t>
  </si>
  <si>
    <t>FRENDY KUSUMA WIRADISASTRA</t>
  </si>
  <si>
    <t>SURABAYA,SAWAHAN,APARTEMENT GUNAWANGSA TOWER B, 1115,60251, RT , RW</t>
  </si>
  <si>
    <t>MI;MYIR-10137459510001;SPXMT92-B1543PIW;FRENDY KUSUMA WIRADISASTRA;08122978319301</t>
  </si>
  <si>
    <t>ODP-GSK-FAJ/27</t>
  </si>
  <si>
    <t>Provisioning Failed|ACTIVATION|IN61921024|U31_PORT_NOT_FOUND:ServicePort Not Found / ONT Connectivity is Missing</t>
  </si>
  <si>
    <t>=DATEDIF(O238,NOW(),"d")&amp;" Hari"</t>
  </si>
  <si>
    <t>Fitriyatul Ulyah</t>
  </si>
  <si>
    <t>GRESIK,Kelurahan MANYAR REJO,KH.SYAHLAN 19, 49,61151, RT 2, RW 1</t>
  </si>
  <si>
    <t>MI;MYIR-10137754170001;SPKRS12-B1573NRI;Fitriyatul Ulyah;085895988616</t>
  </si>
  <si>
    <t>ODP-DMO-FDD/30</t>
  </si>
  <si>
    <t>=DATEDIF(O239,NOW(),"d")&amp;" Hari"</t>
  </si>
  <si>
    <t>Mega Puspitasari</t>
  </si>
  <si>
    <t>SURABAYA,KEDUNGDORO,KEDUNG KLINTER 7, 10,60261, RT , RW</t>
  </si>
  <si>
    <t>MI;MYIR-10137329290001;SPadt06-B1132PIU;Mega Puspitasari;0812126202922</t>
  </si>
  <si>
    <t>ODP-GSK-FY/46</t>
  </si>
  <si>
    <t>=DATEDIF(O240,NOW(),"d")&amp;" Hari"</t>
  </si>
  <si>
    <t>Sri Wahyu Prasetianti</t>
  </si>
  <si>
    <t>GRESIK,Kelurahan SIDOKUMPUL,IKAN BELANAK 2, 2,61111, RT , RW</t>
  </si>
  <si>
    <t>MI;MYIR-10137780630001;SPRFK10-B1573NRI;Sri Wahyu Prasetianti;08128661819</t>
  </si>
  <si>
    <t>ODP-KND-FDU/12</t>
  </si>
  <si>
    <t>=DATEDIF(O241,NOW(),"d")&amp;" Hari"</t>
  </si>
  <si>
    <t>EKO PURNOMO</t>
  </si>
  <si>
    <t>SURABAYA,KANDANGAN,TENGGER RAYA 2, 47,60199, RT , RW</t>
  </si>
  <si>
    <t>MI;MYIR-10137676960001;SPMIS02-L1493IK;EKO PURNOMO;08999247698</t>
  </si>
  <si>
    <t>ODP-KND-FBH/04</t>
  </si>
  <si>
    <t>=DATEDIF(O242,NOW(),"d")&amp;" Hari"</t>
  </si>
  <si>
    <t>Febrianto Kurniawan</t>
  </si>
  <si>
    <t>SURABAYA,BABAT JERAWAT,PONDOK BENOWO INDAH BL AX, 20,60197, RT , RW</t>
  </si>
  <si>
    <t>MI;MYIR-10137464890001;SPFsI07;Febrianto Kurniawan;0857301162160</t>
  </si>
  <si>
    <t>ODP-GSK-FAW/20</t>
  </si>
  <si>
    <t>=DATEDIF(O243,NOW(),"d")&amp;" Hari"</t>
  </si>
  <si>
    <t>Chumaidi</t>
  </si>
  <si>
    <t>GRESIK,Kelurahan MANYAR REJO,KH.SYAHLAN 16, 33,61151, RT , RW</t>
  </si>
  <si>
    <t>MI;MYIR-10137829620001;SPNTI15-B1573NRI;Chumaidi;082299908986</t>
  </si>
  <si>
    <t>ODP-CRM-FQ/14 FQ/D02/14.01</t>
  </si>
  <si>
    <t>Provisioning Failed|WFM|IN61923796|manja</t>
  </si>
  <si>
    <t>=DATEDIF(O244,NOW(),"d")&amp;" Hari"</t>
  </si>
  <si>
    <t>FITRIYA</t>
  </si>
  <si>
    <t>SURABAYA, SUMBERREJO, SUMBER JAYA, 085735588107, RT/RW RT5/RW3</t>
  </si>
  <si>
    <t>MYIR / TAM DBS2 / B 1291 NRI / JUNAIDI 085232236525 / R5 / SURABAYA / DIGIBIZ 3P C2 / Ibu Fitri 085735588107 / TIKOR -7.222395, 112.593803</t>
  </si>
  <si>
    <t>over boundary ikut sbu metro</t>
  </si>
  <si>
    <t>- 11_2009;Biaya Initial Maintenance Service (IMS)[75000] - BWY DL;BWY DL ~ Saluran Dua Arah(BothWay)[0] - DS1802;DS1802 ~ DSS18 - DigiBiz 3P POTS[0] - DS1802~null~DS1802_IN1000;IN1000 ~ Free Lokal dan SLJJ 1000 Menit ~ DS1802[50000] - DS1801;DS1801 ~ DSS18 - DigiBiz 3P INET[0] - DS1801~null~DS1801_UNL;UNL ~ Internet-Link Unlimited Internet Usage ~ DS1801[0] - DS1801~null~DS1801_INETF20M;INETF20M ~ New Internet Fair Usage Speed 20 Mbps ~ DS1801[290000] - C16059_I;C16059 ~ CS16 - Perangkat Modem &amp; ONT (Internet)[0] - C16059_I~null~C16059_SWONT_I;SWONT ~ Biaya Sewa ONT ~ C16059 (Internet)[40000] - DS1803;DS1803 ~ DSS18 - DigiBiz 3P USEE[0] - DS1803~null~DS1803_USEE_HD;USEE_HD ~ USEE HD ~ DS1803[0] - DS1803~null~DS1803_USEEINTROH;USEEINTROH ~ UseeTV Intro HD ~ DS1803[20000] - C16058;C16058 ~ CS16 - Perangkat Set Top Box[0] - C16058~null~C16058_SWSTBHYBRD;SWSTBHYBRD ~ Biaya Sewa Set Top Box Hybrid HD ~ C16058[40000] Total (Sebelum PPN) : 440000</t>
  </si>
  <si>
    <t>ODP-KBL-FTJ/26</t>
  </si>
  <si>
    <t>Provisioning Failed|ACTIVATION|IN61924341|U31_PORT_NOT_FOUND:ServicePort Not Found / ONT Connectivity is Missing</t>
  </si>
  <si>
    <t>=DATEDIF(O245,NOW(),"d")&amp;" Hari"</t>
  </si>
  <si>
    <t>Moch Saiful Alam</t>
  </si>
  <si>
    <t>SURABAYA,JEPARA,DUPAK 4, 5,60171, RT , RW</t>
  </si>
  <si>
    <t>MI;MYIR-10137061220001;SPRIT01-B1175PIU;Moch Saiful Alam;085236198034</t>
  </si>
  <si>
    <t>ODP-KBL-FGQ/46</t>
  </si>
  <si>
    <t>Provisioning Failed|WFM|IN61915400|manja</t>
  </si>
  <si>
    <t>=DATEDIF(O246,NOW(),"d")&amp;" Hari"</t>
  </si>
  <si>
    <t>YUWONO TAMRIN SH</t>
  </si>
  <si>
    <t>SURABAYA,KREMBANGAN SELATAN,SIDOLUHUR, 37,60175, RT , RW</t>
  </si>
  <si>
    <t>MI;MYIR-10137383160001;SPDEW01-B1175PIU;YUWONO TAMRIN SH;082231235858</t>
  </si>
  <si>
    <t>ODP-LMG-FN/23</t>
  </si>
  <si>
    <t>=DATEDIF(O247,NOW(),"d")&amp;" Hari"</t>
  </si>
  <si>
    <t>NOVI SETYAWAN</t>
  </si>
  <si>
    <t>LAMONGAN,SUKOREJO,KEPATIHAN, RAYATURI,62215, RT 06, RW 02</t>
  </si>
  <si>
    <t>MI;MYIR-10137350280001;SPMHR90-B1155NRI;NOVI SETYAWAN;085794120181</t>
  </si>
  <si>
    <t>ODP-KBL-FVL/61</t>
  </si>
  <si>
    <t>Provisioning Failed|WFM|IN61915644|manja</t>
  </si>
  <si>
    <t>=DATEDIF(O248,NOW(),"d")&amp;" Hari"</t>
  </si>
  <si>
    <t>NOOR DIANA</t>
  </si>
  <si>
    <t>SURABAYA,KEMAYORAN,KREMBANGAN JAYA SELATAN 1, 40,60176, RT 09, RW 07</t>
  </si>
  <si>
    <t>MI;MYIR-10137744360001;SPKUN07-B1236PIW;NOOR DIANA;081233911126</t>
  </si>
  <si>
    <t>ODP-KRP-FCB/16</t>
  </si>
  <si>
    <t>Provisioning Failed|ACTIVATION|IN61923748|MGR_PORT_NOT_FOUND:ServicePort Not Found / ONT Connectivity is Missing</t>
  </si>
  <si>
    <t>=DATEDIF(O249,NOW(),"d")&amp;" Hari"</t>
  </si>
  <si>
    <t>LUCYAWATI</t>
  </si>
  <si>
    <t>SURABAYA,BALASKLUMPRIK,KARANG KLUMPRIK TENGAH, 3/52-A,60222, RT , RW</t>
  </si>
  <si>
    <t>MI;MYIR-10137723050001;SPXMJU3;LUCYAWATI;081234408601</t>
  </si>
  <si>
    <t>ODP-LMG-FH/58 FH/D06/58.01</t>
  </si>
  <si>
    <t>Provisioning Failed|WFM|IN61922928|manja</t>
  </si>
  <si>
    <t>=DATEDIF(O250,NOW(),"d")&amp;" Hari"</t>
  </si>
  <si>
    <t>SOETOPO</t>
  </si>
  <si>
    <t>LAMONGAN, SIDOKUMPUL, KHOIRUL HUDA, 05, RT/RW 00/00</t>
  </si>
  <si>
    <t>PLS;LMG;SOETOPO;TAMBAH TLP NO TETAP;ERVI;PERLU KUNJUNGAN</t>
  </si>
  <si>
    <t>- 1_1113;Biaya Mutasi ~ 1[0] - BWY DL;BWY DL ~ Saluran Dua Arah(BothWay)[0] - C17031;C17031 ~ CS17 - New Indihome Netizen I POTS[0] - C17031~null~C17031_IN100;IN100 ~ Free Lokal dan SLJJ 100 Menit ~ C17031[40000] - C17031~null~C17031_MVNPHONE1;MVNPHONE1 ~ Movin Phone 1 ~ C17031[5000] Total (Sebelum PPN) : 45000</t>
  </si>
  <si>
    <t>ODP-GSK-FAD/49</t>
  </si>
  <si>
    <t>=DATEDIF(O251,NOW(),"d")&amp;" Hari"</t>
  </si>
  <si>
    <t>Norma Ardiani</t>
  </si>
  <si>
    <t>GRESIK,Kelurahan KAWISANYAR,SUNAN GIRI 9, 21,61121, RT 2, RW 4</t>
  </si>
  <si>
    <t>MI;MYIR-10137852190001;SPSWD72-B1291NRI;Norma Ardiani;085106663232</t>
  </si>
  <si>
    <t>ODP-TDS-FFT/01</t>
  </si>
  <si>
    <t>=DATEDIF(O252,NOW(),"d")&amp;" Hari"</t>
  </si>
  <si>
    <t>masud</t>
  </si>
  <si>
    <t>SURABAYA,ASEMROWO,TAMBAK PRING UTAMA 2, A/34,60182, RT , RW</t>
  </si>
  <si>
    <t>MI;MYIR-10137131970001;SPANT35-B1543PIW;masud;081703286754</t>
  </si>
  <si>
    <t>ODP-GSK-FZ/83</t>
  </si>
  <si>
    <t>Provisioning Failed|WFM|IN61921728|manja</t>
  </si>
  <si>
    <t>=DATEDIF(O253,NOW(),"d")&amp;" Hari"</t>
  </si>
  <si>
    <t>Sukron</t>
  </si>
  <si>
    <t>GRESIK,Kelurahan KARANGTURI,USMAN SADAR, 145,61118, RT , RW</t>
  </si>
  <si>
    <t>MI;MYIR-10137843700001;SPSWD72-B1291NRI;Sukron;082229100335</t>
  </si>
  <si>
    <t>ODP-KBL-FBW/26</t>
  </si>
  <si>
    <t>Provisioning Failed|WFM|IN61921670|manja</t>
  </si>
  <si>
    <t>=DATEDIF(O254,NOW(),"d")&amp;" Hari"</t>
  </si>
  <si>
    <t>SYAIFUL ROHMAN</t>
  </si>
  <si>
    <t>SURABAYA,WONOKUSUMO,BULAK RUKEM 2, 43,60154, RT , RW</t>
  </si>
  <si>
    <t>MI;MYIR-10136218300001;SPMRD11;SYAIFUL ROHMAN;081234539400</t>
  </si>
  <si>
    <t>DDS</t>
  </si>
  <si>
    <t>ODP-DDS-FA/05</t>
  </si>
  <si>
    <t>=DATEDIF(O255,NOW(),"d")&amp;" Hari"</t>
  </si>
  <si>
    <t>Sudarwati</t>
  </si>
  <si>
    <t>DUDUK SAMPEYAN,DUDUK SAMPEYAN,WATANG REJO, DS, .,61162, RT 3, RW 1</t>
  </si>
  <si>
    <t>MI;MYIR-10137869840001;SPSWD72-B1291NRI;Sudarwati;081252383334</t>
  </si>
  <si>
    <t>ODP-TDS-FHF/36</t>
  </si>
  <si>
    <t>Provisioning Failed|ACTIVATION|IN61924536|ALU_AMS_PORT_NT_FOUN:ServicePort Not Found / ONT Connectivity is Missing.</t>
  </si>
  <si>
    <t>=DATEDIF(O256,NOW(),"d")&amp;" Hari"</t>
  </si>
  <si>
    <t>SUWARNI</t>
  </si>
  <si>
    <t>SURABAYA,KLAKAH REJO,KLAKAH REJO 2 A, 24-B,60198, RT , RW</t>
  </si>
  <si>
    <t>MI;MYIR-10137755390001;SPHOK11-B1175PIU;SUWARNI;085717545610</t>
  </si>
  <si>
    <t>ODP-KND-FB/08</t>
  </si>
  <si>
    <t>=DATEDIF(O257,NOW(),"d")&amp;" Hari"</t>
  </si>
  <si>
    <t>KHOLIQ MUSTOFA</t>
  </si>
  <si>
    <t>SURABAYA,KLAKAH REJO,KLAKAH REJO, 115,60198, RT , RW</t>
  </si>
  <si>
    <t>MI;MYIR-10137790710001;SPLKI04-B1170PIU;KHOLIQ MUSTOFA;0822254899510</t>
  </si>
  <si>
    <t>ODP-BBE-FHC/08</t>
  </si>
  <si>
    <t>=DATEDIF(O258,NOW(),"d")&amp;" Hari"</t>
  </si>
  <si>
    <t>TRI HANDOKO</t>
  </si>
  <si>
    <t>SURABAYA,WARUGUNUNG,WARU GUNUNG GG RUSUN, .,60221, RT 001, RW 003</t>
  </si>
  <si>
    <t>MI;MYIR-10137737800001;SPREI70-B1132PIU;TRI HANDOKO;08121663316</t>
  </si>
  <si>
    <t>ODP-GSK-FP/88</t>
  </si>
  <si>
    <t>=DATEDIF(O259,NOW(),"d")&amp;" Hari"</t>
  </si>
  <si>
    <t>Budi setiawan</t>
  </si>
  <si>
    <t>GRESIK,KEMBANGAN,DIAMOND, 29GBA,61161, RT , RW</t>
  </si>
  <si>
    <t>MI;MYIR-10137879970001;SPXAR88-B1573NRI;Budi setiawan;081233119663</t>
  </si>
  <si>
    <t>ODP-BBE-FX/07</t>
  </si>
  <si>
    <t>=DATEDIF(O260,NOW(),"d")&amp;" Hari"</t>
  </si>
  <si>
    <t>Pera Aristinna</t>
  </si>
  <si>
    <t>GRESIK,DRIYOREJO,ZAMRUD BLOK 13E, A12/6,61177, RT , RW</t>
  </si>
  <si>
    <t>MI;MYIR-10137145870001;SPSLO03-B1250PIW;Pera Aristinna;082139499023</t>
  </si>
  <si>
    <t>ODP-BBE-FF/03</t>
  </si>
  <si>
    <t>=DATEDIF(O261,NOW(),"d")&amp;" Hari"</t>
  </si>
  <si>
    <t>KHUSNUL MUFIDAH</t>
  </si>
  <si>
    <t>GRESIK,DRIYOREJO,WEDORO ANOM, DS, DS.JUWET/262,61177, RT , RW</t>
  </si>
  <si>
    <t>MI;MYIR-10137127650001;SPADS04-B1250PIW;KHUSNUL MUFIDAH;082333041629</t>
  </si>
  <si>
    <t>ODP-DMO-FBP/52 FBP/D03/52.01</t>
  </si>
  <si>
    <t>Provisioning Failed|UIM|IN61923239|1007:Unable to locate service port ODP-DMO-FBP/52 FBP/D03/52.01</t>
  </si>
  <si>
    <t>=DATEDIF(O262,NOW(),"d")&amp;" Hari"</t>
  </si>
  <si>
    <t>MOHAMAD INDRA</t>
  </si>
  <si>
    <t>SURABAYA, PENELEH, JAGALAN, 81</t>
  </si>
  <si>
    <t>MI:MYIR /TAM DBS 1 / B1175PIU / ENDAH SRI WAHYUNINGSIH / R5 / SBU / 1P 20MBPS / SINGLEPLAY / BP INDRA 081939780005_081999979994 LOKASI warkop pojok/warung pojok</t>
  </si>
  <si>
    <t>- 11_2009;Biaya Initial Maintenance Service (IMS)[125000] - C19195;C19195 ~ CS19 - Single Play INET[0] - C19195~null~C19195_UNL;UNL ~ Internet-Link Unlimited Internet Usage ~ C19195[0] - C19195~null~C19195_INETF20M;INETF20M ~ New Internet Fair Usage Speed 20 Mbps ~ C19195[310000] - C16059_I;C16059 ~ CS16 - Perangkat Modem &amp; ONT (Internet)[0] - C16059_I~null~C16059_SWONT_I;SWONT ~ Biaya Sewa ONT ~ C16059 (Internet)[20000] Total (Sebelum PPN) : 330000</t>
  </si>
  <si>
    <t>ODP-MGO-FAM/02 FAM/D05/01.02</t>
  </si>
  <si>
    <t>=DATEDIF(O263,NOW(),"d")&amp;" Hari"</t>
  </si>
  <si>
    <t>temporer u/ grandcity</t>
  </si>
  <si>
    <t>SURABAYA, KETABANG, WALIKOTA MUSTAJAB, GRANDCITY, RT/RW 00/00</t>
  </si>
  <si>
    <t>AM JOHAR / PSB INDIHOME / 2P / PIC RANGGA</t>
  </si>
  <si>
    <t>- 11_1123;Biaya PSB[0] - BWY DL;BWY DL ~ Saluran Dua Arah(BothWay)[0] - EB1803;EB1803 ~ EBIS - POTS Indihome Deluxe - Premium (inc.MVNPHONE1)[0] - EB1803~null~EB1803_IN1000;IN1000 ~ Free Lokal dan SLJJ 1000 Menit ~ EB1803[50000] - EB1803~null~EB1803_MVNPHONE1;MVNPHONE1 ~ Movin Phone 1 ~ EB1803[10000] - EB1802;EB1802 ~ EBIS - Internet Indihome Premium (inc.MVNNET1)[0] - EB1802~null~EB1802_UNL;UNL ~ Internet-Link Unlimited Internet Usage ~ EB1802[0] - EB1802~null~EB1802_INETF100M;INETF100M ~ New Internet Fair Usage Speed 100 Mbps ~ EB1802[1200000] - C16059_I;C16059 ~ CS16 - Perangkat Modem &amp; ONT (Internet)[0] - C16059_I~null~C16059_SWMODEM_I;SWMODEM ~ Biaya Sewa Modem ~ C16059 (Internet)[20000] Total (Sebelum PPN) : 1280000</t>
  </si>
  <si>
    <t>ODP-CRM-FJ/37</t>
  </si>
  <si>
    <t>=DATEDIF(O264,NOW(),"d")&amp;" Hari"</t>
  </si>
  <si>
    <t>Lilik Naslikah</t>
  </si>
  <si>
    <t>KEDAMEAN,MENGANTI,HULAAN, DS, Raya,61174, RT 18, RW 7</t>
  </si>
  <si>
    <t>MI;MYIR-10137828130001;SPMAD05-B1572NRI;Lilik Naslikah;085203301234</t>
  </si>
  <si>
    <t>ODP-KRP-FAG/04 FAG/D03/04.01</t>
  </si>
  <si>
    <t>=DATEDIF(O265,NOW(),"d")&amp;" Hari"</t>
  </si>
  <si>
    <t>ANTON DWIONO</t>
  </si>
  <si>
    <t>SURABAYA, KEDURUS, BOGANGIN, B-14</t>
  </si>
  <si>
    <t>PLSCSR;PL196876;RKT;ANTON;082232263158;PSB TLP INET</t>
  </si>
  <si>
    <t>- 11_1123;Biaya PSB[0] - BWY DL;BWY DL ~ Saluran Dua Arah(BothWay)[0] - C17028;C17028 ~ CS17 - New Indihome Lower Value POTS[0] - C17028~null~C17028_IN100;IN100 ~ Free Lokal dan SLJJ 100 Menit ~ C17028[20000] - C17036;C17036 ~ CS17 - 1P Internet Only[0] - C17036~null~C17036_UNL;UNL ~ Internet-Link Unlimited Internet Usage ~ C17036[0] - C17036~null~C17036_INETF10M;INETF10M ~ New Internet Fair Usage Speed 10 Mbps ~ C17036[210000] - C16059_I;C16059 ~ CS16 - Perangkat Modem &amp; ONT (Internet)[0] - C16059_I~null~C16059_SWONT_I;SWONT ~ Biaya Sewa ONT ~ C16059 (Internet)[20000] Total (Sebelum PPN) : 250000</t>
  </si>
  <si>
    <t>ODP-MYR-FET/24</t>
  </si>
  <si>
    <t>=DATEDIF(O266,NOW(),"d")&amp;" Hari"</t>
  </si>
  <si>
    <t>SANTI RETNO WULANDARI</t>
  </si>
  <si>
    <t>Jl.Kenjeran No.368 kav 4, RT.011/RW.01, Gading, Kec. Tambaksari, Kota SBY, Jawa Timur// PATOKAN RUKO SEBELAH SENTRAL YAMAHA// SIANG.</t>
  </si>
  <si>
    <t>MI;MYIR-10136967870001;SPION02;SANTI RETNO WULANDARI;082229127094</t>
  </si>
  <si>
    <t>ODP FULL###Odp penuh pasif 1:8 Sudah valdate Penuh ODP-MYR-FVM/15 -7.247470,112.775492</t>
  </si>
  <si>
    <t>ODP-KND-FES/03</t>
  </si>
  <si>
    <t>=DATEDIF(O267,NOW(),"d")&amp;" Hari"</t>
  </si>
  <si>
    <t>Dwi Gede Miftahul Huda</t>
  </si>
  <si>
    <t>SURABAYA,KARANGPOH,MARGOMULYO INDAH 1 BL D, 32,60186, RT , RW</t>
  </si>
  <si>
    <t>MI;MYIR-10137082850009;SPadt06-B1132PIU;Dwi Gede Miftahul Huda;08198020122</t>
  </si>
  <si>
    <t>ODP-DMO-FBQ/23</t>
  </si>
  <si>
    <t>=DATEDIF(O268,NOW(),"d")&amp;" Hari"</t>
  </si>
  <si>
    <t>SURABAYA,PENELEH,JAGALAN, 81,60274, RT , RW</t>
  </si>
  <si>
    <t>MI;MYIR-10137855650001;SPXMY29-B1543PIW;MOHAMAD INDRA;08193978000501</t>
  </si>
  <si>
    <t>ODP-TDS-FEN/38</t>
  </si>
  <si>
    <t>=DATEDIF(O269,NOW(),"d")&amp;" Hari"</t>
  </si>
  <si>
    <t>MUTOLIFAH CHUSNAINI</t>
  </si>
  <si>
    <t>SURABAYA,TANDES KIDUL,TANDES KIDUL, 16,60187, RT , RW</t>
  </si>
  <si>
    <t>MI;MYIR-10137847110001;SPDHA04-B1132PIU;MUTOLIFAH CHUSNAINI;081230117022</t>
  </si>
  <si>
    <t>ODP-MYR-FEC/36</t>
  </si>
  <si>
    <t>Provisioning Failed|ACTIVATION|IN61924174|U31_PORT_NOT_FOUND:ServicePort Not Found / ONT Connectivity is Missing</t>
  </si>
  <si>
    <t>=DATEDIF(O270,NOW(),"d")&amp;" Hari"</t>
  </si>
  <si>
    <t>GEBBY ERCHA PUTRA</t>
  </si>
  <si>
    <t>SURABAYA,PACARKEMBANG,PACAR KEMBANG 7, 25,60132, RT , RW</t>
  </si>
  <si>
    <t>MI;MYIR-10137715050001;SPROB02;GEBBY ERCHA PUTRA;0822311109064</t>
  </si>
  <si>
    <t>ODP-LKS-FBD/56</t>
  </si>
  <si>
    <t>=DATEDIF(O271,NOW(),"d")&amp;" Hari"</t>
  </si>
  <si>
    <t>RIO AJI PRATAMA</t>
  </si>
  <si>
    <t>SURABAYA,LIDAH WETAN,LIDAH WETAN 1, 78C,60213, RT , RW</t>
  </si>
  <si>
    <t>MI;MYIR-10137845160001;SPROB02;RIO AJI PRATAMA;081353155610</t>
  </si>
  <si>
    <t>=DATEDIF(O272,NOW(),"d")&amp;" Hari"</t>
  </si>
  <si>
    <t>AKNAN</t>
  </si>
  <si>
    <t>SURABAYA,LIDAH KULON,LIDAH KULON 2, 49,60210, RT , RW</t>
  </si>
  <si>
    <t>MI;MYIR-10137494630001;SPXSR52-B1901PIV;AKNAN;085100273135</t>
  </si>
  <si>
    <t>ODP-DMO-FPD/14</t>
  </si>
  <si>
    <t>=DATEDIF(O273,NOW(),"d")&amp;" Hari"</t>
  </si>
  <si>
    <t>WIEMPI SATRIYA</t>
  </si>
  <si>
    <t>SURABAYA,EMBONG KALIASIN,TAMAN APSARI, 09A,60271, RT , RW</t>
  </si>
  <si>
    <t>MI;MYIR-10137496970001;SPKNH02-B1175PIU;WIEMPI SATRIYA;082288646568</t>
  </si>
  <si>
    <t>ODP-KBL-FAQ/18</t>
  </si>
  <si>
    <t>=DATEDIF(O274,NOW(),"d")&amp;" Hari"</t>
  </si>
  <si>
    <t>Tommy Santoso</t>
  </si>
  <si>
    <t>SURABAYA,TAMBAKREJO,KAPAS KRAMPUNG BUNTU, 3A,60142, RT , RW</t>
  </si>
  <si>
    <t>MI;MYIR-10137551280001;SPAXD02-B1156PIU;Tommy Santoso;087754621541</t>
  </si>
  <si>
    <t>ODP-LMG-FQ/27</t>
  </si>
  <si>
    <t>=DATEDIF(O275,NOW(),"d")&amp;" Hari"</t>
  </si>
  <si>
    <t>LUKYANTO</t>
  </si>
  <si>
    <t>LAMONGAN,MANTUP,RAYA MANTUP, --,62283, RT --, RW --</t>
  </si>
  <si>
    <t>MI;MYIR-10137781990001;SPMHR70-B1155NRI;LUKYANTO;083111881224</t>
  </si>
  <si>
    <t>ODP-GSK-FAS/37</t>
  </si>
  <si>
    <t>=DATEDIF(O276,NOW(),"d")&amp;" Hari"</t>
  </si>
  <si>
    <t>nina farizia</t>
  </si>
  <si>
    <t>GRESIK,Kelurahan NGIPIK,AKHMAD YANI 2 B, 2,61119, RT , RW</t>
  </si>
  <si>
    <t>MI;MYIR-10137860140001;SPYPS02-B1274NRI;nina farizia;081330312899</t>
  </si>
  <si>
    <t>=DATEDIF(O277,NOW(),"d")&amp;" Hari"</t>
  </si>
  <si>
    <t>nina farizia 2</t>
  </si>
  <si>
    <t>MI;MYIR-10137866210001;SPYPS02-B1274NRI;nina farizia 2;081318004834</t>
  </si>
  <si>
    <t>ODP-LMG-FP/15</t>
  </si>
  <si>
    <t>=DATEDIF(O278,NOW(),"d")&amp;" Hari"</t>
  </si>
  <si>
    <t>ARIE PONCHO ZULIANSYAH</t>
  </si>
  <si>
    <t>LAMONGAN,KEMBANGBAHU,RAYA KEMBANGBAHU, -,62282, RT -, RW -</t>
  </si>
  <si>
    <t>MI;MYIR-10137445660001;SPPDW86-B1155NRI;ARIE PONCHO ZULIANSYAH;085648845936</t>
  </si>
  <si>
    <t>ODP-KBL-FAX/33</t>
  </si>
  <si>
    <t>=DATEDIF(O279,NOW(),"d")&amp;" Hari"</t>
  </si>
  <si>
    <t>OKTAFIANTI SONIA WULANSARI (083831394311)</t>
  </si>
  <si>
    <t>SURABAYA,SIMOKERTO,KAPASAN, 73-75,60143, RT , RW</t>
  </si>
  <si>
    <t>MI;MYIR-10136127130001;SPIZZ01-B1572NRI;OKTAFIANTI SONIA WULANSARI (083831394311);0838313943110</t>
  </si>
  <si>
    <t>ODP-TDS-FHQ/13 FHQ/D01/13.01</t>
  </si>
  <si>
    <t>=DATEDIF(O280,NOW(),"d")&amp;" Hari"</t>
  </si>
  <si>
    <t>SURABAYA, LONTAR, PAKUWON SUPERMALL, LG</t>
  </si>
  <si>
    <t>DES;AM PRO AGI;PIC ROBIN SUTANTO</t>
  </si>
  <si>
    <t>- 11_1123;Biaya PSB[0] - EB1810;EB1810 ~ EBIS - Internet Netizen[0] - EB1810~null~EB1810_UNL;UNL ~ Internet-Link Unlimited Internet Usage ~ EB1810[0] - EB1810~null~EB1810_INETF100M;INETF100M ~ New Internet Fair Usage Speed 100 Mbps ~ EB1810[1205000] - C16059_I;C16059 ~ CS16 - Perangkat Modem &amp; ONT (Internet)[0] - C16059_I~null~C16059_SWONT_I;SWONT ~ Biaya Sewa ONT ~ C16059 (Internet)[40000] Total (Sebelum PPN) : 1245000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</si>
</sst>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2" fillId="2" borderId="0" xfId="0" applyNumberFormat="1" applyFont="1" applyFill="1" applyBorder="1" applyAlignment="1" applyProtection="1">
      <alignment horizontal="center" vertical="center"/>
    </xf>
    <xf numFmtId="22" fontId="1" fillId="0" borderId="0" xfId="0" applyNumberFormat="1" applyFont="1" applyFill="1" applyBorder="1" applyAlignment="1" applyProtection="1">
      <alignment vertical="center"/>
    </xf>
    <xf numFmtId="3" fontId="1" fillId="0" borderId="0" xfId="0" applyNumberFormat="1" applyFont="1" applyFill="1" applyBorder="1" applyAlignment="1" applyProtection="1">
      <alignment vertical="center"/>
    </xf>
    <xf numFmtId="15" fontId="1" fillId="0" borderId="0" xfId="0" applyNumberFormat="1" applyFont="1" applyFill="1" applyBorder="1" applyAlignment="1" applyProtection="1">
      <alignment vertical="center"/>
    </xf>
    <xf numFmtId="1" fontId="2" fillId="2" borderId="0" xfId="0" applyNumberFormat="1" applyFont="1" applyFill="1" applyBorder="1" applyAlignment="1" applyProtection="1">
      <alignment horizontal="center" vertical="center"/>
    </xf>
    <xf numFmtId="1" fontId="1" fillId="0" borderId="0" xfId="0" applyNumberFormat="1" applyFont="1" applyFill="1" applyBorder="1" applyAlignment="1" applyProtection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280"/>
  <sheetViews>
    <sheetView tabSelected="1" topLeftCell="C1" workbookViewId="0">
      <selection activeCell="O1" sqref="O1:P1048576"/>
    </sheetView>
  </sheetViews>
  <sheetFormatPr defaultRowHeight="15"/>
  <cols>
    <col min="1" max="1" width="4" bestFit="1" customWidth="1"/>
    <col min="6" max="6" width="10" bestFit="1" customWidth="1"/>
    <col min="11" max="11" width="11" style="8" bestFit="1" customWidth="1"/>
    <col min="12" max="12" width="13.140625" style="8" bestFit="1" customWidth="1"/>
    <col min="15" max="15" width="15.85546875" bestFit="1" customWidth="1"/>
    <col min="16" max="16" width="20.140625" bestFit="1" customWidth="1"/>
    <col min="19" max="19" width="14.85546875" style="8" bestFit="1" customWidth="1"/>
  </cols>
  <sheetData>
    <row r="1" spans="1:4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" t="s">
        <v>10</v>
      </c>
      <c r="L1" s="6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6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>
      <c r="A2" s="1">
        <v>1</v>
      </c>
      <c r="B2" s="1">
        <v>5</v>
      </c>
      <c r="C2" s="1" t="s">
        <v>40</v>
      </c>
      <c r="D2" s="1" t="s">
        <v>40</v>
      </c>
      <c r="E2" s="1" t="s">
        <v>41</v>
      </c>
      <c r="F2" s="1">
        <v>500885559</v>
      </c>
      <c r="G2" s="1" t="s">
        <v>42</v>
      </c>
      <c r="H2" s="1" t="s">
        <v>43</v>
      </c>
      <c r="I2" s="1" t="s">
        <v>44</v>
      </c>
      <c r="J2" s="1">
        <v>15673151</v>
      </c>
      <c r="K2" s="7">
        <v>3199251813</v>
      </c>
      <c r="L2" s="7">
        <v>152413141768</v>
      </c>
      <c r="M2" s="1" t="s">
        <v>45</v>
      </c>
      <c r="N2" s="1" t="s">
        <v>46</v>
      </c>
      <c r="O2" s="3">
        <v>43801.391250000001</v>
      </c>
      <c r="P2" s="3">
        <v>43801.954409722224</v>
      </c>
      <c r="Q2" s="1" t="s">
        <v>47</v>
      </c>
      <c r="R2" s="1" t="s">
        <v>48</v>
      </c>
      <c r="S2" s="7">
        <f>62-8993404222</f>
        <v>-8993404160</v>
      </c>
      <c r="T2" s="1" t="s">
        <v>49</v>
      </c>
      <c r="U2" s="1" t="s">
        <v>50</v>
      </c>
      <c r="V2" s="4">
        <v>1127403978787120</v>
      </c>
      <c r="W2" s="4">
        <v>-726348206139737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51</v>
      </c>
      <c r="AI2" s="1" t="s">
        <v>52</v>
      </c>
      <c r="AJ2" s="1" t="s">
        <v>53</v>
      </c>
      <c r="AK2" s="3">
        <v>43815.676562499997</v>
      </c>
      <c r="AL2" s="1" t="s">
        <v>54</v>
      </c>
      <c r="AM2" s="1"/>
      <c r="AN2" s="1" t="s">
        <v>55</v>
      </c>
    </row>
    <row r="3" spans="1:40">
      <c r="A3" s="1">
        <v>2</v>
      </c>
      <c r="B3" s="1">
        <v>5</v>
      </c>
      <c r="C3" s="1" t="s">
        <v>40</v>
      </c>
      <c r="D3" s="1" t="s">
        <v>40</v>
      </c>
      <c r="E3" s="1" t="s">
        <v>41</v>
      </c>
      <c r="F3" s="1">
        <v>500909990</v>
      </c>
      <c r="G3" s="1" t="s">
        <v>42</v>
      </c>
      <c r="H3" s="1" t="s">
        <v>56</v>
      </c>
      <c r="I3" s="1" t="s">
        <v>57</v>
      </c>
      <c r="J3" s="1">
        <v>3957680</v>
      </c>
      <c r="K3" s="7">
        <v>3199252703</v>
      </c>
      <c r="L3" s="7"/>
      <c r="M3" s="1" t="s">
        <v>45</v>
      </c>
      <c r="N3" s="1" t="s">
        <v>58</v>
      </c>
      <c r="O3" s="3">
        <v>43802.407314814816</v>
      </c>
      <c r="P3" s="3">
        <v>43802.584398148145</v>
      </c>
      <c r="Q3" s="1" t="s">
        <v>59</v>
      </c>
      <c r="R3" s="1" t="s">
        <v>60</v>
      </c>
      <c r="S3" s="7">
        <f>62-87855903370</f>
        <v>-87855903308</v>
      </c>
      <c r="T3" s="1" t="s">
        <v>61</v>
      </c>
      <c r="U3" s="1" t="s">
        <v>62</v>
      </c>
      <c r="V3" s="4">
        <v>1127440260666610</v>
      </c>
      <c r="W3" s="4">
        <v>-726991283163268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51</v>
      </c>
      <c r="AI3" s="1" t="s">
        <v>63</v>
      </c>
      <c r="AJ3" s="1" t="s">
        <v>64</v>
      </c>
      <c r="AK3" s="3">
        <v>43832.437245370369</v>
      </c>
      <c r="AL3" s="1" t="s">
        <v>65</v>
      </c>
      <c r="AM3" s="1"/>
      <c r="AN3" s="1" t="s">
        <v>66</v>
      </c>
    </row>
    <row r="4" spans="1:40">
      <c r="A4" s="1">
        <v>3</v>
      </c>
      <c r="B4" s="1">
        <v>5</v>
      </c>
      <c r="C4" s="1" t="s">
        <v>40</v>
      </c>
      <c r="D4" s="1" t="s">
        <v>40</v>
      </c>
      <c r="E4" s="1" t="s">
        <v>41</v>
      </c>
      <c r="F4" s="1">
        <v>500910414</v>
      </c>
      <c r="G4" s="1" t="s">
        <v>42</v>
      </c>
      <c r="H4" s="1" t="s">
        <v>56</v>
      </c>
      <c r="I4" s="1" t="s">
        <v>67</v>
      </c>
      <c r="J4" s="1">
        <v>3957680</v>
      </c>
      <c r="K4" s="7">
        <v>3199247090</v>
      </c>
      <c r="L4" s="7"/>
      <c r="M4" s="1" t="s">
        <v>45</v>
      </c>
      <c r="N4" s="1" t="s">
        <v>68</v>
      </c>
      <c r="O4" s="3">
        <v>43802.414756944447</v>
      </c>
      <c r="P4" s="3">
        <v>43802.586064814815</v>
      </c>
      <c r="Q4" s="1" t="s">
        <v>69</v>
      </c>
      <c r="R4" s="1" t="s">
        <v>60</v>
      </c>
      <c r="S4" s="7">
        <f>62-87855903370</f>
        <v>-87855903308</v>
      </c>
      <c r="T4" s="1" t="s">
        <v>61</v>
      </c>
      <c r="U4" s="1" t="s">
        <v>62</v>
      </c>
      <c r="V4" s="4">
        <v>1127440434694290</v>
      </c>
      <c r="W4" s="4">
        <v>-726991520137937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 t="s">
        <v>51</v>
      </c>
      <c r="AI4" s="1" t="s">
        <v>63</v>
      </c>
      <c r="AJ4" s="1" t="s">
        <v>64</v>
      </c>
      <c r="AK4" s="3">
        <v>43832.437777777777</v>
      </c>
      <c r="AL4" s="1" t="s">
        <v>65</v>
      </c>
      <c r="AM4" s="1"/>
      <c r="AN4" s="1" t="s">
        <v>66</v>
      </c>
    </row>
    <row r="5" spans="1:40">
      <c r="A5" s="1">
        <v>4</v>
      </c>
      <c r="B5" s="1">
        <v>5</v>
      </c>
      <c r="C5" s="1" t="s">
        <v>40</v>
      </c>
      <c r="D5" s="1" t="s">
        <v>40</v>
      </c>
      <c r="E5" s="1" t="s">
        <v>41</v>
      </c>
      <c r="F5" s="1">
        <v>500910420</v>
      </c>
      <c r="G5" s="1" t="s">
        <v>42</v>
      </c>
      <c r="H5" s="1" t="s">
        <v>43</v>
      </c>
      <c r="I5" s="1" t="s">
        <v>70</v>
      </c>
      <c r="J5" s="1">
        <v>15673151</v>
      </c>
      <c r="K5" s="7">
        <v>3199255002</v>
      </c>
      <c r="L5" s="7">
        <v>152413137928</v>
      </c>
      <c r="M5" s="1" t="s">
        <v>45</v>
      </c>
      <c r="N5" s="1" t="s">
        <v>71</v>
      </c>
      <c r="O5" s="3">
        <v>43802.415023148147</v>
      </c>
      <c r="P5" s="3">
        <v>43804.380983796298</v>
      </c>
      <c r="Q5" s="1" t="s">
        <v>72</v>
      </c>
      <c r="R5" s="1" t="s">
        <v>48</v>
      </c>
      <c r="S5" s="7">
        <f>62-8993404222</f>
        <v>-8993404160</v>
      </c>
      <c r="T5" s="1" t="s">
        <v>73</v>
      </c>
      <c r="U5" s="1" t="s">
        <v>74</v>
      </c>
      <c r="V5" s="4">
        <v>1127404032431300</v>
      </c>
      <c r="W5" s="4">
        <v>-726345013317749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 t="s">
        <v>51</v>
      </c>
      <c r="AI5" s="1" t="s">
        <v>75</v>
      </c>
      <c r="AJ5" s="1" t="s">
        <v>64</v>
      </c>
      <c r="AK5" s="3">
        <v>43832.438946759263</v>
      </c>
      <c r="AL5" s="1" t="s">
        <v>54</v>
      </c>
      <c r="AM5" s="1"/>
      <c r="AN5" s="1" t="s">
        <v>55</v>
      </c>
    </row>
    <row r="6" spans="1:40">
      <c r="A6" s="1">
        <v>5</v>
      </c>
      <c r="B6" s="1">
        <v>5</v>
      </c>
      <c r="C6" s="1" t="s">
        <v>40</v>
      </c>
      <c r="D6" s="1" t="s">
        <v>40</v>
      </c>
      <c r="E6" s="1" t="s">
        <v>76</v>
      </c>
      <c r="F6" s="1">
        <v>500978125</v>
      </c>
      <c r="G6" s="1" t="s">
        <v>42</v>
      </c>
      <c r="H6" s="1" t="s">
        <v>77</v>
      </c>
      <c r="I6" s="1" t="s">
        <v>78</v>
      </c>
      <c r="J6" s="1">
        <v>50395107</v>
      </c>
      <c r="K6" s="7">
        <v>3199144336</v>
      </c>
      <c r="L6" s="7">
        <v>152409251164</v>
      </c>
      <c r="M6" s="1" t="s">
        <v>45</v>
      </c>
      <c r="N6" s="1" t="s">
        <v>79</v>
      </c>
      <c r="O6" s="3">
        <v>43805.572858796295</v>
      </c>
      <c r="P6" s="3">
        <v>43817.557719907411</v>
      </c>
      <c r="Q6" s="1" t="s">
        <v>80</v>
      </c>
      <c r="R6" s="1" t="s">
        <v>81</v>
      </c>
      <c r="S6" s="7">
        <f>62-811302201</f>
        <v>-811302139</v>
      </c>
      <c r="T6" s="1" t="s">
        <v>82</v>
      </c>
      <c r="U6" s="1" t="s">
        <v>83</v>
      </c>
      <c r="V6" s="4">
        <v>1126634505542400</v>
      </c>
      <c r="W6" s="4">
        <v>-728804183920018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 t="s">
        <v>84</v>
      </c>
      <c r="AI6" s="1" t="s">
        <v>85</v>
      </c>
      <c r="AJ6" s="1" t="s">
        <v>86</v>
      </c>
      <c r="AK6" s="3">
        <v>43817.558032407411</v>
      </c>
      <c r="AL6" s="1" t="s">
        <v>87</v>
      </c>
      <c r="AM6" s="1"/>
      <c r="AN6" s="1" t="s">
        <v>88</v>
      </c>
    </row>
    <row r="7" spans="1:40">
      <c r="A7" s="1">
        <v>6</v>
      </c>
      <c r="B7" s="1">
        <v>5</v>
      </c>
      <c r="C7" s="1" t="s">
        <v>40</v>
      </c>
      <c r="D7" s="1" t="s">
        <v>40</v>
      </c>
      <c r="E7" s="1" t="s">
        <v>41</v>
      </c>
      <c r="F7" s="1">
        <v>500991528</v>
      </c>
      <c r="G7" s="1" t="s">
        <v>42</v>
      </c>
      <c r="H7" s="1" t="s">
        <v>43</v>
      </c>
      <c r="I7" s="1" t="s">
        <v>89</v>
      </c>
      <c r="J7" s="1">
        <v>50401693</v>
      </c>
      <c r="K7" s="7">
        <v>3199253976</v>
      </c>
      <c r="L7" s="7">
        <v>152413143855</v>
      </c>
      <c r="M7" s="1" t="s">
        <v>45</v>
      </c>
      <c r="N7" s="1" t="s">
        <v>90</v>
      </c>
      <c r="O7" s="3">
        <v>43806.524421296293</v>
      </c>
      <c r="P7" s="3">
        <v>43807.543738425928</v>
      </c>
      <c r="Q7" s="1" t="s">
        <v>91</v>
      </c>
      <c r="R7" s="1" t="s">
        <v>92</v>
      </c>
      <c r="S7" s="7">
        <f>622-87701884871</f>
        <v>-87701884249</v>
      </c>
      <c r="T7" s="1" t="s">
        <v>93</v>
      </c>
      <c r="U7" s="1" t="s">
        <v>94</v>
      </c>
      <c r="V7" s="4">
        <v>11275305807</v>
      </c>
      <c r="W7" s="4">
        <v>-7251276949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 t="s">
        <v>95</v>
      </c>
      <c r="AI7" s="1" t="s">
        <v>96</v>
      </c>
      <c r="AJ7" s="1" t="s">
        <v>53</v>
      </c>
      <c r="AK7" s="3">
        <v>43857.692743055559</v>
      </c>
      <c r="AL7" s="1" t="s">
        <v>97</v>
      </c>
      <c r="AM7" s="1"/>
      <c r="AN7" s="1" t="s">
        <v>88</v>
      </c>
    </row>
    <row r="8" spans="1:40">
      <c r="A8" s="1">
        <v>7</v>
      </c>
      <c r="B8" s="1">
        <v>5</v>
      </c>
      <c r="C8" s="1" t="s">
        <v>40</v>
      </c>
      <c r="D8" s="1" t="s">
        <v>40</v>
      </c>
      <c r="E8" s="1" t="s">
        <v>76</v>
      </c>
      <c r="F8" s="1">
        <v>501005303</v>
      </c>
      <c r="G8" s="1" t="s">
        <v>42</v>
      </c>
      <c r="H8" s="1"/>
      <c r="I8" s="1" t="s">
        <v>98</v>
      </c>
      <c r="J8" s="1">
        <v>50389204</v>
      </c>
      <c r="K8" s="7">
        <v>3199900265</v>
      </c>
      <c r="L8" s="7">
        <v>152409256878</v>
      </c>
      <c r="M8" s="1" t="s">
        <v>99</v>
      </c>
      <c r="N8" s="1" t="s">
        <v>100</v>
      </c>
      <c r="O8" s="3">
        <v>43808.398229166669</v>
      </c>
      <c r="P8" s="3">
        <v>43808.398715277777</v>
      </c>
      <c r="Q8" s="1" t="s">
        <v>101</v>
      </c>
      <c r="R8" s="1" t="s">
        <v>102</v>
      </c>
      <c r="S8" s="7">
        <f>622-811353765101</f>
        <v>-811353764479</v>
      </c>
      <c r="T8" s="1" t="s">
        <v>103</v>
      </c>
      <c r="U8" s="1" t="s">
        <v>104</v>
      </c>
      <c r="V8" s="4">
        <v>11268651</v>
      </c>
      <c r="W8" s="4">
        <v>-729372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 t="s">
        <v>95</v>
      </c>
      <c r="AI8" s="1" t="s">
        <v>105</v>
      </c>
      <c r="AJ8" s="1" t="s">
        <v>106</v>
      </c>
      <c r="AK8" s="3">
        <v>43853.478391203702</v>
      </c>
      <c r="AL8" s="1"/>
      <c r="AM8" s="1"/>
      <c r="AN8" s="1" t="s">
        <v>88</v>
      </c>
    </row>
    <row r="9" spans="1:40">
      <c r="A9" s="1">
        <v>8</v>
      </c>
      <c r="B9" s="1">
        <v>5</v>
      </c>
      <c r="C9" s="1" t="s">
        <v>40</v>
      </c>
      <c r="D9" s="1" t="s">
        <v>40</v>
      </c>
      <c r="E9" s="1" t="s">
        <v>107</v>
      </c>
      <c r="F9" s="1">
        <v>501035630</v>
      </c>
      <c r="G9" s="1" t="s">
        <v>42</v>
      </c>
      <c r="H9" s="1" t="s">
        <v>43</v>
      </c>
      <c r="I9" s="1" t="s">
        <v>108</v>
      </c>
      <c r="J9" s="1">
        <v>50441521</v>
      </c>
      <c r="K9" s="7">
        <v>3199166234</v>
      </c>
      <c r="L9" s="7">
        <v>152412234471</v>
      </c>
      <c r="M9" s="1" t="s">
        <v>45</v>
      </c>
      <c r="N9" s="1" t="s">
        <v>109</v>
      </c>
      <c r="O9" s="3">
        <v>43809.573437500003</v>
      </c>
      <c r="P9" s="3">
        <v>43809.701909722222</v>
      </c>
      <c r="Q9" s="1" t="s">
        <v>110</v>
      </c>
      <c r="R9" s="1" t="s">
        <v>111</v>
      </c>
      <c r="S9" s="7">
        <f>62-811341751</f>
        <v>-811341689</v>
      </c>
      <c r="T9" s="1" t="s">
        <v>112</v>
      </c>
      <c r="U9" s="1" t="s">
        <v>113</v>
      </c>
      <c r="V9" s="4">
        <v>1126023212318350</v>
      </c>
      <c r="W9" s="4">
        <v>-722914837551438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 t="s">
        <v>51</v>
      </c>
      <c r="AI9" s="1" t="s">
        <v>114</v>
      </c>
      <c r="AJ9" s="1" t="s">
        <v>115</v>
      </c>
      <c r="AK9" s="3">
        <v>43837.77920138889</v>
      </c>
      <c r="AL9" s="1" t="s">
        <v>116</v>
      </c>
      <c r="AM9" s="1"/>
      <c r="AN9" s="1" t="s">
        <v>117</v>
      </c>
    </row>
    <row r="10" spans="1:40">
      <c r="A10" s="1">
        <v>9</v>
      </c>
      <c r="B10" s="1">
        <v>5</v>
      </c>
      <c r="C10" s="1" t="s">
        <v>40</v>
      </c>
      <c r="D10" s="1" t="s">
        <v>40</v>
      </c>
      <c r="E10" s="1" t="s">
        <v>118</v>
      </c>
      <c r="F10" s="1">
        <v>501079874</v>
      </c>
      <c r="G10" s="1" t="s">
        <v>42</v>
      </c>
      <c r="H10" s="1" t="s">
        <v>43</v>
      </c>
      <c r="I10" s="1" t="s">
        <v>119</v>
      </c>
      <c r="J10" s="1">
        <v>16739820</v>
      </c>
      <c r="K10" s="7">
        <v>3137308492</v>
      </c>
      <c r="L10" s="7">
        <v>152404279187</v>
      </c>
      <c r="M10" s="1" t="s">
        <v>45</v>
      </c>
      <c r="N10" s="1" t="s">
        <v>120</v>
      </c>
      <c r="O10" s="3">
        <v>43811.575567129628</v>
      </c>
      <c r="P10" s="3">
        <v>43825.674467592595</v>
      </c>
      <c r="Q10" s="1" t="s">
        <v>121</v>
      </c>
      <c r="R10" s="1" t="s">
        <v>122</v>
      </c>
      <c r="S10" s="7">
        <f>62-8563567453</f>
        <v>-8563567391</v>
      </c>
      <c r="T10" s="1" t="s">
        <v>123</v>
      </c>
      <c r="U10" s="1" t="s">
        <v>124</v>
      </c>
      <c r="V10" s="4">
        <v>1127683603763580</v>
      </c>
      <c r="W10" s="4">
        <v>-724556962405501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 t="s">
        <v>95</v>
      </c>
      <c r="AI10" s="1" t="s">
        <v>125</v>
      </c>
      <c r="AJ10" s="1" t="s">
        <v>126</v>
      </c>
      <c r="AK10" s="3">
        <v>43860.344965277778</v>
      </c>
      <c r="AL10" s="1" t="s">
        <v>127</v>
      </c>
      <c r="AM10" s="1"/>
      <c r="AN10" s="1" t="s">
        <v>128</v>
      </c>
    </row>
    <row r="11" spans="1:40">
      <c r="A11" s="1">
        <v>10</v>
      </c>
      <c r="B11" s="1">
        <v>5</v>
      </c>
      <c r="C11" s="1" t="s">
        <v>40</v>
      </c>
      <c r="D11" s="1" t="s">
        <v>40</v>
      </c>
      <c r="E11" s="1" t="s">
        <v>118</v>
      </c>
      <c r="F11" s="1">
        <v>501080350</v>
      </c>
      <c r="G11" s="1" t="s">
        <v>42</v>
      </c>
      <c r="H11" s="1" t="s">
        <v>43</v>
      </c>
      <c r="I11" s="1" t="s">
        <v>129</v>
      </c>
      <c r="J11" s="1">
        <v>16739820</v>
      </c>
      <c r="K11" s="7">
        <v>3137395132</v>
      </c>
      <c r="L11" s="7">
        <v>152404270449</v>
      </c>
      <c r="M11" s="1" t="s">
        <v>45</v>
      </c>
      <c r="N11" s="1" t="s">
        <v>130</v>
      </c>
      <c r="O11" s="3">
        <v>43811.583113425928</v>
      </c>
      <c r="P11" s="3">
        <v>43811.873229166667</v>
      </c>
      <c r="Q11" s="1" t="s">
        <v>131</v>
      </c>
      <c r="R11" s="1" t="s">
        <v>122</v>
      </c>
      <c r="S11" s="7">
        <f>62-8563567453</f>
        <v>-8563567391</v>
      </c>
      <c r="T11" s="1" t="s">
        <v>123</v>
      </c>
      <c r="U11" s="1" t="s">
        <v>124</v>
      </c>
      <c r="V11" s="4">
        <v>1127681672573080</v>
      </c>
      <c r="W11" s="4">
        <v>-724542594132973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 t="s">
        <v>95</v>
      </c>
      <c r="AI11" s="1" t="s">
        <v>132</v>
      </c>
      <c r="AJ11" s="1" t="s">
        <v>126</v>
      </c>
      <c r="AK11" s="3">
        <v>43860.345300925925</v>
      </c>
      <c r="AL11" s="1" t="s">
        <v>127</v>
      </c>
      <c r="AM11" s="1"/>
      <c r="AN11" s="1" t="s">
        <v>128</v>
      </c>
    </row>
    <row r="12" spans="1:40">
      <c r="A12" s="1">
        <v>11</v>
      </c>
      <c r="B12" s="1">
        <v>5</v>
      </c>
      <c r="C12" s="1" t="s">
        <v>40</v>
      </c>
      <c r="D12" s="1" t="s">
        <v>40</v>
      </c>
      <c r="E12" s="1" t="s">
        <v>118</v>
      </c>
      <c r="F12" s="1">
        <v>501080752</v>
      </c>
      <c r="G12" s="1" t="s">
        <v>42</v>
      </c>
      <c r="H12" s="1" t="s">
        <v>43</v>
      </c>
      <c r="I12" s="1" t="s">
        <v>129</v>
      </c>
      <c r="J12" s="1">
        <v>16739820</v>
      </c>
      <c r="K12" s="7">
        <v>3137308460</v>
      </c>
      <c r="L12" s="7">
        <v>152404274380</v>
      </c>
      <c r="M12" s="1" t="s">
        <v>45</v>
      </c>
      <c r="N12" s="1" t="s">
        <v>133</v>
      </c>
      <c r="O12" s="3">
        <v>43811.587766203702</v>
      </c>
      <c r="P12" s="3">
        <v>43812.069178240738</v>
      </c>
      <c r="Q12" s="1" t="s">
        <v>134</v>
      </c>
      <c r="R12" s="1" t="s">
        <v>122</v>
      </c>
      <c r="S12" s="7">
        <f>62-8563567453</f>
        <v>-8563567391</v>
      </c>
      <c r="T12" s="1" t="s">
        <v>123</v>
      </c>
      <c r="U12" s="1" t="s">
        <v>124</v>
      </c>
      <c r="V12" s="4">
        <v>1127685276452780</v>
      </c>
      <c r="W12" s="4">
        <v>-724555655191108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s">
        <v>95</v>
      </c>
      <c r="AI12" s="1" t="s">
        <v>135</v>
      </c>
      <c r="AJ12" s="1" t="s">
        <v>126</v>
      </c>
      <c r="AK12" s="3">
        <v>43860.345543981479</v>
      </c>
      <c r="AL12" s="1" t="s">
        <v>127</v>
      </c>
      <c r="AM12" s="1"/>
      <c r="AN12" s="1" t="s">
        <v>128</v>
      </c>
    </row>
    <row r="13" spans="1:40">
      <c r="A13" s="1">
        <v>12</v>
      </c>
      <c r="B13" s="1">
        <v>5</v>
      </c>
      <c r="C13" s="1" t="s">
        <v>40</v>
      </c>
      <c r="D13" s="1" t="s">
        <v>40</v>
      </c>
      <c r="E13" s="1" t="s">
        <v>41</v>
      </c>
      <c r="F13" s="1">
        <v>501092453</v>
      </c>
      <c r="G13" s="1" t="s">
        <v>42</v>
      </c>
      <c r="H13" s="1" t="s">
        <v>77</v>
      </c>
      <c r="I13" s="1" t="s">
        <v>136</v>
      </c>
      <c r="J13" s="1">
        <v>50466848</v>
      </c>
      <c r="K13" s="7">
        <v>3199254555</v>
      </c>
      <c r="L13" s="7">
        <v>152413143439</v>
      </c>
      <c r="M13" s="1" t="s">
        <v>137</v>
      </c>
      <c r="N13" s="1" t="s">
        <v>138</v>
      </c>
      <c r="O13" s="3">
        <v>43812.342349537037</v>
      </c>
      <c r="P13" s="3">
        <v>43812.734699074077</v>
      </c>
      <c r="Q13" s="1" t="s">
        <v>139</v>
      </c>
      <c r="R13" s="1" t="s">
        <v>140</v>
      </c>
      <c r="S13" s="7">
        <f>622-878760000288</f>
        <v>-878759999666</v>
      </c>
      <c r="T13" s="1" t="s">
        <v>141</v>
      </c>
      <c r="U13" s="1" t="s">
        <v>142</v>
      </c>
      <c r="V13" s="4">
        <v>1127132204367420</v>
      </c>
      <c r="W13" s="4">
        <v>-725041276322783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 t="s">
        <v>143</v>
      </c>
      <c r="AI13" s="5">
        <v>43812</v>
      </c>
      <c r="AJ13" s="1" t="s">
        <v>144</v>
      </c>
      <c r="AK13" s="3">
        <v>43812.364710648151</v>
      </c>
      <c r="AL13" s="1" t="s">
        <v>145</v>
      </c>
      <c r="AM13" s="1"/>
      <c r="AN13" s="1" t="s">
        <v>88</v>
      </c>
    </row>
    <row r="14" spans="1:40">
      <c r="A14" s="1">
        <v>13</v>
      </c>
      <c r="B14" s="1">
        <v>5</v>
      </c>
      <c r="C14" s="1" t="s">
        <v>40</v>
      </c>
      <c r="D14" s="1" t="s">
        <v>40</v>
      </c>
      <c r="E14" s="1" t="s">
        <v>41</v>
      </c>
      <c r="F14" s="1">
        <v>501145285</v>
      </c>
      <c r="G14" s="1" t="s">
        <v>42</v>
      </c>
      <c r="H14" s="1" t="s">
        <v>77</v>
      </c>
      <c r="I14" s="1" t="s">
        <v>146</v>
      </c>
      <c r="J14" s="1">
        <v>50490550</v>
      </c>
      <c r="K14" s="7">
        <v>3199251568</v>
      </c>
      <c r="L14" s="7">
        <v>152413143786</v>
      </c>
      <c r="M14" s="1" t="s">
        <v>137</v>
      </c>
      <c r="N14" s="1" t="s">
        <v>147</v>
      </c>
      <c r="O14" s="3">
        <v>43815.594502314816</v>
      </c>
      <c r="P14" s="3">
        <v>43838.643159722225</v>
      </c>
      <c r="Q14" s="1" t="s">
        <v>148</v>
      </c>
      <c r="R14" s="1" t="s">
        <v>149</v>
      </c>
      <c r="S14" s="7">
        <f>622-81231558060</f>
        <v>-81231557438</v>
      </c>
      <c r="T14" s="1" t="s">
        <v>150</v>
      </c>
      <c r="U14" s="1" t="s">
        <v>151</v>
      </c>
      <c r="V14" s="4">
        <v>11271566084</v>
      </c>
      <c r="W14" s="4">
        <v>-7260203674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 t="s">
        <v>143</v>
      </c>
      <c r="AI14" s="5">
        <v>43814</v>
      </c>
      <c r="AJ14" s="1" t="s">
        <v>144</v>
      </c>
      <c r="AK14" s="3">
        <v>43815.59951388889</v>
      </c>
      <c r="AL14" s="1" t="s">
        <v>145</v>
      </c>
      <c r="AM14" s="1"/>
      <c r="AN14" s="1" t="s">
        <v>88</v>
      </c>
    </row>
    <row r="15" spans="1:40">
      <c r="A15" s="1">
        <v>14</v>
      </c>
      <c r="B15" s="1">
        <v>5</v>
      </c>
      <c r="C15" s="1" t="s">
        <v>40</v>
      </c>
      <c r="D15" s="1" t="s">
        <v>152</v>
      </c>
      <c r="E15" s="1" t="s">
        <v>153</v>
      </c>
      <c r="F15" s="1">
        <v>501169094</v>
      </c>
      <c r="G15" s="1" t="s">
        <v>42</v>
      </c>
      <c r="H15" s="1" t="s">
        <v>77</v>
      </c>
      <c r="I15" s="1" t="s">
        <v>154</v>
      </c>
      <c r="J15" s="1">
        <v>50521295</v>
      </c>
      <c r="K15" s="7">
        <v>3199110404</v>
      </c>
      <c r="L15" s="7">
        <v>152442214525</v>
      </c>
      <c r="M15" s="1" t="s">
        <v>45</v>
      </c>
      <c r="N15" s="1" t="s">
        <v>155</v>
      </c>
      <c r="O15" s="3">
        <v>43816.583634259259</v>
      </c>
      <c r="P15" s="3">
        <v>43816.714513888888</v>
      </c>
      <c r="Q15" s="1" t="s">
        <v>156</v>
      </c>
      <c r="R15" s="1" t="s">
        <v>157</v>
      </c>
      <c r="S15" s="7">
        <f>622-8194970880701</f>
        <v>-8194970880079</v>
      </c>
      <c r="T15" s="1" t="s">
        <v>158</v>
      </c>
      <c r="U15" s="1" t="s">
        <v>159</v>
      </c>
      <c r="V15" s="4">
        <v>11257193678</v>
      </c>
      <c r="W15" s="4">
        <v>-7303750357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 t="s">
        <v>160</v>
      </c>
      <c r="AI15" s="1" t="s">
        <v>161</v>
      </c>
      <c r="AJ15" s="1" t="s">
        <v>162</v>
      </c>
      <c r="AK15" s="3">
        <v>43819.694120370368</v>
      </c>
      <c r="AL15" s="1" t="s">
        <v>163</v>
      </c>
      <c r="AM15" s="1"/>
      <c r="AN15" s="1" t="s">
        <v>88</v>
      </c>
    </row>
    <row r="16" spans="1:40">
      <c r="A16" s="1">
        <v>15</v>
      </c>
      <c r="B16" s="1">
        <v>5</v>
      </c>
      <c r="C16" s="1" t="s">
        <v>40</v>
      </c>
      <c r="D16" s="1" t="s">
        <v>40</v>
      </c>
      <c r="E16" s="1" t="s">
        <v>118</v>
      </c>
      <c r="F16" s="1">
        <v>501277074</v>
      </c>
      <c r="G16" s="1" t="s">
        <v>42</v>
      </c>
      <c r="H16" s="1" t="s">
        <v>77</v>
      </c>
      <c r="I16" s="1" t="s">
        <v>164</v>
      </c>
      <c r="J16" s="1">
        <v>50571775</v>
      </c>
      <c r="K16" s="7">
        <v>3137397416</v>
      </c>
      <c r="L16" s="7">
        <v>152404275802</v>
      </c>
      <c r="M16" s="1" t="s">
        <v>137</v>
      </c>
      <c r="N16" s="1" t="s">
        <v>138</v>
      </c>
      <c r="O16" s="3">
        <v>43822.373194444444</v>
      </c>
      <c r="P16" s="3">
        <v>43822.448287037034</v>
      </c>
      <c r="Q16" s="1" t="s">
        <v>165</v>
      </c>
      <c r="R16" s="1" t="s">
        <v>166</v>
      </c>
      <c r="S16" s="7">
        <f>622-8579980606</f>
        <v>-8579979984</v>
      </c>
      <c r="T16" s="1" t="s">
        <v>167</v>
      </c>
      <c r="U16" s="1" t="s">
        <v>168</v>
      </c>
      <c r="V16" s="4">
        <v>11275319865</v>
      </c>
      <c r="W16" s="4">
        <v>-72459814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 t="s">
        <v>95</v>
      </c>
      <c r="AI16" s="1" t="s">
        <v>169</v>
      </c>
      <c r="AJ16" s="1" t="s">
        <v>126</v>
      </c>
      <c r="AK16" s="3">
        <v>43836.375428240739</v>
      </c>
      <c r="AL16" s="1" t="s">
        <v>97</v>
      </c>
      <c r="AM16" s="1"/>
      <c r="AN16" s="1" t="s">
        <v>88</v>
      </c>
    </row>
    <row r="17" spans="1:40">
      <c r="A17" s="1">
        <v>16</v>
      </c>
      <c r="B17" s="1">
        <v>5</v>
      </c>
      <c r="C17" s="1" t="s">
        <v>40</v>
      </c>
      <c r="D17" s="1" t="s">
        <v>40</v>
      </c>
      <c r="E17" s="1" t="s">
        <v>118</v>
      </c>
      <c r="F17" s="1">
        <v>501279122</v>
      </c>
      <c r="G17" s="1" t="s">
        <v>42</v>
      </c>
      <c r="H17" s="1" t="s">
        <v>77</v>
      </c>
      <c r="I17" s="1" t="s">
        <v>170</v>
      </c>
      <c r="J17" s="1">
        <v>50572552</v>
      </c>
      <c r="K17" s="7">
        <v>3137395288</v>
      </c>
      <c r="L17" s="7">
        <v>152404275455</v>
      </c>
      <c r="M17" s="1" t="s">
        <v>171</v>
      </c>
      <c r="N17" s="1" t="s">
        <v>172</v>
      </c>
      <c r="O17" s="3">
        <v>43822.410162037035</v>
      </c>
      <c r="P17" s="3">
        <v>43832.719340277778</v>
      </c>
      <c r="Q17" s="1" t="s">
        <v>173</v>
      </c>
      <c r="R17" s="1" t="s">
        <v>174</v>
      </c>
      <c r="S17" s="7">
        <f>622-812340587811</f>
        <v>-812340587189</v>
      </c>
      <c r="T17" s="1" t="s">
        <v>175</v>
      </c>
      <c r="U17" s="1" t="s">
        <v>176</v>
      </c>
      <c r="V17" s="4">
        <v>11276655346</v>
      </c>
      <c r="W17" s="4">
        <v>-7250671546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 t="s">
        <v>177</v>
      </c>
      <c r="AI17" s="1" t="s">
        <v>178</v>
      </c>
      <c r="AJ17" s="1" t="s">
        <v>179</v>
      </c>
      <c r="AK17" s="3">
        <v>43859.654016203705</v>
      </c>
      <c r="AL17" s="1" t="s">
        <v>180</v>
      </c>
      <c r="AM17" s="1"/>
      <c r="AN17" s="1" t="s">
        <v>88</v>
      </c>
    </row>
    <row r="18" spans="1:40">
      <c r="A18" s="1">
        <v>17</v>
      </c>
      <c r="B18" s="1">
        <v>5</v>
      </c>
      <c r="C18" s="1" t="s">
        <v>40</v>
      </c>
      <c r="D18" s="1" t="s">
        <v>152</v>
      </c>
      <c r="E18" s="1" t="s">
        <v>181</v>
      </c>
      <c r="F18" s="1">
        <v>501285433</v>
      </c>
      <c r="G18" s="1" t="s">
        <v>42</v>
      </c>
      <c r="H18" s="1" t="s">
        <v>77</v>
      </c>
      <c r="I18" s="1" t="s">
        <v>182</v>
      </c>
      <c r="J18" s="1">
        <v>50585495</v>
      </c>
      <c r="K18" s="7">
        <v>3179971722</v>
      </c>
      <c r="L18" s="7">
        <v>152446213021</v>
      </c>
      <c r="M18" s="1" t="s">
        <v>45</v>
      </c>
      <c r="N18" s="1" t="s">
        <v>183</v>
      </c>
      <c r="O18" s="3">
        <v>43822.520543981482</v>
      </c>
      <c r="P18" s="3">
        <v>43824.081828703704</v>
      </c>
      <c r="Q18" s="1" t="s">
        <v>184</v>
      </c>
      <c r="R18" s="1" t="s">
        <v>185</v>
      </c>
      <c r="S18" s="7">
        <f>622-81259847886</f>
        <v>-81259847264</v>
      </c>
      <c r="T18" s="1" t="s">
        <v>186</v>
      </c>
      <c r="U18" s="1" t="s">
        <v>187</v>
      </c>
      <c r="V18" s="4">
        <v>11256331861</v>
      </c>
      <c r="W18" s="4">
        <v>-7237837761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 t="s">
        <v>160</v>
      </c>
      <c r="AI18" s="1" t="s">
        <v>188</v>
      </c>
      <c r="AJ18" s="1" t="s">
        <v>162</v>
      </c>
      <c r="AK18" s="3">
        <v>43827.477708333332</v>
      </c>
      <c r="AL18" s="1" t="s">
        <v>180</v>
      </c>
      <c r="AM18" s="1"/>
      <c r="AN18" s="1" t="s">
        <v>88</v>
      </c>
    </row>
    <row r="19" spans="1:40">
      <c r="A19" s="1">
        <v>18</v>
      </c>
      <c r="B19" s="1">
        <v>5</v>
      </c>
      <c r="C19" s="1" t="s">
        <v>40</v>
      </c>
      <c r="D19" s="1" t="s">
        <v>40</v>
      </c>
      <c r="E19" s="1" t="s">
        <v>41</v>
      </c>
      <c r="F19" s="1">
        <v>501305516</v>
      </c>
      <c r="G19" s="1" t="s">
        <v>42</v>
      </c>
      <c r="H19" s="1"/>
      <c r="I19" s="1" t="s">
        <v>189</v>
      </c>
      <c r="J19" s="1">
        <v>50559401</v>
      </c>
      <c r="K19" s="7"/>
      <c r="L19" s="7">
        <v>152413143854</v>
      </c>
      <c r="M19" s="1" t="s">
        <v>137</v>
      </c>
      <c r="N19" s="1" t="s">
        <v>138</v>
      </c>
      <c r="O19" s="3">
        <v>43822.937997685185</v>
      </c>
      <c r="P19" s="3">
        <v>43822.939699074072</v>
      </c>
      <c r="Q19" s="1" t="s">
        <v>190</v>
      </c>
      <c r="R19" s="1" t="s">
        <v>191</v>
      </c>
      <c r="S19" s="7">
        <f>622-81236125019</f>
        <v>-81236124397</v>
      </c>
      <c r="T19" s="1" t="s">
        <v>192</v>
      </c>
      <c r="U19" s="1" t="s">
        <v>193</v>
      </c>
      <c r="V19" s="4">
        <v>112718538</v>
      </c>
      <c r="W19" s="4">
        <v>-7256568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 t="s">
        <v>143</v>
      </c>
      <c r="AI19" s="5">
        <v>43820</v>
      </c>
      <c r="AJ19" s="1" t="s">
        <v>144</v>
      </c>
      <c r="AK19" s="3">
        <v>43822.948136574072</v>
      </c>
      <c r="AL19" s="1"/>
      <c r="AM19" s="1"/>
      <c r="AN19" s="1" t="s">
        <v>88</v>
      </c>
    </row>
    <row r="20" spans="1:40">
      <c r="A20" s="1">
        <v>19</v>
      </c>
      <c r="B20" s="1">
        <v>5</v>
      </c>
      <c r="C20" s="1" t="s">
        <v>40</v>
      </c>
      <c r="D20" s="1" t="s">
        <v>40</v>
      </c>
      <c r="E20" s="1" t="s">
        <v>41</v>
      </c>
      <c r="F20" s="1">
        <v>501306805</v>
      </c>
      <c r="G20" s="1" t="s">
        <v>42</v>
      </c>
      <c r="H20" s="1" t="s">
        <v>77</v>
      </c>
      <c r="I20" s="1" t="s">
        <v>194</v>
      </c>
      <c r="J20" s="1">
        <v>50586880</v>
      </c>
      <c r="K20" s="7">
        <v>3199249993</v>
      </c>
      <c r="L20" s="7">
        <v>152413900095</v>
      </c>
      <c r="M20" s="1" t="s">
        <v>137</v>
      </c>
      <c r="N20" s="1" t="s">
        <v>138</v>
      </c>
      <c r="O20" s="3">
        <v>43823.372812499998</v>
      </c>
      <c r="P20" s="3">
        <v>43823.373749999999</v>
      </c>
      <c r="Q20" s="1" t="s">
        <v>195</v>
      </c>
      <c r="R20" s="1" t="s">
        <v>196</v>
      </c>
      <c r="S20" s="7">
        <f>622-81939377774</f>
        <v>-81939377152</v>
      </c>
      <c r="T20" s="1" t="s">
        <v>197</v>
      </c>
      <c r="U20" s="1" t="s">
        <v>198</v>
      </c>
      <c r="V20" s="4">
        <v>11271845218</v>
      </c>
      <c r="W20" s="4">
        <v>-7248628419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 t="s">
        <v>143</v>
      </c>
      <c r="AI20" s="5">
        <v>43823</v>
      </c>
      <c r="AJ20" s="1" t="s">
        <v>144</v>
      </c>
      <c r="AK20" s="3">
        <v>43823.385648148149</v>
      </c>
      <c r="AL20" s="1" t="s">
        <v>199</v>
      </c>
      <c r="AM20" s="1"/>
      <c r="AN20" s="1" t="s">
        <v>88</v>
      </c>
    </row>
    <row r="21" spans="1:40">
      <c r="A21" s="1">
        <v>20</v>
      </c>
      <c r="B21" s="1">
        <v>5</v>
      </c>
      <c r="C21" s="1" t="s">
        <v>40</v>
      </c>
      <c r="D21" s="1" t="s">
        <v>152</v>
      </c>
      <c r="E21" s="1" t="s">
        <v>200</v>
      </c>
      <c r="F21" s="1">
        <v>501321818</v>
      </c>
      <c r="G21" s="1" t="s">
        <v>42</v>
      </c>
      <c r="H21" s="1" t="s">
        <v>77</v>
      </c>
      <c r="I21" s="1" t="s">
        <v>201</v>
      </c>
      <c r="J21" s="1">
        <v>50603007</v>
      </c>
      <c r="K21" s="7">
        <v>3139926423</v>
      </c>
      <c r="L21" s="7">
        <v>152412201071</v>
      </c>
      <c r="M21" s="1" t="s">
        <v>45</v>
      </c>
      <c r="N21" s="1" t="s">
        <v>202</v>
      </c>
      <c r="O21" s="3">
        <v>43824.406006944446</v>
      </c>
      <c r="P21" s="3">
        <v>43851.696759259263</v>
      </c>
      <c r="Q21" s="1" t="s">
        <v>203</v>
      </c>
      <c r="R21" s="1" t="s">
        <v>204</v>
      </c>
      <c r="S21" s="7">
        <f>622-878555350050</f>
        <v>-878555349428</v>
      </c>
      <c r="T21" s="1" t="s">
        <v>205</v>
      </c>
      <c r="U21" s="1" t="s">
        <v>206</v>
      </c>
      <c r="V21" s="4">
        <v>1126162</v>
      </c>
      <c r="W21" s="4">
        <v>-71817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 t="s">
        <v>95</v>
      </c>
      <c r="AI21" s="1" t="s">
        <v>207</v>
      </c>
      <c r="AJ21" s="1" t="s">
        <v>106</v>
      </c>
      <c r="AK21" s="3">
        <v>43851.706493055557</v>
      </c>
      <c r="AL21" s="1" t="s">
        <v>180</v>
      </c>
      <c r="AM21" s="1"/>
      <c r="AN21" s="1" t="s">
        <v>88</v>
      </c>
    </row>
    <row r="22" spans="1:40">
      <c r="A22" s="1">
        <v>21</v>
      </c>
      <c r="B22" s="1">
        <v>5</v>
      </c>
      <c r="C22" s="1" t="s">
        <v>40</v>
      </c>
      <c r="D22" s="1" t="s">
        <v>40</v>
      </c>
      <c r="E22" s="1" t="s">
        <v>208</v>
      </c>
      <c r="F22" s="1">
        <v>501323978</v>
      </c>
      <c r="G22" s="1" t="s">
        <v>42</v>
      </c>
      <c r="H22" s="1" t="s">
        <v>77</v>
      </c>
      <c r="I22" s="1" t="s">
        <v>209</v>
      </c>
      <c r="J22" s="1">
        <v>50600590</v>
      </c>
      <c r="K22" s="7">
        <v>3199928663</v>
      </c>
      <c r="L22" s="7">
        <v>152407258513</v>
      </c>
      <c r="M22" s="1" t="s">
        <v>45</v>
      </c>
      <c r="N22" s="1" t="s">
        <v>210</v>
      </c>
      <c r="O22" s="3">
        <v>43824.490046296298</v>
      </c>
      <c r="P22" s="3">
        <v>43850.739687499998</v>
      </c>
      <c r="Q22" s="1" t="s">
        <v>211</v>
      </c>
      <c r="R22" s="1" t="s">
        <v>212</v>
      </c>
      <c r="S22" s="7">
        <f>622-82335360624</f>
        <v>-82335360002</v>
      </c>
      <c r="T22" s="1" t="s">
        <v>213</v>
      </c>
      <c r="U22" s="1" t="s">
        <v>214</v>
      </c>
      <c r="V22" s="4">
        <v>112762877377072</v>
      </c>
      <c r="W22" s="4">
        <v>-7259592470527760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 t="s">
        <v>160</v>
      </c>
      <c r="AI22" s="1" t="s">
        <v>215</v>
      </c>
      <c r="AJ22" s="1" t="s">
        <v>216</v>
      </c>
      <c r="AK22" s="3">
        <v>43824.558645833335</v>
      </c>
      <c r="AL22" s="1" t="s">
        <v>163</v>
      </c>
      <c r="AM22" s="1"/>
      <c r="AN22" s="1" t="s">
        <v>88</v>
      </c>
    </row>
    <row r="23" spans="1:40">
      <c r="A23" s="1">
        <v>22</v>
      </c>
      <c r="B23" s="1">
        <v>5</v>
      </c>
      <c r="C23" s="1" t="s">
        <v>40</v>
      </c>
      <c r="D23" s="1" t="s">
        <v>152</v>
      </c>
      <c r="E23" s="1" t="s">
        <v>181</v>
      </c>
      <c r="F23" s="1">
        <v>501326182</v>
      </c>
      <c r="G23" s="1" t="s">
        <v>42</v>
      </c>
      <c r="H23" s="1" t="s">
        <v>77</v>
      </c>
      <c r="I23" s="1" t="s">
        <v>217</v>
      </c>
      <c r="J23" s="1">
        <v>50608462</v>
      </c>
      <c r="K23" s="7">
        <v>3179971725</v>
      </c>
      <c r="L23" s="7">
        <v>152446213670</v>
      </c>
      <c r="M23" s="1" t="s">
        <v>137</v>
      </c>
      <c r="N23" s="1" t="s">
        <v>138</v>
      </c>
      <c r="O23" s="3">
        <v>43824.598449074074</v>
      </c>
      <c r="P23" s="3">
        <v>43824.610150462962</v>
      </c>
      <c r="Q23" s="1" t="s">
        <v>218</v>
      </c>
      <c r="R23" s="1" t="s">
        <v>219</v>
      </c>
      <c r="S23" s="7">
        <f>622-81331508564</f>
        <v>-81331507942</v>
      </c>
      <c r="T23" s="1" t="s">
        <v>220</v>
      </c>
      <c r="U23" s="1" t="s">
        <v>221</v>
      </c>
      <c r="V23" s="4">
        <v>11256824533</v>
      </c>
      <c r="W23" s="4">
        <v>-7230436549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 t="s">
        <v>143</v>
      </c>
      <c r="AI23" s="5">
        <v>43825</v>
      </c>
      <c r="AJ23" s="1" t="s">
        <v>144</v>
      </c>
      <c r="AK23" s="3">
        <v>43824.60423611111</v>
      </c>
      <c r="AL23" s="1" t="s">
        <v>222</v>
      </c>
      <c r="AM23" s="1"/>
      <c r="AN23" s="1" t="s">
        <v>88</v>
      </c>
    </row>
    <row r="24" spans="1:40">
      <c r="A24" s="1">
        <v>23</v>
      </c>
      <c r="B24" s="1">
        <v>5</v>
      </c>
      <c r="C24" s="1" t="s">
        <v>40</v>
      </c>
      <c r="D24" s="1" t="s">
        <v>152</v>
      </c>
      <c r="E24" s="1" t="s">
        <v>181</v>
      </c>
      <c r="F24" s="1">
        <v>501326204</v>
      </c>
      <c r="G24" s="1" t="s">
        <v>42</v>
      </c>
      <c r="H24" s="1" t="s">
        <v>77</v>
      </c>
      <c r="I24" s="1" t="s">
        <v>217</v>
      </c>
      <c r="J24" s="1">
        <v>50608462</v>
      </c>
      <c r="K24" s="7">
        <v>3179971725</v>
      </c>
      <c r="L24" s="7">
        <v>152446213670</v>
      </c>
      <c r="M24" s="1" t="s">
        <v>137</v>
      </c>
      <c r="N24" s="1" t="s">
        <v>138</v>
      </c>
      <c r="O24" s="3">
        <v>43824.599409722221</v>
      </c>
      <c r="P24" s="3">
        <v>43824.611111111109</v>
      </c>
      <c r="Q24" s="1" t="s">
        <v>223</v>
      </c>
      <c r="R24" s="1" t="s">
        <v>219</v>
      </c>
      <c r="S24" s="7">
        <f>622-81331508564</f>
        <v>-81331507942</v>
      </c>
      <c r="T24" s="1" t="s">
        <v>220</v>
      </c>
      <c r="U24" s="1" t="s">
        <v>221</v>
      </c>
      <c r="V24" s="4">
        <v>11256824533</v>
      </c>
      <c r="W24" s="4">
        <v>-7230436549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 t="s">
        <v>143</v>
      </c>
      <c r="AI24" s="5">
        <v>43825</v>
      </c>
      <c r="AJ24" s="1" t="s">
        <v>144</v>
      </c>
      <c r="AK24" s="3">
        <v>43824.60423611111</v>
      </c>
      <c r="AL24" s="1" t="s">
        <v>222</v>
      </c>
      <c r="AM24" s="1"/>
      <c r="AN24" s="1" t="s">
        <v>88</v>
      </c>
    </row>
    <row r="25" spans="1:40">
      <c r="A25" s="1">
        <v>24</v>
      </c>
      <c r="B25" s="1">
        <v>5</v>
      </c>
      <c r="C25" s="1" t="s">
        <v>40</v>
      </c>
      <c r="D25" s="1" t="s">
        <v>152</v>
      </c>
      <c r="E25" s="1" t="s">
        <v>224</v>
      </c>
      <c r="F25" s="1">
        <v>501327743</v>
      </c>
      <c r="G25" s="1" t="s">
        <v>42</v>
      </c>
      <c r="H25" s="1" t="s">
        <v>77</v>
      </c>
      <c r="I25" s="1" t="s">
        <v>225</v>
      </c>
      <c r="J25" s="1">
        <v>50612813</v>
      </c>
      <c r="K25" s="7">
        <v>3136321111</v>
      </c>
      <c r="L25" s="7">
        <v>152443902949</v>
      </c>
      <c r="M25" s="1" t="s">
        <v>137</v>
      </c>
      <c r="N25" s="1" t="s">
        <v>138</v>
      </c>
      <c r="O25" s="3">
        <v>43824.658854166664</v>
      </c>
      <c r="P25" s="3">
        <v>43824.663472222222</v>
      </c>
      <c r="Q25" s="1" t="s">
        <v>226</v>
      </c>
      <c r="R25" s="1" t="s">
        <v>227</v>
      </c>
      <c r="S25" s="7">
        <f>622-85731984544</f>
        <v>-85731983922</v>
      </c>
      <c r="T25" s="1" t="s">
        <v>228</v>
      </c>
      <c r="U25" s="1" t="s">
        <v>229</v>
      </c>
      <c r="V25" s="4">
        <v>11249990402</v>
      </c>
      <c r="W25" s="4">
        <v>-7254493868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s">
        <v>143</v>
      </c>
      <c r="AI25" s="5">
        <v>43825</v>
      </c>
      <c r="AJ25" s="1" t="s">
        <v>144</v>
      </c>
      <c r="AK25" s="3">
        <v>43824.66679398148</v>
      </c>
      <c r="AL25" s="1" t="s">
        <v>180</v>
      </c>
      <c r="AM25" s="1"/>
      <c r="AN25" s="1" t="s">
        <v>88</v>
      </c>
    </row>
    <row r="26" spans="1:40">
      <c r="A26" s="1">
        <v>25</v>
      </c>
      <c r="B26" s="1">
        <v>5</v>
      </c>
      <c r="C26" s="1" t="s">
        <v>40</v>
      </c>
      <c r="D26" s="1" t="s">
        <v>152</v>
      </c>
      <c r="E26" s="1" t="s">
        <v>230</v>
      </c>
      <c r="F26" s="1">
        <v>501329027</v>
      </c>
      <c r="G26" s="1" t="s">
        <v>42</v>
      </c>
      <c r="H26" s="1" t="s">
        <v>77</v>
      </c>
      <c r="I26" s="1" t="s">
        <v>231</v>
      </c>
      <c r="J26" s="1">
        <v>50595739</v>
      </c>
      <c r="K26" s="7">
        <v>3199115323</v>
      </c>
      <c r="L26" s="7">
        <v>152451206844</v>
      </c>
      <c r="M26" s="1" t="s">
        <v>137</v>
      </c>
      <c r="N26" s="1" t="s">
        <v>138</v>
      </c>
      <c r="O26" s="3">
        <v>43824.725115740737</v>
      </c>
      <c r="P26" s="3">
        <v>43824.73159722222</v>
      </c>
      <c r="Q26" s="1" t="s">
        <v>232</v>
      </c>
      <c r="R26" s="1" t="s">
        <v>233</v>
      </c>
      <c r="S26" s="7">
        <f>622-87756532754</f>
        <v>-87756532132</v>
      </c>
      <c r="T26" s="1" t="s">
        <v>234</v>
      </c>
      <c r="U26" s="1" t="s">
        <v>235</v>
      </c>
      <c r="V26" s="4">
        <v>11253805592</v>
      </c>
      <c r="W26" s="4">
        <v>-6914578918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 t="s">
        <v>143</v>
      </c>
      <c r="AI26" s="5">
        <v>43825</v>
      </c>
      <c r="AJ26" s="1" t="s">
        <v>144</v>
      </c>
      <c r="AK26" s="3">
        <v>43824.729270833333</v>
      </c>
      <c r="AL26" s="1" t="s">
        <v>222</v>
      </c>
      <c r="AM26" s="1"/>
      <c r="AN26" s="1" t="s">
        <v>88</v>
      </c>
    </row>
    <row r="27" spans="1:40">
      <c r="A27" s="1">
        <v>26</v>
      </c>
      <c r="B27" s="1">
        <v>5</v>
      </c>
      <c r="C27" s="1" t="s">
        <v>40</v>
      </c>
      <c r="D27" s="1" t="s">
        <v>152</v>
      </c>
      <c r="E27" s="1" t="s">
        <v>224</v>
      </c>
      <c r="F27" s="1">
        <v>501329170</v>
      </c>
      <c r="G27" s="1" t="s">
        <v>42</v>
      </c>
      <c r="H27" s="1" t="s">
        <v>77</v>
      </c>
      <c r="I27" s="1" t="s">
        <v>236</v>
      </c>
      <c r="J27" s="1">
        <v>50614123</v>
      </c>
      <c r="K27" s="7">
        <v>3136321355</v>
      </c>
      <c r="L27" s="7">
        <v>152443902686</v>
      </c>
      <c r="M27" s="1" t="s">
        <v>137</v>
      </c>
      <c r="N27" s="1" t="s">
        <v>138</v>
      </c>
      <c r="O27" s="3">
        <v>43824.740763888891</v>
      </c>
      <c r="P27" s="3">
        <v>43824.743611111109</v>
      </c>
      <c r="Q27" s="1" t="s">
        <v>237</v>
      </c>
      <c r="R27" s="1" t="s">
        <v>238</v>
      </c>
      <c r="S27" s="7">
        <f>622-85775143564</f>
        <v>-85775142942</v>
      </c>
      <c r="T27" s="1" t="s">
        <v>239</v>
      </c>
      <c r="U27" s="1" t="s">
        <v>240</v>
      </c>
      <c r="V27" s="4">
        <v>11248561883</v>
      </c>
      <c r="W27" s="4">
        <v>-7272291001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 t="s">
        <v>143</v>
      </c>
      <c r="AI27" s="5">
        <v>43825</v>
      </c>
      <c r="AJ27" s="1" t="s">
        <v>144</v>
      </c>
      <c r="AK27" s="3">
        <v>43824.750104166669</v>
      </c>
      <c r="AL27" s="1" t="s">
        <v>180</v>
      </c>
      <c r="AM27" s="1"/>
      <c r="AN27" s="1" t="s">
        <v>88</v>
      </c>
    </row>
    <row r="28" spans="1:40">
      <c r="A28" s="1">
        <v>27</v>
      </c>
      <c r="B28" s="1">
        <v>5</v>
      </c>
      <c r="C28" s="1" t="s">
        <v>40</v>
      </c>
      <c r="D28" s="1" t="s">
        <v>152</v>
      </c>
      <c r="E28" s="1" t="s">
        <v>224</v>
      </c>
      <c r="F28" s="1">
        <v>501329618</v>
      </c>
      <c r="G28" s="1" t="s">
        <v>42</v>
      </c>
      <c r="H28" s="1" t="s">
        <v>77</v>
      </c>
      <c r="I28" s="1" t="s">
        <v>236</v>
      </c>
      <c r="J28" s="1">
        <v>50615133</v>
      </c>
      <c r="K28" s="7">
        <v>3136321580</v>
      </c>
      <c r="L28" s="7">
        <v>152443903738</v>
      </c>
      <c r="M28" s="1" t="s">
        <v>137</v>
      </c>
      <c r="N28" s="1" t="s">
        <v>138</v>
      </c>
      <c r="O28" s="3">
        <v>43824.794016203705</v>
      </c>
      <c r="P28" s="3">
        <v>43824.799074074072</v>
      </c>
      <c r="Q28" s="1" t="s">
        <v>241</v>
      </c>
      <c r="R28" s="1" t="s">
        <v>242</v>
      </c>
      <c r="S28" s="7">
        <f>622-8213192856701</f>
        <v>-8213192856079</v>
      </c>
      <c r="T28" s="1" t="s">
        <v>243</v>
      </c>
      <c r="U28" s="1" t="s">
        <v>244</v>
      </c>
      <c r="V28" s="4">
        <v>11248561883</v>
      </c>
      <c r="W28" s="4">
        <v>-7272291001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 t="s">
        <v>143</v>
      </c>
      <c r="AI28" s="5">
        <v>43825</v>
      </c>
      <c r="AJ28" s="1" t="s">
        <v>144</v>
      </c>
      <c r="AK28" s="3">
        <v>43824.802152777775</v>
      </c>
      <c r="AL28" s="1" t="s">
        <v>180</v>
      </c>
      <c r="AM28" s="1"/>
      <c r="AN28" s="1" t="s">
        <v>88</v>
      </c>
    </row>
    <row r="29" spans="1:40">
      <c r="A29" s="1">
        <v>28</v>
      </c>
      <c r="B29" s="1">
        <v>5</v>
      </c>
      <c r="C29" s="1" t="s">
        <v>40</v>
      </c>
      <c r="D29" s="1" t="s">
        <v>152</v>
      </c>
      <c r="E29" s="1" t="s">
        <v>200</v>
      </c>
      <c r="F29" s="1">
        <v>501330216</v>
      </c>
      <c r="G29" s="1" t="s">
        <v>42</v>
      </c>
      <c r="H29" s="1"/>
      <c r="I29" s="1" t="s">
        <v>245</v>
      </c>
      <c r="J29" s="1">
        <v>50579385</v>
      </c>
      <c r="K29" s="7">
        <v>3199101817</v>
      </c>
      <c r="L29" s="7">
        <v>152412201161</v>
      </c>
      <c r="M29" s="1" t="s">
        <v>137</v>
      </c>
      <c r="N29" s="1" t="s">
        <v>138</v>
      </c>
      <c r="O29" s="3">
        <v>43824.925543981481</v>
      </c>
      <c r="P29" s="3">
        <v>43824.93855324074</v>
      </c>
      <c r="Q29" s="1" t="s">
        <v>246</v>
      </c>
      <c r="R29" s="1" t="s">
        <v>247</v>
      </c>
      <c r="S29" s="7">
        <f>622-82233301186</f>
        <v>-82233300564</v>
      </c>
      <c r="T29" s="1" t="s">
        <v>248</v>
      </c>
      <c r="U29" s="1" t="s">
        <v>249</v>
      </c>
      <c r="V29" s="4">
        <v>1126525</v>
      </c>
      <c r="W29" s="4">
        <v>-71625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 t="s">
        <v>143</v>
      </c>
      <c r="AI29" s="5">
        <v>43822</v>
      </c>
      <c r="AJ29" s="1" t="s">
        <v>144</v>
      </c>
      <c r="AK29" s="3">
        <v>43824.937581018516</v>
      </c>
      <c r="AL29" s="1"/>
      <c r="AM29" s="1"/>
      <c r="AN29" s="1" t="s">
        <v>88</v>
      </c>
    </row>
    <row r="30" spans="1:40">
      <c r="A30" s="1">
        <v>29</v>
      </c>
      <c r="B30" s="1">
        <v>5</v>
      </c>
      <c r="C30" s="1" t="s">
        <v>40</v>
      </c>
      <c r="D30" s="1" t="s">
        <v>40</v>
      </c>
      <c r="E30" s="1" t="s">
        <v>250</v>
      </c>
      <c r="F30" s="1">
        <v>501330178</v>
      </c>
      <c r="G30" s="1" t="s">
        <v>42</v>
      </c>
      <c r="H30" s="1"/>
      <c r="I30" s="1" t="s">
        <v>251</v>
      </c>
      <c r="J30" s="1">
        <v>50575827</v>
      </c>
      <c r="K30" s="7">
        <v>3199341817</v>
      </c>
      <c r="L30" s="7">
        <v>152418211954</v>
      </c>
      <c r="M30" s="1" t="s">
        <v>137</v>
      </c>
      <c r="N30" s="1" t="s">
        <v>138</v>
      </c>
      <c r="O30" s="3">
        <v>43824.925543981481</v>
      </c>
      <c r="P30" s="3">
        <v>43824.938576388886</v>
      </c>
      <c r="Q30" s="1" t="s">
        <v>252</v>
      </c>
      <c r="R30" s="1" t="s">
        <v>253</v>
      </c>
      <c r="S30" s="7">
        <f>622-878660452322</f>
        <v>-878660451700</v>
      </c>
      <c r="T30" s="1" t="s">
        <v>254</v>
      </c>
      <c r="U30" s="1" t="s">
        <v>255</v>
      </c>
      <c r="V30" s="4">
        <v>11268878541</v>
      </c>
      <c r="W30" s="4">
        <v>-7241574802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 t="s">
        <v>95</v>
      </c>
      <c r="AI30" s="1" t="s">
        <v>256</v>
      </c>
      <c r="AJ30" s="1" t="s">
        <v>257</v>
      </c>
      <c r="AK30" s="3">
        <v>43859.384513888886</v>
      </c>
      <c r="AL30" s="1"/>
      <c r="AM30" s="1"/>
      <c r="AN30" s="1" t="s">
        <v>88</v>
      </c>
    </row>
    <row r="31" spans="1:40">
      <c r="A31" s="1">
        <v>30</v>
      </c>
      <c r="B31" s="1">
        <v>5</v>
      </c>
      <c r="C31" s="1" t="s">
        <v>40</v>
      </c>
      <c r="D31" s="1" t="s">
        <v>152</v>
      </c>
      <c r="E31" s="1" t="s">
        <v>200</v>
      </c>
      <c r="F31" s="1">
        <v>501330302</v>
      </c>
      <c r="G31" s="1" t="s">
        <v>42</v>
      </c>
      <c r="H31" s="1"/>
      <c r="I31" s="1" t="s">
        <v>258</v>
      </c>
      <c r="J31" s="1">
        <v>50579753</v>
      </c>
      <c r="K31" s="7">
        <v>3199101682</v>
      </c>
      <c r="L31" s="7">
        <v>152412201994</v>
      </c>
      <c r="M31" s="1" t="s">
        <v>137</v>
      </c>
      <c r="N31" s="1" t="s">
        <v>138</v>
      </c>
      <c r="O31" s="3">
        <v>43824.929745370369</v>
      </c>
      <c r="P31" s="3">
        <v>43824.93540509259</v>
      </c>
      <c r="Q31" s="1" t="s">
        <v>259</v>
      </c>
      <c r="R31" s="1" t="s">
        <v>260</v>
      </c>
      <c r="S31" s="7">
        <f>622-85236164330</f>
        <v>-85236163708</v>
      </c>
      <c r="T31" s="1" t="s">
        <v>261</v>
      </c>
      <c r="U31" s="1" t="s">
        <v>262</v>
      </c>
      <c r="V31" s="4">
        <v>112613</v>
      </c>
      <c r="W31" s="4">
        <v>-71861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 t="s">
        <v>143</v>
      </c>
      <c r="AI31" s="5">
        <v>43822</v>
      </c>
      <c r="AJ31" s="1" t="s">
        <v>144</v>
      </c>
      <c r="AK31" s="3">
        <v>43824.937581018516</v>
      </c>
      <c r="AL31" s="1"/>
      <c r="AM31" s="1"/>
      <c r="AN31" s="1" t="s">
        <v>88</v>
      </c>
    </row>
    <row r="32" spans="1:40">
      <c r="A32" s="1">
        <v>31</v>
      </c>
      <c r="B32" s="1">
        <v>5</v>
      </c>
      <c r="C32" s="1" t="s">
        <v>40</v>
      </c>
      <c r="D32" s="1" t="s">
        <v>40</v>
      </c>
      <c r="E32" s="1" t="s">
        <v>107</v>
      </c>
      <c r="F32" s="1">
        <v>501330439</v>
      </c>
      <c r="G32" s="1" t="s">
        <v>42</v>
      </c>
      <c r="H32" s="1"/>
      <c r="I32" s="1" t="s">
        <v>263</v>
      </c>
      <c r="J32" s="1">
        <v>50580231</v>
      </c>
      <c r="K32" s="7">
        <v>317434431</v>
      </c>
      <c r="L32" s="7">
        <v>152412237508</v>
      </c>
      <c r="M32" s="1" t="s">
        <v>137</v>
      </c>
      <c r="N32" s="1" t="s">
        <v>138</v>
      </c>
      <c r="O32" s="3">
        <v>43824.933854166666</v>
      </c>
      <c r="P32" s="3">
        <v>43824.935891203706</v>
      </c>
      <c r="Q32" s="1" t="s">
        <v>264</v>
      </c>
      <c r="R32" s="1" t="s">
        <v>265</v>
      </c>
      <c r="S32" s="7">
        <f>622-8113441063</f>
        <v>-8113440441</v>
      </c>
      <c r="T32" s="1" t="s">
        <v>266</v>
      </c>
      <c r="U32" s="1" t="s">
        <v>267</v>
      </c>
      <c r="V32" s="4">
        <v>11266006393</v>
      </c>
      <c r="W32" s="4">
        <v>-7273782386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 t="s">
        <v>95</v>
      </c>
      <c r="AI32" s="1" t="s">
        <v>268</v>
      </c>
      <c r="AJ32" s="1" t="s">
        <v>106</v>
      </c>
      <c r="AK32" s="3">
        <v>43830.378611111111</v>
      </c>
      <c r="AL32" s="1"/>
      <c r="AM32" s="1"/>
      <c r="AN32" s="1" t="s">
        <v>88</v>
      </c>
    </row>
    <row r="33" spans="1:40">
      <c r="A33" s="1">
        <v>32</v>
      </c>
      <c r="B33" s="1">
        <v>5</v>
      </c>
      <c r="C33" s="1" t="s">
        <v>40</v>
      </c>
      <c r="D33" s="1" t="s">
        <v>40</v>
      </c>
      <c r="E33" s="1" t="s">
        <v>41</v>
      </c>
      <c r="F33" s="1">
        <v>501362158</v>
      </c>
      <c r="G33" s="1" t="s">
        <v>42</v>
      </c>
      <c r="H33" s="1" t="s">
        <v>77</v>
      </c>
      <c r="I33" s="1" t="s">
        <v>269</v>
      </c>
      <c r="J33" s="1">
        <v>50612680</v>
      </c>
      <c r="K33" s="7"/>
      <c r="L33" s="7">
        <v>152413142538</v>
      </c>
      <c r="M33" s="1" t="s">
        <v>45</v>
      </c>
      <c r="N33" s="1" t="s">
        <v>270</v>
      </c>
      <c r="O33" s="3">
        <v>43826.461597222224</v>
      </c>
      <c r="P33" s="3">
        <v>43826.7265162037</v>
      </c>
      <c r="Q33" s="1" t="s">
        <v>271</v>
      </c>
      <c r="R33" s="1" t="s">
        <v>272</v>
      </c>
      <c r="S33" s="7">
        <f>622-81999979994</f>
        <v>-81999979372</v>
      </c>
      <c r="T33" s="1" t="s">
        <v>273</v>
      </c>
      <c r="U33" s="1" t="s">
        <v>274</v>
      </c>
      <c r="V33" s="4">
        <v>11274336812</v>
      </c>
      <c r="W33" s="4">
        <v>-7248052775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 t="s">
        <v>160</v>
      </c>
      <c r="AI33" s="1" t="s">
        <v>275</v>
      </c>
      <c r="AJ33" s="1" t="s">
        <v>64</v>
      </c>
      <c r="AK33" s="3">
        <v>43832.44394675926</v>
      </c>
      <c r="AL33" s="1" t="s">
        <v>180</v>
      </c>
      <c r="AM33" s="1"/>
      <c r="AN33" s="1" t="s">
        <v>88</v>
      </c>
    </row>
    <row r="34" spans="1:40">
      <c r="A34" s="1">
        <v>33</v>
      </c>
      <c r="B34" s="1">
        <v>5</v>
      </c>
      <c r="C34" s="1" t="s">
        <v>40</v>
      </c>
      <c r="D34" s="1" t="s">
        <v>40</v>
      </c>
      <c r="E34" s="1" t="s">
        <v>41</v>
      </c>
      <c r="F34" s="1">
        <v>501366495</v>
      </c>
      <c r="G34" s="1" t="s">
        <v>42</v>
      </c>
      <c r="H34" s="1" t="s">
        <v>43</v>
      </c>
      <c r="I34" s="1" t="s">
        <v>276</v>
      </c>
      <c r="J34" s="1">
        <v>15673151</v>
      </c>
      <c r="K34" s="7">
        <v>3199249986</v>
      </c>
      <c r="L34" s="7">
        <v>152413200611</v>
      </c>
      <c r="M34" s="1" t="s">
        <v>45</v>
      </c>
      <c r="N34" s="1" t="s">
        <v>277</v>
      </c>
      <c r="O34" s="3">
        <v>43826.555601851855</v>
      </c>
      <c r="P34" s="3">
        <v>43829.81077546296</v>
      </c>
      <c r="Q34" s="1" t="s">
        <v>278</v>
      </c>
      <c r="R34" s="1" t="s">
        <v>48</v>
      </c>
      <c r="S34" s="7">
        <f>62-8993404222</f>
        <v>-8993404160</v>
      </c>
      <c r="T34" s="1" t="s">
        <v>279</v>
      </c>
      <c r="U34" s="1" t="s">
        <v>280</v>
      </c>
      <c r="V34" s="4">
        <v>1127405588112530</v>
      </c>
      <c r="W34" s="4">
        <v>-726342352632585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 t="s">
        <v>51</v>
      </c>
      <c r="AI34" s="1" t="s">
        <v>281</v>
      </c>
      <c r="AJ34" s="1" t="s">
        <v>53</v>
      </c>
      <c r="AK34" s="3">
        <v>43835.384710648148</v>
      </c>
      <c r="AL34" s="1" t="s">
        <v>282</v>
      </c>
      <c r="AM34" s="1"/>
      <c r="AN34" s="1" t="s">
        <v>55</v>
      </c>
    </row>
    <row r="35" spans="1:40">
      <c r="A35" s="1">
        <v>34</v>
      </c>
      <c r="B35" s="1">
        <v>5</v>
      </c>
      <c r="C35" s="1" t="s">
        <v>40</v>
      </c>
      <c r="D35" s="1" t="s">
        <v>283</v>
      </c>
      <c r="E35" s="1" t="s">
        <v>284</v>
      </c>
      <c r="F35" s="1">
        <v>501383211</v>
      </c>
      <c r="G35" s="1" t="s">
        <v>42</v>
      </c>
      <c r="H35" s="1" t="s">
        <v>77</v>
      </c>
      <c r="I35" s="1" t="s">
        <v>285</v>
      </c>
      <c r="J35" s="1">
        <v>50629674</v>
      </c>
      <c r="K35" s="7">
        <v>3224661393</v>
      </c>
      <c r="L35" s="7">
        <v>152448210448</v>
      </c>
      <c r="M35" s="1" t="s">
        <v>45</v>
      </c>
      <c r="N35" s="1" t="s">
        <v>286</v>
      </c>
      <c r="O35" s="3">
        <v>43827.432534722226</v>
      </c>
      <c r="P35" s="3">
        <v>43846.708136574074</v>
      </c>
      <c r="Q35" s="1" t="s">
        <v>287</v>
      </c>
      <c r="R35" s="1" t="s">
        <v>288</v>
      </c>
      <c r="S35" s="7">
        <f>622-8527868585</f>
        <v>-8527867963</v>
      </c>
      <c r="T35" s="1" t="s">
        <v>289</v>
      </c>
      <c r="U35" s="1" t="s">
        <v>290</v>
      </c>
      <c r="V35" s="4">
        <v>11227028</v>
      </c>
      <c r="W35" s="4">
        <v>-6879518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 t="s">
        <v>95</v>
      </c>
      <c r="AI35" s="1" t="s">
        <v>291</v>
      </c>
      <c r="AJ35" s="1" t="s">
        <v>292</v>
      </c>
      <c r="AK35" s="3">
        <v>43850.395682870374</v>
      </c>
      <c r="AL35" s="1" t="s">
        <v>293</v>
      </c>
      <c r="AM35" s="1"/>
      <c r="AN35" s="1" t="s">
        <v>88</v>
      </c>
    </row>
    <row r="36" spans="1:40">
      <c r="A36" s="1">
        <v>35</v>
      </c>
      <c r="B36" s="1">
        <v>5</v>
      </c>
      <c r="C36" s="1" t="s">
        <v>40</v>
      </c>
      <c r="D36" s="1" t="s">
        <v>152</v>
      </c>
      <c r="E36" s="1" t="s">
        <v>200</v>
      </c>
      <c r="F36" s="1">
        <v>501416410</v>
      </c>
      <c r="G36" s="1" t="s">
        <v>42</v>
      </c>
      <c r="H36" s="1" t="s">
        <v>77</v>
      </c>
      <c r="I36" s="1" t="s">
        <v>294</v>
      </c>
      <c r="J36" s="1">
        <v>50666121</v>
      </c>
      <c r="K36" s="7">
        <v>3199101889</v>
      </c>
      <c r="L36" s="7">
        <v>152412201733</v>
      </c>
      <c r="M36" s="1" t="s">
        <v>45</v>
      </c>
      <c r="N36" s="1" t="s">
        <v>295</v>
      </c>
      <c r="O36" s="3">
        <v>43829.572372685187</v>
      </c>
      <c r="P36" s="3">
        <v>43829.82953703704</v>
      </c>
      <c r="Q36" s="1" t="s">
        <v>296</v>
      </c>
      <c r="R36" s="1" t="s">
        <v>297</v>
      </c>
      <c r="S36" s="7">
        <f>622-81335489879</f>
        <v>-81335489257</v>
      </c>
      <c r="T36" s="1" t="s">
        <v>298</v>
      </c>
      <c r="U36" s="1" t="s">
        <v>299</v>
      </c>
      <c r="V36" s="4">
        <v>112596896021351</v>
      </c>
      <c r="W36" s="4">
        <v>-71540104911658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 t="s">
        <v>160</v>
      </c>
      <c r="AI36" s="1" t="s">
        <v>300</v>
      </c>
      <c r="AJ36" s="1" t="s">
        <v>301</v>
      </c>
      <c r="AK36" s="3">
        <v>43836.359363425923</v>
      </c>
      <c r="AL36" s="1" t="s">
        <v>222</v>
      </c>
      <c r="AM36" s="1"/>
      <c r="AN36" s="1" t="s">
        <v>88</v>
      </c>
    </row>
    <row r="37" spans="1:40">
      <c r="A37" s="1">
        <v>36</v>
      </c>
      <c r="B37" s="1">
        <v>5</v>
      </c>
      <c r="C37" s="1" t="s">
        <v>40</v>
      </c>
      <c r="D37" s="1" t="s">
        <v>152</v>
      </c>
      <c r="E37" s="1" t="s">
        <v>181</v>
      </c>
      <c r="F37" s="1">
        <v>501438561</v>
      </c>
      <c r="G37" s="1" t="s">
        <v>42</v>
      </c>
      <c r="H37" s="1" t="s">
        <v>43</v>
      </c>
      <c r="I37" s="1" t="s">
        <v>302</v>
      </c>
      <c r="J37" s="1">
        <v>50678418</v>
      </c>
      <c r="K37" s="7"/>
      <c r="L37" s="7">
        <v>152446213743</v>
      </c>
      <c r="M37" s="1" t="s">
        <v>45</v>
      </c>
      <c r="N37" s="1" t="s">
        <v>303</v>
      </c>
      <c r="O37" s="3">
        <v>43830.480150462965</v>
      </c>
      <c r="P37" s="3">
        <v>43830.845567129632</v>
      </c>
      <c r="Q37" s="1" t="s">
        <v>304</v>
      </c>
      <c r="R37" s="1" t="s">
        <v>305</v>
      </c>
      <c r="S37" s="7">
        <f>62-621803333895</f>
        <v>-621803333833</v>
      </c>
      <c r="T37" s="1" t="s">
        <v>306</v>
      </c>
      <c r="U37" s="1" t="s">
        <v>307</v>
      </c>
      <c r="V37" s="4">
        <v>1124902311633030</v>
      </c>
      <c r="W37" s="4">
        <v>-721098366293811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 t="s">
        <v>51</v>
      </c>
      <c r="AI37" s="1" t="s">
        <v>308</v>
      </c>
      <c r="AJ37" s="1" t="s">
        <v>162</v>
      </c>
      <c r="AK37" s="3">
        <v>43832.414756944447</v>
      </c>
      <c r="AL37" s="1" t="s">
        <v>309</v>
      </c>
      <c r="AM37" s="1"/>
      <c r="AN37" s="1" t="s">
        <v>117</v>
      </c>
    </row>
    <row r="38" spans="1:40">
      <c r="A38" s="1">
        <v>37</v>
      </c>
      <c r="B38" s="1">
        <v>5</v>
      </c>
      <c r="C38" s="1" t="s">
        <v>40</v>
      </c>
      <c r="D38" s="1" t="s">
        <v>152</v>
      </c>
      <c r="E38" s="1" t="s">
        <v>200</v>
      </c>
      <c r="F38" s="1">
        <v>501475111</v>
      </c>
      <c r="G38" s="1" t="s">
        <v>42</v>
      </c>
      <c r="H38" s="1" t="s">
        <v>77</v>
      </c>
      <c r="I38" s="1" t="s">
        <v>310</v>
      </c>
      <c r="J38" s="1">
        <v>50676421</v>
      </c>
      <c r="K38" s="7">
        <v>3199101768</v>
      </c>
      <c r="L38" s="7">
        <v>152412202443</v>
      </c>
      <c r="M38" s="1" t="s">
        <v>45</v>
      </c>
      <c r="N38" s="1" t="s">
        <v>311</v>
      </c>
      <c r="O38" s="3">
        <v>43833.43712962963</v>
      </c>
      <c r="P38" s="3">
        <v>43833.838553240741</v>
      </c>
      <c r="Q38" s="1" t="s">
        <v>312</v>
      </c>
      <c r="R38" s="1" t="s">
        <v>313</v>
      </c>
      <c r="S38" s="7">
        <f>622-8785392606002</f>
        <v>-8785392605380</v>
      </c>
      <c r="T38" s="1" t="s">
        <v>314</v>
      </c>
      <c r="U38" s="1" t="s">
        <v>315</v>
      </c>
      <c r="V38" s="4">
        <v>1126529</v>
      </c>
      <c r="W38" s="4">
        <v>-72112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s">
        <v>160</v>
      </c>
      <c r="AI38" s="1" t="s">
        <v>316</v>
      </c>
      <c r="AJ38" s="1" t="s">
        <v>86</v>
      </c>
      <c r="AK38" s="3">
        <v>43833.552974537037</v>
      </c>
      <c r="AL38" s="1" t="s">
        <v>199</v>
      </c>
      <c r="AM38" s="1"/>
      <c r="AN38" s="1" t="s">
        <v>88</v>
      </c>
    </row>
    <row r="39" spans="1:40">
      <c r="A39" s="1">
        <v>38</v>
      </c>
      <c r="B39" s="1">
        <v>5</v>
      </c>
      <c r="C39" s="1" t="s">
        <v>40</v>
      </c>
      <c r="D39" s="1" t="s">
        <v>152</v>
      </c>
      <c r="E39" s="1" t="s">
        <v>153</v>
      </c>
      <c r="F39" s="1">
        <v>501475530</v>
      </c>
      <c r="G39" s="1" t="s">
        <v>42</v>
      </c>
      <c r="H39" s="1" t="s">
        <v>77</v>
      </c>
      <c r="I39" s="1" t="s">
        <v>317</v>
      </c>
      <c r="J39" s="1">
        <v>50452876</v>
      </c>
      <c r="K39" s="7"/>
      <c r="L39" s="7">
        <v>152442214880</v>
      </c>
      <c r="M39" s="1" t="s">
        <v>45</v>
      </c>
      <c r="N39" s="1" t="s">
        <v>318</v>
      </c>
      <c r="O39" s="3">
        <v>43833.444039351853</v>
      </c>
      <c r="P39" s="3">
        <v>43847.35434027778</v>
      </c>
      <c r="Q39" s="1" t="s">
        <v>319</v>
      </c>
      <c r="R39" s="1" t="s">
        <v>320</v>
      </c>
      <c r="S39" s="7">
        <f>622-82253855678</f>
        <v>-82253855056</v>
      </c>
      <c r="T39" s="1" t="s">
        <v>321</v>
      </c>
      <c r="U39" s="1" t="s">
        <v>322</v>
      </c>
      <c r="V39" s="4">
        <v>11251897884</v>
      </c>
      <c r="W39" s="4">
        <v>-7323263964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 t="s">
        <v>160</v>
      </c>
      <c r="AI39" s="1" t="s">
        <v>323</v>
      </c>
      <c r="AJ39" s="1" t="s">
        <v>162</v>
      </c>
      <c r="AK39" s="3">
        <v>43847.583275462966</v>
      </c>
      <c r="AL39" s="1" t="s">
        <v>180</v>
      </c>
      <c r="AM39" s="1"/>
      <c r="AN39" s="1" t="s">
        <v>88</v>
      </c>
    </row>
    <row r="40" spans="1:40">
      <c r="A40" s="1">
        <v>39</v>
      </c>
      <c r="B40" s="1">
        <v>5</v>
      </c>
      <c r="C40" s="1" t="s">
        <v>40</v>
      </c>
      <c r="D40" s="1" t="s">
        <v>152</v>
      </c>
      <c r="E40" s="1" t="s">
        <v>200</v>
      </c>
      <c r="F40" s="1">
        <v>501478496</v>
      </c>
      <c r="G40" s="1" t="s">
        <v>42</v>
      </c>
      <c r="H40" s="1" t="s">
        <v>77</v>
      </c>
      <c r="I40" s="1" t="s">
        <v>324</v>
      </c>
      <c r="J40" s="1">
        <v>50703287</v>
      </c>
      <c r="K40" s="7">
        <v>3199101346</v>
      </c>
      <c r="L40" s="7">
        <v>152412202725</v>
      </c>
      <c r="M40" s="1" t="s">
        <v>45</v>
      </c>
      <c r="N40" s="1" t="s">
        <v>325</v>
      </c>
      <c r="O40" s="3">
        <v>43833.532743055555</v>
      </c>
      <c r="P40" s="3">
        <v>43852.687789351854</v>
      </c>
      <c r="Q40" s="1" t="s">
        <v>326</v>
      </c>
      <c r="R40" s="1" t="s">
        <v>327</v>
      </c>
      <c r="S40" s="7">
        <f>622-81252599798</f>
        <v>-81252599176</v>
      </c>
      <c r="T40" s="1" t="s">
        <v>328</v>
      </c>
      <c r="U40" s="1" t="s">
        <v>329</v>
      </c>
      <c r="V40" s="4">
        <v>1126277</v>
      </c>
      <c r="W40" s="4">
        <v>-71716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 t="s">
        <v>95</v>
      </c>
      <c r="AI40" s="1" t="s">
        <v>330</v>
      </c>
      <c r="AJ40" s="1" t="s">
        <v>162</v>
      </c>
      <c r="AK40" s="3">
        <v>43843.624351851853</v>
      </c>
      <c r="AL40" s="1" t="s">
        <v>97</v>
      </c>
      <c r="AM40" s="1"/>
      <c r="AN40" s="1" t="s">
        <v>88</v>
      </c>
    </row>
    <row r="41" spans="1:40">
      <c r="A41" s="1">
        <v>40</v>
      </c>
      <c r="B41" s="1">
        <v>5</v>
      </c>
      <c r="C41" s="1" t="s">
        <v>40</v>
      </c>
      <c r="D41" s="1" t="s">
        <v>40</v>
      </c>
      <c r="E41" s="1" t="s">
        <v>41</v>
      </c>
      <c r="F41" s="1">
        <v>501522613</v>
      </c>
      <c r="G41" s="1" t="s">
        <v>42</v>
      </c>
      <c r="H41" s="1" t="s">
        <v>43</v>
      </c>
      <c r="I41" s="1" t="s">
        <v>331</v>
      </c>
      <c r="J41" s="1">
        <v>15673151</v>
      </c>
      <c r="K41" s="7">
        <v>3199254147</v>
      </c>
      <c r="L41" s="7">
        <v>152413143996</v>
      </c>
      <c r="M41" s="1" t="s">
        <v>45</v>
      </c>
      <c r="N41" s="1" t="s">
        <v>332</v>
      </c>
      <c r="O41" s="3">
        <v>43836.624421296299</v>
      </c>
      <c r="P41" s="3">
        <v>43836.817060185182</v>
      </c>
      <c r="Q41" s="1" t="s">
        <v>333</v>
      </c>
      <c r="R41" s="1" t="s">
        <v>48</v>
      </c>
      <c r="S41" s="7">
        <f>62-8993404222</f>
        <v>-8993404160</v>
      </c>
      <c r="T41" s="1" t="s">
        <v>334</v>
      </c>
      <c r="U41" s="1" t="s">
        <v>335</v>
      </c>
      <c r="V41" s="4">
        <v>1127404278516760</v>
      </c>
      <c r="W41" s="4">
        <v>-726344712244117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 t="s">
        <v>51</v>
      </c>
      <c r="AI41" s="1" t="s">
        <v>281</v>
      </c>
      <c r="AJ41" s="1" t="s">
        <v>106</v>
      </c>
      <c r="AK41" s="3">
        <v>43844.385520833333</v>
      </c>
      <c r="AL41" s="1" t="s">
        <v>336</v>
      </c>
      <c r="AM41" s="1"/>
      <c r="AN41" s="1" t="s">
        <v>55</v>
      </c>
    </row>
    <row r="42" spans="1:40">
      <c r="A42" s="1">
        <v>41</v>
      </c>
      <c r="B42" s="1">
        <v>5</v>
      </c>
      <c r="C42" s="1" t="s">
        <v>40</v>
      </c>
      <c r="D42" s="1" t="s">
        <v>152</v>
      </c>
      <c r="E42" s="1" t="s">
        <v>200</v>
      </c>
      <c r="F42" s="1">
        <v>501557429</v>
      </c>
      <c r="G42" s="1" t="s">
        <v>42</v>
      </c>
      <c r="H42" s="1" t="s">
        <v>77</v>
      </c>
      <c r="I42" s="1" t="s">
        <v>337</v>
      </c>
      <c r="J42" s="1">
        <v>50760932</v>
      </c>
      <c r="K42" s="7">
        <v>3199101646</v>
      </c>
      <c r="L42" s="7">
        <v>152412200429</v>
      </c>
      <c r="M42" s="1" t="s">
        <v>45</v>
      </c>
      <c r="N42" s="1" t="s">
        <v>338</v>
      </c>
      <c r="O42" s="3">
        <v>43837.791215277779</v>
      </c>
      <c r="P42" s="3">
        <v>43839.703958333332</v>
      </c>
      <c r="Q42" s="1" t="s">
        <v>339</v>
      </c>
      <c r="R42" s="1" t="s">
        <v>340</v>
      </c>
      <c r="S42" s="7">
        <f>622-82260158886</f>
        <v>-82260158264</v>
      </c>
      <c r="T42" s="1" t="s">
        <v>341</v>
      </c>
      <c r="U42" s="1" t="s">
        <v>342</v>
      </c>
      <c r="V42" s="4">
        <v>11264653198</v>
      </c>
      <c r="W42" s="4">
        <v>-7197603933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 t="s">
        <v>160</v>
      </c>
      <c r="AI42" s="1" t="s">
        <v>343</v>
      </c>
      <c r="AJ42" s="1" t="s">
        <v>106</v>
      </c>
      <c r="AK42" s="3">
        <v>43844.385798611111</v>
      </c>
      <c r="AL42" s="1" t="s">
        <v>293</v>
      </c>
      <c r="AM42" s="1"/>
      <c r="AN42" s="1" t="s">
        <v>88</v>
      </c>
    </row>
    <row r="43" spans="1:40">
      <c r="A43" s="1">
        <v>42</v>
      </c>
      <c r="B43" s="1">
        <v>5</v>
      </c>
      <c r="C43" s="1" t="s">
        <v>40</v>
      </c>
      <c r="D43" s="1" t="s">
        <v>40</v>
      </c>
      <c r="E43" s="1" t="s">
        <v>41</v>
      </c>
      <c r="F43" s="1">
        <v>501560819</v>
      </c>
      <c r="G43" s="1" t="s">
        <v>42</v>
      </c>
      <c r="H43" s="1" t="s">
        <v>56</v>
      </c>
      <c r="I43" s="1" t="s">
        <v>344</v>
      </c>
      <c r="J43" s="1">
        <v>16095001</v>
      </c>
      <c r="K43" s="7"/>
      <c r="L43" s="7">
        <v>152413205860</v>
      </c>
      <c r="M43" s="1" t="s">
        <v>45</v>
      </c>
      <c r="N43" s="1" t="s">
        <v>345</v>
      </c>
      <c r="O43" s="3">
        <v>43838.383935185186</v>
      </c>
      <c r="P43" s="3">
        <v>43838.827499999999</v>
      </c>
      <c r="Q43" s="1" t="s">
        <v>346</v>
      </c>
      <c r="R43" s="1" t="s">
        <v>347</v>
      </c>
      <c r="S43" s="7">
        <f>62-8994945151</f>
        <v>-8994945089</v>
      </c>
      <c r="T43" s="1" t="s">
        <v>348</v>
      </c>
      <c r="U43" s="1" t="s">
        <v>349</v>
      </c>
      <c r="V43" s="4">
        <v>1127397549342540</v>
      </c>
      <c r="W43" s="4">
        <v>-726258473885844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 t="s">
        <v>51</v>
      </c>
      <c r="AI43" s="1" t="s">
        <v>350</v>
      </c>
      <c r="AJ43" s="1" t="s">
        <v>106</v>
      </c>
      <c r="AK43" s="3">
        <v>43844.38616898148</v>
      </c>
      <c r="AL43" s="1" t="s">
        <v>351</v>
      </c>
      <c r="AM43" s="1"/>
      <c r="AN43" s="1" t="s">
        <v>55</v>
      </c>
    </row>
    <row r="44" spans="1:40">
      <c r="A44" s="1">
        <v>43</v>
      </c>
      <c r="B44" s="1">
        <v>5</v>
      </c>
      <c r="C44" s="1" t="s">
        <v>40</v>
      </c>
      <c r="D44" s="1" t="s">
        <v>152</v>
      </c>
      <c r="E44" s="1" t="s">
        <v>153</v>
      </c>
      <c r="F44" s="1">
        <v>501612390</v>
      </c>
      <c r="G44" s="1" t="s">
        <v>42</v>
      </c>
      <c r="H44" s="1" t="s">
        <v>43</v>
      </c>
      <c r="I44" s="1" t="s">
        <v>352</v>
      </c>
      <c r="J44" s="1">
        <v>50789089</v>
      </c>
      <c r="K44" s="7">
        <v>3199170742</v>
      </c>
      <c r="L44" s="7">
        <v>152442214727</v>
      </c>
      <c r="M44" s="1" t="s">
        <v>45</v>
      </c>
      <c r="N44" s="1" t="s">
        <v>353</v>
      </c>
      <c r="O44" s="3">
        <v>43840.463379629633</v>
      </c>
      <c r="P44" s="3">
        <v>43840.720011574071</v>
      </c>
      <c r="Q44" s="1" t="s">
        <v>354</v>
      </c>
      <c r="R44" s="1" t="s">
        <v>355</v>
      </c>
      <c r="S44" s="7">
        <f>62-81359632187</f>
        <v>-81359632125</v>
      </c>
      <c r="T44" s="1" t="s">
        <v>356</v>
      </c>
      <c r="U44" s="1" t="s">
        <v>357</v>
      </c>
      <c r="V44" s="4">
        <v>1125759708881370</v>
      </c>
      <c r="W44" s="4">
        <v>-728552494471415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 t="s">
        <v>51</v>
      </c>
      <c r="AI44" s="1" t="s">
        <v>358</v>
      </c>
      <c r="AJ44" s="1" t="s">
        <v>162</v>
      </c>
      <c r="AK44" s="3">
        <v>43843.407546296294</v>
      </c>
      <c r="AL44" s="1" t="s">
        <v>359</v>
      </c>
      <c r="AM44" s="1"/>
      <c r="AN44" s="1" t="s">
        <v>117</v>
      </c>
    </row>
    <row r="45" spans="1:40">
      <c r="A45" s="1">
        <v>44</v>
      </c>
      <c r="B45" s="1">
        <v>5</v>
      </c>
      <c r="C45" s="1" t="s">
        <v>40</v>
      </c>
      <c r="D45" s="1" t="s">
        <v>40</v>
      </c>
      <c r="E45" s="1" t="s">
        <v>107</v>
      </c>
      <c r="F45" s="1">
        <v>501630040</v>
      </c>
      <c r="G45" s="1" t="s">
        <v>42</v>
      </c>
      <c r="H45" s="1" t="s">
        <v>56</v>
      </c>
      <c r="I45" s="1" t="s">
        <v>360</v>
      </c>
      <c r="J45" s="1">
        <v>38610999</v>
      </c>
      <c r="K45" s="7">
        <v>3199167655</v>
      </c>
      <c r="L45" s="7"/>
      <c r="M45" s="1" t="s">
        <v>361</v>
      </c>
      <c r="N45" s="1" t="s">
        <v>362</v>
      </c>
      <c r="O45" s="3">
        <v>43841.443356481483</v>
      </c>
      <c r="P45" s="3">
        <v>43858.420520833337</v>
      </c>
      <c r="Q45" s="1" t="s">
        <v>363</v>
      </c>
      <c r="R45" s="1" t="s">
        <v>364</v>
      </c>
      <c r="S45" s="7">
        <f>62-85100250023</f>
        <v>-85100249961</v>
      </c>
      <c r="T45" s="1" t="s">
        <v>365</v>
      </c>
      <c r="U45" s="1" t="s">
        <v>366</v>
      </c>
      <c r="V45" s="4">
        <v>1126777768276120</v>
      </c>
      <c r="W45" s="4">
        <v>-725840956071490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 t="s">
        <v>95</v>
      </c>
      <c r="AI45" s="1" t="s">
        <v>367</v>
      </c>
      <c r="AJ45" s="1" t="s">
        <v>115</v>
      </c>
      <c r="AK45" s="3">
        <v>43860.32340277778</v>
      </c>
      <c r="AL45" s="1" t="s">
        <v>368</v>
      </c>
      <c r="AM45" s="1"/>
      <c r="AN45" s="1" t="s">
        <v>88</v>
      </c>
    </row>
    <row r="46" spans="1:40">
      <c r="A46" s="1">
        <v>45</v>
      </c>
      <c r="B46" s="1">
        <v>5</v>
      </c>
      <c r="C46" s="1" t="s">
        <v>40</v>
      </c>
      <c r="D46" s="1" t="s">
        <v>283</v>
      </c>
      <c r="E46" s="1" t="s">
        <v>284</v>
      </c>
      <c r="F46" s="1">
        <v>501632856</v>
      </c>
      <c r="G46" s="1" t="s">
        <v>42</v>
      </c>
      <c r="H46" s="1" t="s">
        <v>77</v>
      </c>
      <c r="I46" s="1" t="s">
        <v>369</v>
      </c>
      <c r="J46" s="1">
        <v>50786128</v>
      </c>
      <c r="K46" s="7">
        <v>3224662055</v>
      </c>
      <c r="L46" s="7">
        <v>152448210474</v>
      </c>
      <c r="M46" s="1" t="s">
        <v>45</v>
      </c>
      <c r="N46" s="1" t="s">
        <v>370</v>
      </c>
      <c r="O46" s="3">
        <v>43841.541990740741</v>
      </c>
      <c r="P46" s="3">
        <v>43852.581516203703</v>
      </c>
      <c r="Q46" s="1" t="s">
        <v>371</v>
      </c>
      <c r="R46" s="1" t="s">
        <v>372</v>
      </c>
      <c r="S46" s="7">
        <f>622-81319242414</f>
        <v>-81319241792</v>
      </c>
      <c r="T46" s="1" t="s">
        <v>373</v>
      </c>
      <c r="U46" s="1" t="s">
        <v>374</v>
      </c>
      <c r="V46" s="4">
        <v>1123007126686870</v>
      </c>
      <c r="W46" s="4">
        <v>-6874544959118370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 t="s">
        <v>95</v>
      </c>
      <c r="AI46" s="1" t="s">
        <v>375</v>
      </c>
      <c r="AJ46" s="1" t="s">
        <v>292</v>
      </c>
      <c r="AK46" s="3">
        <v>43849.364999999998</v>
      </c>
      <c r="AL46" s="1" t="s">
        <v>163</v>
      </c>
      <c r="AM46" s="1"/>
      <c r="AN46" s="1" t="s">
        <v>88</v>
      </c>
    </row>
    <row r="47" spans="1:40">
      <c r="A47" s="1">
        <v>46</v>
      </c>
      <c r="B47" s="1">
        <v>5</v>
      </c>
      <c r="C47" s="1" t="s">
        <v>40</v>
      </c>
      <c r="D47" s="1" t="s">
        <v>40</v>
      </c>
      <c r="E47" s="1" t="s">
        <v>376</v>
      </c>
      <c r="F47" s="1">
        <v>501645924</v>
      </c>
      <c r="G47" s="1" t="s">
        <v>42</v>
      </c>
      <c r="H47" s="1" t="s">
        <v>43</v>
      </c>
      <c r="I47" s="1" t="s">
        <v>377</v>
      </c>
      <c r="J47" s="1">
        <v>50810052</v>
      </c>
      <c r="K47" s="7"/>
      <c r="L47" s="7">
        <v>152424240959</v>
      </c>
      <c r="M47" s="1" t="s">
        <v>99</v>
      </c>
      <c r="N47" s="1" t="s">
        <v>378</v>
      </c>
      <c r="O47" s="3">
        <v>43843.394247685188</v>
      </c>
      <c r="P47" s="3">
        <v>43843.411030092589</v>
      </c>
      <c r="Q47" s="1" t="s">
        <v>379</v>
      </c>
      <c r="R47" s="1" t="s">
        <v>380</v>
      </c>
      <c r="S47" s="7">
        <f>62-87777153019</f>
        <v>-87777152957</v>
      </c>
      <c r="T47" s="1" t="s">
        <v>381</v>
      </c>
      <c r="U47" s="1" t="s">
        <v>382</v>
      </c>
      <c r="V47" s="4">
        <v>1126834333656670</v>
      </c>
      <c r="W47" s="4">
        <v>-731229807799449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 t="s">
        <v>95</v>
      </c>
      <c r="AI47" s="1" t="s">
        <v>383</v>
      </c>
      <c r="AJ47" s="1" t="s">
        <v>64</v>
      </c>
      <c r="AK47" s="3">
        <v>43857.637002314812</v>
      </c>
      <c r="AL47" s="1" t="s">
        <v>384</v>
      </c>
      <c r="AM47" s="1"/>
      <c r="AN47" s="1" t="s">
        <v>117</v>
      </c>
    </row>
    <row r="48" spans="1:40">
      <c r="A48" s="1">
        <v>47</v>
      </c>
      <c r="B48" s="1">
        <v>5</v>
      </c>
      <c r="C48" s="1" t="s">
        <v>40</v>
      </c>
      <c r="D48" s="1" t="s">
        <v>40</v>
      </c>
      <c r="E48" s="1" t="s">
        <v>41</v>
      </c>
      <c r="F48" s="1">
        <v>501650245</v>
      </c>
      <c r="G48" s="1" t="s">
        <v>42</v>
      </c>
      <c r="H48" s="1" t="s">
        <v>56</v>
      </c>
      <c r="I48" s="1" t="s">
        <v>385</v>
      </c>
      <c r="J48" s="1">
        <v>50811315</v>
      </c>
      <c r="K48" s="7">
        <v>3199447222</v>
      </c>
      <c r="L48" s="7"/>
      <c r="M48" s="1" t="s">
        <v>45</v>
      </c>
      <c r="N48" s="1" t="s">
        <v>386</v>
      </c>
      <c r="O48" s="3">
        <v>43843.456261574072</v>
      </c>
      <c r="P48" s="3">
        <v>43843.671111111114</v>
      </c>
      <c r="Q48" s="1" t="s">
        <v>387</v>
      </c>
      <c r="R48" s="1" t="s">
        <v>388</v>
      </c>
      <c r="S48" s="7">
        <f>62-85234341678</f>
        <v>-85234341616</v>
      </c>
      <c r="T48" s="1" t="s">
        <v>389</v>
      </c>
      <c r="U48" s="1" t="s">
        <v>390</v>
      </c>
      <c r="V48" s="4">
        <v>1127511884772310</v>
      </c>
      <c r="W48" s="4">
        <v>-726068830350734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 t="s">
        <v>51</v>
      </c>
      <c r="AI48" s="1" t="s">
        <v>391</v>
      </c>
      <c r="AJ48" s="1" t="s">
        <v>53</v>
      </c>
      <c r="AK48" s="3">
        <v>43844.391597222224</v>
      </c>
      <c r="AL48" s="1" t="s">
        <v>392</v>
      </c>
      <c r="AM48" s="1"/>
      <c r="AN48" s="1" t="s">
        <v>117</v>
      </c>
    </row>
    <row r="49" spans="1:40">
      <c r="A49" s="1">
        <v>48</v>
      </c>
      <c r="B49" s="1">
        <v>5</v>
      </c>
      <c r="C49" s="1" t="s">
        <v>40</v>
      </c>
      <c r="D49" s="1" t="s">
        <v>40</v>
      </c>
      <c r="E49" s="1" t="s">
        <v>41</v>
      </c>
      <c r="F49" s="1">
        <v>501657515</v>
      </c>
      <c r="G49" s="1" t="s">
        <v>42</v>
      </c>
      <c r="H49" s="1" t="s">
        <v>56</v>
      </c>
      <c r="I49" s="1" t="s">
        <v>385</v>
      </c>
      <c r="J49" s="1">
        <v>50811315</v>
      </c>
      <c r="K49" s="7">
        <v>3199450999</v>
      </c>
      <c r="L49" s="7"/>
      <c r="M49" s="1" t="s">
        <v>45</v>
      </c>
      <c r="N49" s="1" t="s">
        <v>393</v>
      </c>
      <c r="O49" s="3">
        <v>43843.596388888887</v>
      </c>
      <c r="P49" s="3">
        <v>43843.672476851854</v>
      </c>
      <c r="Q49" s="1" t="s">
        <v>394</v>
      </c>
      <c r="R49" s="1" t="s">
        <v>395</v>
      </c>
      <c r="S49" s="7">
        <f>62-85234341678</f>
        <v>-85234341616</v>
      </c>
      <c r="T49" s="1" t="s">
        <v>389</v>
      </c>
      <c r="U49" s="1" t="s">
        <v>396</v>
      </c>
      <c r="V49" s="4">
        <v>1127509423092400</v>
      </c>
      <c r="W49" s="4">
        <v>-726064774903563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 t="s">
        <v>51</v>
      </c>
      <c r="AI49" s="1" t="s">
        <v>397</v>
      </c>
      <c r="AJ49" s="1" t="s">
        <v>53</v>
      </c>
      <c r="AK49" s="3">
        <v>43844.391956018517</v>
      </c>
      <c r="AL49" s="1" t="s">
        <v>392</v>
      </c>
      <c r="AM49" s="1"/>
      <c r="AN49" s="1" t="s">
        <v>117</v>
      </c>
    </row>
    <row r="50" spans="1:40">
      <c r="A50" s="1">
        <v>49</v>
      </c>
      <c r="B50" s="1">
        <v>5</v>
      </c>
      <c r="C50" s="1" t="s">
        <v>40</v>
      </c>
      <c r="D50" s="1" t="s">
        <v>40</v>
      </c>
      <c r="E50" s="1" t="s">
        <v>118</v>
      </c>
      <c r="F50" s="1">
        <v>501699466</v>
      </c>
      <c r="G50" s="1" t="s">
        <v>42</v>
      </c>
      <c r="H50" s="1" t="s">
        <v>77</v>
      </c>
      <c r="I50" s="1" t="s">
        <v>398</v>
      </c>
      <c r="J50" s="1">
        <v>50834604</v>
      </c>
      <c r="K50" s="7">
        <v>3137397733</v>
      </c>
      <c r="L50" s="7">
        <v>152404275219</v>
      </c>
      <c r="M50" s="1" t="s">
        <v>361</v>
      </c>
      <c r="N50" s="1" t="s">
        <v>399</v>
      </c>
      <c r="O50" s="3">
        <v>43845.482743055552</v>
      </c>
      <c r="P50" s="3">
        <v>43846.635289351849</v>
      </c>
      <c r="Q50" s="1" t="s">
        <v>400</v>
      </c>
      <c r="R50" s="1" t="s">
        <v>401</v>
      </c>
      <c r="S50" s="7">
        <f>62-81330064493</f>
        <v>-81330064431</v>
      </c>
      <c r="T50" s="1" t="s">
        <v>402</v>
      </c>
      <c r="U50" s="1" t="s">
        <v>403</v>
      </c>
      <c r="V50" s="4">
        <v>1127573168673040</v>
      </c>
      <c r="W50" s="4">
        <v>-721411194361409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 t="s">
        <v>160</v>
      </c>
      <c r="AI50" s="1" t="s">
        <v>404</v>
      </c>
      <c r="AJ50" s="1" t="s">
        <v>179</v>
      </c>
      <c r="AK50" s="3">
        <v>43859.655312499999</v>
      </c>
      <c r="AL50" s="1" t="s">
        <v>405</v>
      </c>
      <c r="AM50" s="1"/>
      <c r="AN50" s="1" t="s">
        <v>88</v>
      </c>
    </row>
    <row r="51" spans="1:40">
      <c r="A51" s="1">
        <v>50</v>
      </c>
      <c r="B51" s="1">
        <v>5</v>
      </c>
      <c r="C51" s="1" t="s">
        <v>40</v>
      </c>
      <c r="D51" s="1" t="s">
        <v>40</v>
      </c>
      <c r="E51" s="1" t="s">
        <v>41</v>
      </c>
      <c r="F51" s="1">
        <v>501732869</v>
      </c>
      <c r="G51" s="1" t="s">
        <v>42</v>
      </c>
      <c r="H51" s="1" t="s">
        <v>77</v>
      </c>
      <c r="I51" s="1" t="s">
        <v>406</v>
      </c>
      <c r="J51" s="1">
        <v>50819407</v>
      </c>
      <c r="K51" s="7"/>
      <c r="L51" s="7">
        <v>152413143796</v>
      </c>
      <c r="M51" s="1" t="s">
        <v>45</v>
      </c>
      <c r="N51" s="1" t="s">
        <v>407</v>
      </c>
      <c r="O51" s="3">
        <v>43846.659525462965</v>
      </c>
      <c r="P51" s="3">
        <v>43856.359918981485</v>
      </c>
      <c r="Q51" s="1" t="s">
        <v>408</v>
      </c>
      <c r="R51" s="1" t="s">
        <v>409</v>
      </c>
      <c r="S51" s="7">
        <f>622-82257814414</f>
        <v>-82257813792</v>
      </c>
      <c r="T51" s="1" t="s">
        <v>410</v>
      </c>
      <c r="U51" s="1" t="s">
        <v>411</v>
      </c>
      <c r="V51" s="4">
        <v>11273725769</v>
      </c>
      <c r="W51" s="4">
        <v>-7265667042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s">
        <v>95</v>
      </c>
      <c r="AI51" s="1" t="s">
        <v>412</v>
      </c>
      <c r="AJ51" s="1" t="s">
        <v>53</v>
      </c>
      <c r="AK51" s="3">
        <v>43850.743344907409</v>
      </c>
      <c r="AL51" s="1" t="s">
        <v>413</v>
      </c>
      <c r="AM51" s="1"/>
      <c r="AN51" s="1" t="s">
        <v>88</v>
      </c>
    </row>
    <row r="52" spans="1:40">
      <c r="A52" s="1">
        <v>51</v>
      </c>
      <c r="B52" s="1">
        <v>5</v>
      </c>
      <c r="C52" s="1" t="s">
        <v>40</v>
      </c>
      <c r="D52" s="1" t="s">
        <v>40</v>
      </c>
      <c r="E52" s="1" t="s">
        <v>414</v>
      </c>
      <c r="F52" s="1">
        <v>501742280</v>
      </c>
      <c r="G52" s="1" t="s">
        <v>42</v>
      </c>
      <c r="H52" s="1" t="s">
        <v>43</v>
      </c>
      <c r="I52" s="1" t="s">
        <v>415</v>
      </c>
      <c r="J52" s="1">
        <v>50853456</v>
      </c>
      <c r="K52" s="7"/>
      <c r="L52" s="7"/>
      <c r="M52" s="1" t="s">
        <v>45</v>
      </c>
      <c r="N52" s="1" t="s">
        <v>416</v>
      </c>
      <c r="O52" s="3">
        <v>43847.439710648148</v>
      </c>
      <c r="P52" s="3">
        <v>43858.421898148146</v>
      </c>
      <c r="Q52" s="1" t="s">
        <v>417</v>
      </c>
      <c r="R52" s="1" t="s">
        <v>418</v>
      </c>
      <c r="S52" s="7">
        <f>62-285330022220</f>
        <v>-285330022158</v>
      </c>
      <c r="T52" s="1" t="s">
        <v>419</v>
      </c>
      <c r="U52" s="1" t="s">
        <v>420</v>
      </c>
      <c r="V52" s="4">
        <v>1127011871337890</v>
      </c>
      <c r="W52" s="4">
        <v>-733318357350286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 t="s">
        <v>95</v>
      </c>
      <c r="AI52" s="1" t="s">
        <v>421</v>
      </c>
      <c r="AJ52" s="1" t="s">
        <v>422</v>
      </c>
      <c r="AK52" s="3">
        <v>43858.410358796296</v>
      </c>
      <c r="AL52" s="1" t="s">
        <v>423</v>
      </c>
      <c r="AM52" s="1"/>
      <c r="AN52" s="1" t="s">
        <v>88</v>
      </c>
    </row>
    <row r="53" spans="1:40">
      <c r="A53" s="1">
        <v>52</v>
      </c>
      <c r="B53" s="1">
        <v>5</v>
      </c>
      <c r="C53" s="1" t="s">
        <v>40</v>
      </c>
      <c r="D53" s="1" t="s">
        <v>40</v>
      </c>
      <c r="E53" s="1" t="s">
        <v>376</v>
      </c>
      <c r="F53" s="1">
        <v>501743953</v>
      </c>
      <c r="G53" s="1" t="s">
        <v>42</v>
      </c>
      <c r="H53" s="1" t="s">
        <v>77</v>
      </c>
      <c r="I53" s="1" t="s">
        <v>424</v>
      </c>
      <c r="J53" s="1">
        <v>50854166</v>
      </c>
      <c r="K53" s="7">
        <v>3199429096</v>
      </c>
      <c r="L53" s="7">
        <v>152424242849</v>
      </c>
      <c r="M53" s="1" t="s">
        <v>45</v>
      </c>
      <c r="N53" s="1" t="s">
        <v>425</v>
      </c>
      <c r="O53" s="3">
        <v>43847.471851851849</v>
      </c>
      <c r="P53" s="3">
        <v>43854.773344907408</v>
      </c>
      <c r="Q53" s="1" t="s">
        <v>426</v>
      </c>
      <c r="R53" s="1" t="s">
        <v>427</v>
      </c>
      <c r="S53" s="7">
        <f>62-82230944998</f>
        <v>-82230944936</v>
      </c>
      <c r="T53" s="1" t="s">
        <v>428</v>
      </c>
      <c r="U53" s="1" t="s">
        <v>429</v>
      </c>
      <c r="V53" s="4">
        <v>1126901223615210</v>
      </c>
      <c r="W53" s="4">
        <v>-731487481697137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 t="s">
        <v>160</v>
      </c>
      <c r="AI53" s="1" t="s">
        <v>430</v>
      </c>
      <c r="AJ53" s="1" t="s">
        <v>431</v>
      </c>
      <c r="AK53" s="3">
        <v>43857.52375</v>
      </c>
      <c r="AL53" s="1" t="s">
        <v>405</v>
      </c>
      <c r="AM53" s="1"/>
      <c r="AN53" s="1" t="s">
        <v>88</v>
      </c>
    </row>
    <row r="54" spans="1:40">
      <c r="A54" s="1">
        <v>53</v>
      </c>
      <c r="B54" s="1">
        <v>5</v>
      </c>
      <c r="C54" s="1" t="s">
        <v>40</v>
      </c>
      <c r="D54" s="1" t="s">
        <v>152</v>
      </c>
      <c r="E54" s="1" t="s">
        <v>200</v>
      </c>
      <c r="F54" s="1">
        <v>501745159</v>
      </c>
      <c r="G54" s="1" t="s">
        <v>42</v>
      </c>
      <c r="H54" s="1" t="s">
        <v>77</v>
      </c>
      <c r="I54" s="1" t="s">
        <v>432</v>
      </c>
      <c r="J54" s="1">
        <v>50854477</v>
      </c>
      <c r="K54" s="7">
        <v>3199101073</v>
      </c>
      <c r="L54" s="7">
        <v>152412202501</v>
      </c>
      <c r="M54" s="1" t="s">
        <v>99</v>
      </c>
      <c r="N54" s="1" t="s">
        <v>99</v>
      </c>
      <c r="O54" s="3">
        <v>43847.494467592594</v>
      </c>
      <c r="P54" s="3">
        <v>43847.494479166664</v>
      </c>
      <c r="Q54" s="1" t="s">
        <v>433</v>
      </c>
      <c r="R54" s="1" t="s">
        <v>434</v>
      </c>
      <c r="S54" s="7">
        <f>62-8113388906</f>
        <v>-8113388844</v>
      </c>
      <c r="T54" s="1" t="s">
        <v>435</v>
      </c>
      <c r="U54" s="1" t="s">
        <v>436</v>
      </c>
      <c r="V54" s="4">
        <v>1126137231363040</v>
      </c>
      <c r="W54" s="4">
        <v>-713301325139442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 t="s">
        <v>95</v>
      </c>
      <c r="AI54" s="1" t="s">
        <v>437</v>
      </c>
      <c r="AJ54" s="1" t="s">
        <v>64</v>
      </c>
      <c r="AK54" s="3">
        <v>43858.402430555558</v>
      </c>
      <c r="AL54" s="1" t="s">
        <v>438</v>
      </c>
      <c r="AM54" s="1"/>
      <c r="AN54" s="1" t="s">
        <v>439</v>
      </c>
    </row>
    <row r="55" spans="1:40">
      <c r="A55" s="1">
        <v>54</v>
      </c>
      <c r="B55" s="1">
        <v>5</v>
      </c>
      <c r="C55" s="1" t="s">
        <v>40</v>
      </c>
      <c r="D55" s="1" t="s">
        <v>283</v>
      </c>
      <c r="E55" s="1" t="s">
        <v>440</v>
      </c>
      <c r="F55" s="1">
        <v>501754597</v>
      </c>
      <c r="G55" s="1" t="s">
        <v>42</v>
      </c>
      <c r="H55" s="1" t="s">
        <v>77</v>
      </c>
      <c r="I55" s="1" t="s">
        <v>441</v>
      </c>
      <c r="J55" s="1">
        <v>50823292</v>
      </c>
      <c r="K55" s="7">
        <v>3224652335</v>
      </c>
      <c r="L55" s="7">
        <v>152441212744</v>
      </c>
      <c r="M55" s="1" t="s">
        <v>45</v>
      </c>
      <c r="N55" s="1" t="s">
        <v>442</v>
      </c>
      <c r="O55" s="3">
        <v>43847.672083333331</v>
      </c>
      <c r="P55" s="3">
        <v>43850.619571759256</v>
      </c>
      <c r="Q55" s="1" t="s">
        <v>443</v>
      </c>
      <c r="R55" s="1" t="s">
        <v>444</v>
      </c>
      <c r="S55" s="7">
        <f>622-82334442597</f>
        <v>-82334441975</v>
      </c>
      <c r="T55" s="1" t="s">
        <v>445</v>
      </c>
      <c r="U55" s="1" t="s">
        <v>446</v>
      </c>
      <c r="V55" s="4">
        <v>11219686715</v>
      </c>
      <c r="W55" s="4">
        <v>-718591155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 t="s">
        <v>95</v>
      </c>
      <c r="AI55" s="1" t="s">
        <v>447</v>
      </c>
      <c r="AJ55" s="1" t="s">
        <v>106</v>
      </c>
      <c r="AK55" s="3">
        <v>43853.54483796296</v>
      </c>
      <c r="AL55" s="1" t="s">
        <v>97</v>
      </c>
      <c r="AM55" s="1"/>
      <c r="AN55" s="1" t="s">
        <v>88</v>
      </c>
    </row>
    <row r="56" spans="1:40">
      <c r="A56" s="1">
        <v>55</v>
      </c>
      <c r="B56" s="1">
        <v>5</v>
      </c>
      <c r="C56" s="1" t="s">
        <v>40</v>
      </c>
      <c r="D56" s="1" t="s">
        <v>152</v>
      </c>
      <c r="E56" s="1" t="s">
        <v>200</v>
      </c>
      <c r="F56" s="1">
        <v>501755142</v>
      </c>
      <c r="G56" s="1" t="s">
        <v>42</v>
      </c>
      <c r="H56" s="1" t="s">
        <v>56</v>
      </c>
      <c r="I56" s="1" t="s">
        <v>448</v>
      </c>
      <c r="J56" s="1">
        <v>50858187</v>
      </c>
      <c r="K56" s="7"/>
      <c r="L56" s="7">
        <v>152412201879</v>
      </c>
      <c r="M56" s="1" t="s">
        <v>45</v>
      </c>
      <c r="N56" s="1" t="s">
        <v>449</v>
      </c>
      <c r="O56" s="3">
        <v>43847.681921296295</v>
      </c>
      <c r="P56" s="3">
        <v>43847.824189814812</v>
      </c>
      <c r="Q56" s="1" t="s">
        <v>450</v>
      </c>
      <c r="R56" s="1" t="s">
        <v>451</v>
      </c>
      <c r="S56" s="7">
        <f>62-81946756712</f>
        <v>-81946756650</v>
      </c>
      <c r="T56" s="1" t="s">
        <v>452</v>
      </c>
      <c r="U56" s="1" t="s">
        <v>453</v>
      </c>
      <c r="V56" s="4">
        <v>1126566184160580</v>
      </c>
      <c r="W56" s="4">
        <v>-715479498153988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 t="s">
        <v>51</v>
      </c>
      <c r="AI56" s="1" t="s">
        <v>454</v>
      </c>
      <c r="AJ56" s="1" t="s">
        <v>106</v>
      </c>
      <c r="AK56" s="3">
        <v>43850.435254629629</v>
      </c>
      <c r="AL56" s="1" t="s">
        <v>455</v>
      </c>
      <c r="AM56" s="1"/>
      <c r="AN56" s="1" t="s">
        <v>456</v>
      </c>
    </row>
    <row r="57" spans="1:40">
      <c r="A57" s="1">
        <v>56</v>
      </c>
      <c r="B57" s="1">
        <v>5</v>
      </c>
      <c r="C57" s="1" t="s">
        <v>40</v>
      </c>
      <c r="D57" s="1" t="s">
        <v>152</v>
      </c>
      <c r="E57" s="1" t="s">
        <v>230</v>
      </c>
      <c r="F57" s="1">
        <v>501756468</v>
      </c>
      <c r="G57" s="1" t="s">
        <v>42</v>
      </c>
      <c r="H57" s="1" t="s">
        <v>56</v>
      </c>
      <c r="I57" s="1" t="s">
        <v>457</v>
      </c>
      <c r="J57" s="1">
        <v>50858619</v>
      </c>
      <c r="K57" s="7"/>
      <c r="L57" s="7">
        <v>152451204082</v>
      </c>
      <c r="M57" s="1" t="s">
        <v>45</v>
      </c>
      <c r="N57" s="1" t="s">
        <v>458</v>
      </c>
      <c r="O57" s="3">
        <v>43847.707187499997</v>
      </c>
      <c r="P57" s="3">
        <v>43848.246412037035</v>
      </c>
      <c r="Q57" s="1" t="s">
        <v>459</v>
      </c>
      <c r="R57" s="1" t="s">
        <v>460</v>
      </c>
      <c r="S57" s="7">
        <f>62-81946756712</f>
        <v>-81946756650</v>
      </c>
      <c r="T57" s="1" t="s">
        <v>461</v>
      </c>
      <c r="U57" s="1" t="s">
        <v>453</v>
      </c>
      <c r="V57" s="4">
        <v>1124388500987410</v>
      </c>
      <c r="W57" s="4">
        <v>-691939940832542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 t="s">
        <v>160</v>
      </c>
      <c r="AI57" s="1" t="s">
        <v>462</v>
      </c>
      <c r="AJ57" s="1" t="s">
        <v>106</v>
      </c>
      <c r="AK57" s="3">
        <v>43850.769942129627</v>
      </c>
      <c r="AL57" s="1" t="s">
        <v>455</v>
      </c>
      <c r="AM57" s="1"/>
      <c r="AN57" s="1" t="s">
        <v>456</v>
      </c>
    </row>
    <row r="58" spans="1:40">
      <c r="A58" s="1">
        <v>57</v>
      </c>
      <c r="B58" s="1">
        <v>5</v>
      </c>
      <c r="C58" s="1" t="s">
        <v>40</v>
      </c>
      <c r="D58" s="1" t="s">
        <v>152</v>
      </c>
      <c r="E58" s="1" t="s">
        <v>153</v>
      </c>
      <c r="F58" s="1">
        <v>501756915</v>
      </c>
      <c r="G58" s="1" t="s">
        <v>42</v>
      </c>
      <c r="H58" s="1" t="s">
        <v>77</v>
      </c>
      <c r="I58" s="1" t="s">
        <v>463</v>
      </c>
      <c r="J58" s="1">
        <v>50845185</v>
      </c>
      <c r="K58" s="7">
        <v>3199171691</v>
      </c>
      <c r="L58" s="7">
        <v>152442214553</v>
      </c>
      <c r="M58" s="1" t="s">
        <v>45</v>
      </c>
      <c r="N58" s="1" t="s">
        <v>464</v>
      </c>
      <c r="O58" s="3">
        <v>43847.71875</v>
      </c>
      <c r="P58" s="3">
        <v>43847.763738425929</v>
      </c>
      <c r="Q58" s="1" t="s">
        <v>465</v>
      </c>
      <c r="R58" s="1" t="s">
        <v>466</v>
      </c>
      <c r="S58" s="7">
        <f>622-81362068899</f>
        <v>-81362068277</v>
      </c>
      <c r="T58" s="1" t="s">
        <v>467</v>
      </c>
      <c r="U58" s="1" t="s">
        <v>468</v>
      </c>
      <c r="V58" s="4">
        <v>11257901011</v>
      </c>
      <c r="W58" s="4">
        <v>-7296094431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 t="s">
        <v>95</v>
      </c>
      <c r="AI58" s="1" t="s">
        <v>469</v>
      </c>
      <c r="AJ58" s="1" t="s">
        <v>162</v>
      </c>
      <c r="AK58" s="3">
        <v>43848.395902777775</v>
      </c>
      <c r="AL58" s="1" t="s">
        <v>97</v>
      </c>
      <c r="AM58" s="1"/>
      <c r="AN58" s="1" t="s">
        <v>88</v>
      </c>
    </row>
    <row r="59" spans="1:40">
      <c r="A59" s="1">
        <v>58</v>
      </c>
      <c r="B59" s="1">
        <v>5</v>
      </c>
      <c r="C59" s="1" t="s">
        <v>40</v>
      </c>
      <c r="D59" s="1" t="s">
        <v>152</v>
      </c>
      <c r="E59" s="1" t="s">
        <v>200</v>
      </c>
      <c r="F59" s="1">
        <v>501757312</v>
      </c>
      <c r="G59" s="1" t="s">
        <v>42</v>
      </c>
      <c r="H59" s="1" t="s">
        <v>56</v>
      </c>
      <c r="I59" s="1" t="s">
        <v>470</v>
      </c>
      <c r="J59" s="1">
        <v>50859155</v>
      </c>
      <c r="K59" s="7"/>
      <c r="L59" s="7">
        <v>152412205330</v>
      </c>
      <c r="M59" s="1" t="s">
        <v>45</v>
      </c>
      <c r="N59" s="1" t="s">
        <v>471</v>
      </c>
      <c r="O59" s="3">
        <v>43847.734675925924</v>
      </c>
      <c r="P59" s="3">
        <v>43848.777719907404</v>
      </c>
      <c r="Q59" s="1" t="s">
        <v>472</v>
      </c>
      <c r="R59" s="1" t="s">
        <v>473</v>
      </c>
      <c r="S59" s="7">
        <f>62-81946756712</f>
        <v>-81946756650</v>
      </c>
      <c r="T59" s="1" t="s">
        <v>474</v>
      </c>
      <c r="U59" s="1" t="s">
        <v>453</v>
      </c>
      <c r="V59" s="4">
        <v>1125941063128140</v>
      </c>
      <c r="W59" s="4">
        <v>-716814044370198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 t="s">
        <v>51</v>
      </c>
      <c r="AI59" s="1" t="s">
        <v>454</v>
      </c>
      <c r="AJ59" s="1" t="s">
        <v>106</v>
      </c>
      <c r="AK59" s="3">
        <v>43850.434155092589</v>
      </c>
      <c r="AL59" s="1" t="s">
        <v>455</v>
      </c>
      <c r="AM59" s="1"/>
      <c r="AN59" s="1" t="s">
        <v>456</v>
      </c>
    </row>
    <row r="60" spans="1:40">
      <c r="A60" s="1">
        <v>59</v>
      </c>
      <c r="B60" s="1">
        <v>5</v>
      </c>
      <c r="C60" s="1" t="s">
        <v>40</v>
      </c>
      <c r="D60" s="1" t="s">
        <v>40</v>
      </c>
      <c r="E60" s="1" t="s">
        <v>41</v>
      </c>
      <c r="F60" s="1">
        <v>501771744</v>
      </c>
      <c r="G60" s="1" t="s">
        <v>42</v>
      </c>
      <c r="H60" s="1"/>
      <c r="I60" s="1" t="s">
        <v>475</v>
      </c>
      <c r="J60" s="1">
        <v>50823555</v>
      </c>
      <c r="K60" s="7">
        <v>3199249825</v>
      </c>
      <c r="L60" s="7">
        <v>152413143463</v>
      </c>
      <c r="M60" s="1" t="s">
        <v>45</v>
      </c>
      <c r="N60" s="1" t="s">
        <v>476</v>
      </c>
      <c r="O60" s="3">
        <v>43849.068854166668</v>
      </c>
      <c r="P60" s="3">
        <v>43859.614108796297</v>
      </c>
      <c r="Q60" s="1" t="s">
        <v>477</v>
      </c>
      <c r="R60" s="1" t="s">
        <v>478</v>
      </c>
      <c r="S60" s="7">
        <f>622-877777899241</f>
        <v>-877777898619</v>
      </c>
      <c r="T60" s="1" t="s">
        <v>479</v>
      </c>
      <c r="U60" s="1" t="s">
        <v>480</v>
      </c>
      <c r="V60" s="4">
        <v>11273871503</v>
      </c>
      <c r="W60" s="4">
        <v>-7259489694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 t="s">
        <v>177</v>
      </c>
      <c r="AI60" s="5">
        <v>43846</v>
      </c>
      <c r="AJ60" s="1" t="s">
        <v>481</v>
      </c>
      <c r="AK60" s="3">
        <v>43859.811956018515</v>
      </c>
      <c r="AL60" s="1"/>
      <c r="AM60" s="1"/>
      <c r="AN60" s="1" t="s">
        <v>88</v>
      </c>
    </row>
    <row r="61" spans="1:40">
      <c r="A61" s="1">
        <v>60</v>
      </c>
      <c r="B61" s="1">
        <v>5</v>
      </c>
      <c r="C61" s="1" t="s">
        <v>40</v>
      </c>
      <c r="D61" s="1" t="s">
        <v>283</v>
      </c>
      <c r="E61" s="1" t="s">
        <v>284</v>
      </c>
      <c r="F61" s="1">
        <v>501774576</v>
      </c>
      <c r="G61" s="1" t="s">
        <v>42</v>
      </c>
      <c r="H61" s="1" t="s">
        <v>77</v>
      </c>
      <c r="I61" s="1" t="s">
        <v>482</v>
      </c>
      <c r="J61" s="1">
        <v>50869394</v>
      </c>
      <c r="K61" s="7">
        <v>3224662420</v>
      </c>
      <c r="L61" s="7">
        <v>152448210685</v>
      </c>
      <c r="M61" s="1" t="s">
        <v>45</v>
      </c>
      <c r="N61" s="1" t="s">
        <v>483</v>
      </c>
      <c r="O61" s="3">
        <v>43849.610972222225</v>
      </c>
      <c r="P61" s="3">
        <v>43850.62096064815</v>
      </c>
      <c r="Q61" s="1" t="s">
        <v>484</v>
      </c>
      <c r="R61" s="1" t="s">
        <v>485</v>
      </c>
      <c r="S61" s="7">
        <f>622-85640058358</f>
        <v>-85640057736</v>
      </c>
      <c r="T61" s="1" t="s">
        <v>486</v>
      </c>
      <c r="U61" s="1" t="s">
        <v>487</v>
      </c>
      <c r="V61" s="4">
        <v>11235159387</v>
      </c>
      <c r="W61" s="4">
        <v>-6920857933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 t="s">
        <v>95</v>
      </c>
      <c r="AI61" s="1" t="s">
        <v>488</v>
      </c>
      <c r="AJ61" s="1" t="s">
        <v>106</v>
      </c>
      <c r="AK61" s="3">
        <v>43853.545081018521</v>
      </c>
      <c r="AL61" s="1" t="s">
        <v>97</v>
      </c>
      <c r="AM61" s="1"/>
      <c r="AN61" s="1" t="s">
        <v>88</v>
      </c>
    </row>
    <row r="62" spans="1:40">
      <c r="A62" s="1">
        <v>61</v>
      </c>
      <c r="B62" s="1">
        <v>5</v>
      </c>
      <c r="C62" s="1" t="s">
        <v>40</v>
      </c>
      <c r="D62" s="1" t="s">
        <v>152</v>
      </c>
      <c r="E62" s="1" t="s">
        <v>200</v>
      </c>
      <c r="F62" s="1">
        <v>501778206</v>
      </c>
      <c r="G62" s="1" t="s">
        <v>42</v>
      </c>
      <c r="H62" s="1" t="s">
        <v>43</v>
      </c>
      <c r="I62" s="1" t="s">
        <v>489</v>
      </c>
      <c r="J62" s="1">
        <v>50367172</v>
      </c>
      <c r="K62" s="7">
        <v>3199101886</v>
      </c>
      <c r="L62" s="7">
        <v>152412203433</v>
      </c>
      <c r="M62" s="1" t="s">
        <v>45</v>
      </c>
      <c r="N62" s="1" t="s">
        <v>490</v>
      </c>
      <c r="O62" s="3">
        <v>43850.367685185185</v>
      </c>
      <c r="P62" s="3">
        <v>43850.759155092594</v>
      </c>
      <c r="Q62" s="1" t="s">
        <v>491</v>
      </c>
      <c r="R62" s="1" t="s">
        <v>492</v>
      </c>
      <c r="S62" s="7">
        <f>62-87785451535</f>
        <v>-87785451473</v>
      </c>
      <c r="T62" s="1" t="s">
        <v>493</v>
      </c>
      <c r="U62" s="1" t="s">
        <v>494</v>
      </c>
      <c r="V62" s="4">
        <v>112653853861377</v>
      </c>
      <c r="W62" s="4">
        <v>-717157925922141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 t="s">
        <v>51</v>
      </c>
      <c r="AI62" s="1" t="s">
        <v>495</v>
      </c>
      <c r="AJ62" s="1" t="s">
        <v>106</v>
      </c>
      <c r="AK62" s="3">
        <v>43853.57984953704</v>
      </c>
      <c r="AL62" s="1" t="s">
        <v>496</v>
      </c>
      <c r="AM62" s="1"/>
      <c r="AN62" s="1" t="s">
        <v>439</v>
      </c>
    </row>
    <row r="63" spans="1:40">
      <c r="A63" s="1">
        <v>62</v>
      </c>
      <c r="B63" s="1">
        <v>5</v>
      </c>
      <c r="C63" s="1" t="s">
        <v>40</v>
      </c>
      <c r="D63" s="1" t="s">
        <v>40</v>
      </c>
      <c r="E63" s="1" t="s">
        <v>76</v>
      </c>
      <c r="F63" s="1">
        <v>501782352</v>
      </c>
      <c r="G63" s="1" t="s">
        <v>42</v>
      </c>
      <c r="H63" s="1"/>
      <c r="I63" s="1" t="s">
        <v>497</v>
      </c>
      <c r="J63" s="1">
        <v>16095001</v>
      </c>
      <c r="K63" s="7">
        <v>3129710000</v>
      </c>
      <c r="L63" s="7"/>
      <c r="M63" s="1" t="s">
        <v>498</v>
      </c>
      <c r="N63" s="1" t="s">
        <v>499</v>
      </c>
      <c r="O63" s="3">
        <v>43850.432789351849</v>
      </c>
      <c r="P63" s="3">
        <v>43850.433553240742</v>
      </c>
      <c r="Q63" s="1" t="s">
        <v>500</v>
      </c>
      <c r="R63" s="1" t="s">
        <v>347</v>
      </c>
      <c r="S63" s="7">
        <f>62-8994945151</f>
        <v>-8994945089</v>
      </c>
      <c r="T63" s="1" t="s">
        <v>501</v>
      </c>
      <c r="U63" s="1" t="s">
        <v>502</v>
      </c>
      <c r="V63" s="4">
        <v>1126760234708870</v>
      </c>
      <c r="W63" s="4">
        <v>-728857321993202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 t="s">
        <v>177</v>
      </c>
      <c r="AI63" s="5">
        <v>25569</v>
      </c>
      <c r="AJ63" s="1" t="s">
        <v>144</v>
      </c>
      <c r="AK63" s="3">
        <v>43850.455069444448</v>
      </c>
      <c r="AL63" s="1" t="s">
        <v>503</v>
      </c>
      <c r="AM63" s="1"/>
      <c r="AN63" s="1" t="s">
        <v>55</v>
      </c>
    </row>
    <row r="64" spans="1:40">
      <c r="A64" s="1">
        <v>63</v>
      </c>
      <c r="B64" s="1">
        <v>5</v>
      </c>
      <c r="C64" s="1" t="s">
        <v>40</v>
      </c>
      <c r="D64" s="1" t="s">
        <v>152</v>
      </c>
      <c r="E64" s="1" t="s">
        <v>200</v>
      </c>
      <c r="F64" s="1">
        <v>501782836</v>
      </c>
      <c r="G64" s="1" t="s">
        <v>42</v>
      </c>
      <c r="H64" s="1" t="s">
        <v>77</v>
      </c>
      <c r="I64" s="1" t="s">
        <v>504</v>
      </c>
      <c r="J64" s="1">
        <v>15765071</v>
      </c>
      <c r="K64" s="7">
        <v>3199101323</v>
      </c>
      <c r="L64" s="7">
        <v>152412203844</v>
      </c>
      <c r="M64" s="1" t="s">
        <v>45</v>
      </c>
      <c r="N64" s="1" t="s">
        <v>505</v>
      </c>
      <c r="O64" s="3">
        <v>43850.441122685188</v>
      </c>
      <c r="P64" s="3">
        <v>43850.764699074076</v>
      </c>
      <c r="Q64" s="1" t="s">
        <v>506</v>
      </c>
      <c r="R64" s="1" t="s">
        <v>507</v>
      </c>
      <c r="S64" s="7">
        <f>62-82260309383</f>
        <v>-82260309321</v>
      </c>
      <c r="T64" s="1" t="s">
        <v>508</v>
      </c>
      <c r="U64" s="1" t="s">
        <v>436</v>
      </c>
      <c r="V64" s="4">
        <v>1126142165372950</v>
      </c>
      <c r="W64" s="4">
        <v>-713366795635919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s">
        <v>160</v>
      </c>
      <c r="AI64" s="1" t="s">
        <v>509</v>
      </c>
      <c r="AJ64" s="1" t="s">
        <v>106</v>
      </c>
      <c r="AK64" s="3">
        <v>43854.383506944447</v>
      </c>
      <c r="AL64" s="1" t="s">
        <v>438</v>
      </c>
      <c r="AM64" s="1"/>
      <c r="AN64" s="1" t="s">
        <v>439</v>
      </c>
    </row>
    <row r="65" spans="1:40">
      <c r="A65" s="1">
        <v>64</v>
      </c>
      <c r="B65" s="1">
        <v>5</v>
      </c>
      <c r="C65" s="1" t="s">
        <v>40</v>
      </c>
      <c r="D65" s="1" t="s">
        <v>152</v>
      </c>
      <c r="E65" s="1" t="s">
        <v>200</v>
      </c>
      <c r="F65" s="1">
        <v>501805280</v>
      </c>
      <c r="G65" s="1" t="s">
        <v>42</v>
      </c>
      <c r="H65" s="1" t="s">
        <v>43</v>
      </c>
      <c r="I65" s="1" t="s">
        <v>510</v>
      </c>
      <c r="J65" s="1">
        <v>50883976</v>
      </c>
      <c r="K65" s="7">
        <v>3199101992</v>
      </c>
      <c r="L65" s="7">
        <v>152412200517</v>
      </c>
      <c r="M65" s="1" t="s">
        <v>45</v>
      </c>
      <c r="N65" s="1" t="s">
        <v>511</v>
      </c>
      <c r="O65" s="3">
        <v>43851.43341435185</v>
      </c>
      <c r="P65" s="3">
        <v>43859.615578703706</v>
      </c>
      <c r="Q65" s="1" t="s">
        <v>512</v>
      </c>
      <c r="R65" s="1" t="s">
        <v>513</v>
      </c>
      <c r="S65" s="7">
        <f>62-81331591672</f>
        <v>-81331591610</v>
      </c>
      <c r="T65" s="1" t="s">
        <v>514</v>
      </c>
      <c r="U65" s="1" t="s">
        <v>515</v>
      </c>
      <c r="V65" s="4">
        <v>1126480062453910</v>
      </c>
      <c r="W65" s="4">
        <v>-715146119237797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 t="s">
        <v>95</v>
      </c>
      <c r="AI65" s="1" t="s">
        <v>516</v>
      </c>
      <c r="AJ65" s="1" t="s">
        <v>106</v>
      </c>
      <c r="AK65" s="3">
        <v>43860.406168981484</v>
      </c>
      <c r="AL65" s="1" t="s">
        <v>359</v>
      </c>
      <c r="AM65" s="1"/>
      <c r="AN65" s="1" t="s">
        <v>117</v>
      </c>
    </row>
    <row r="66" spans="1:40">
      <c r="A66" s="1">
        <v>65</v>
      </c>
      <c r="B66" s="1">
        <v>5</v>
      </c>
      <c r="C66" s="1" t="s">
        <v>40</v>
      </c>
      <c r="D66" s="1" t="s">
        <v>283</v>
      </c>
      <c r="E66" s="1" t="s">
        <v>284</v>
      </c>
      <c r="F66" s="1">
        <v>501808556</v>
      </c>
      <c r="G66" s="1" t="s">
        <v>42</v>
      </c>
      <c r="H66" s="1" t="s">
        <v>77</v>
      </c>
      <c r="I66" s="1" t="s">
        <v>517</v>
      </c>
      <c r="J66" s="1">
        <v>50705527</v>
      </c>
      <c r="K66" s="7">
        <v>3224661395</v>
      </c>
      <c r="L66" s="7">
        <v>152448210303</v>
      </c>
      <c r="M66" s="1" t="s">
        <v>45</v>
      </c>
      <c r="N66" s="1" t="s">
        <v>518</v>
      </c>
      <c r="O66" s="3">
        <v>43851.477337962962</v>
      </c>
      <c r="P66" s="3">
        <v>43851.47934027778</v>
      </c>
      <c r="Q66" s="1" t="s">
        <v>519</v>
      </c>
      <c r="R66" s="1" t="s">
        <v>520</v>
      </c>
      <c r="S66" s="7">
        <f>622-81334323622</f>
        <v>-81334323000</v>
      </c>
      <c r="T66" s="1" t="s">
        <v>521</v>
      </c>
      <c r="U66" s="1" t="s">
        <v>522</v>
      </c>
      <c r="V66" s="4">
        <v>1.12389810830354E+16</v>
      </c>
      <c r="W66" s="4">
        <v>-6877882211081400</v>
      </c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 t="s">
        <v>95</v>
      </c>
      <c r="AI66" s="1" t="s">
        <v>523</v>
      </c>
      <c r="AJ66" s="1" t="s">
        <v>292</v>
      </c>
      <c r="AK66" s="3">
        <v>43852.657592592594</v>
      </c>
      <c r="AL66" s="1" t="s">
        <v>524</v>
      </c>
      <c r="AM66" s="1"/>
      <c r="AN66" s="1" t="s">
        <v>88</v>
      </c>
    </row>
    <row r="67" spans="1:40">
      <c r="A67" s="1">
        <v>66</v>
      </c>
      <c r="B67" s="1">
        <v>5</v>
      </c>
      <c r="C67" s="1" t="s">
        <v>40</v>
      </c>
      <c r="D67" s="1" t="s">
        <v>152</v>
      </c>
      <c r="E67" s="1" t="s">
        <v>200</v>
      </c>
      <c r="F67" s="1">
        <v>501809751</v>
      </c>
      <c r="G67" s="1" t="s">
        <v>42</v>
      </c>
      <c r="H67" s="1" t="s">
        <v>43</v>
      </c>
      <c r="I67" s="1" t="s">
        <v>525</v>
      </c>
      <c r="J67" s="1">
        <v>50367172</v>
      </c>
      <c r="K67" s="7">
        <v>3199101222</v>
      </c>
      <c r="L67" s="7">
        <v>152412200472</v>
      </c>
      <c r="M67" s="1" t="s">
        <v>45</v>
      </c>
      <c r="N67" s="1" t="s">
        <v>526</v>
      </c>
      <c r="O67" s="3">
        <v>43851.496655092589</v>
      </c>
      <c r="P67" s="3">
        <v>43851.714791666665</v>
      </c>
      <c r="Q67" s="1" t="s">
        <v>527</v>
      </c>
      <c r="R67" s="1" t="s">
        <v>492</v>
      </c>
      <c r="S67" s="7">
        <f>62-87785451535</f>
        <v>-87785451473</v>
      </c>
      <c r="T67" s="1" t="s">
        <v>528</v>
      </c>
      <c r="U67" s="1" t="s">
        <v>494</v>
      </c>
      <c r="V67" s="4">
        <v>1126182757153440</v>
      </c>
      <c r="W67" s="4">
        <v>-715872636439548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 t="s">
        <v>51</v>
      </c>
      <c r="AI67" s="1" t="s">
        <v>529</v>
      </c>
      <c r="AJ67" s="1" t="s">
        <v>106</v>
      </c>
      <c r="AK67" s="3">
        <v>43852.383888888886</v>
      </c>
      <c r="AL67" s="1" t="s">
        <v>496</v>
      </c>
      <c r="AM67" s="1"/>
      <c r="AN67" s="1" t="s">
        <v>439</v>
      </c>
    </row>
    <row r="68" spans="1:40">
      <c r="A68" s="1">
        <v>67</v>
      </c>
      <c r="B68" s="1">
        <v>5</v>
      </c>
      <c r="C68" s="1" t="s">
        <v>40</v>
      </c>
      <c r="D68" s="1" t="s">
        <v>152</v>
      </c>
      <c r="E68" s="1" t="s">
        <v>230</v>
      </c>
      <c r="F68" s="1">
        <v>501814957</v>
      </c>
      <c r="G68" s="1" t="s">
        <v>42</v>
      </c>
      <c r="H68" s="1" t="s">
        <v>43</v>
      </c>
      <c r="I68" s="1" t="s">
        <v>530</v>
      </c>
      <c r="J68" s="1">
        <v>50888518</v>
      </c>
      <c r="K68" s="7">
        <v>3199115327</v>
      </c>
      <c r="L68" s="7">
        <v>152451205352</v>
      </c>
      <c r="M68" s="1" t="s">
        <v>45</v>
      </c>
      <c r="N68" s="1" t="s">
        <v>531</v>
      </c>
      <c r="O68" s="3">
        <v>43851.604097222225</v>
      </c>
      <c r="P68" s="3">
        <v>43851.716180555559</v>
      </c>
      <c r="Q68" s="1" t="s">
        <v>532</v>
      </c>
      <c r="R68" s="1" t="s">
        <v>533</v>
      </c>
      <c r="S68" s="7">
        <f>62-81283844569</f>
        <v>-81283844507</v>
      </c>
      <c r="T68" s="1" t="s">
        <v>534</v>
      </c>
      <c r="U68" s="1" t="s">
        <v>535</v>
      </c>
      <c r="V68" s="4">
        <v>1125778584404750</v>
      </c>
      <c r="W68" s="4">
        <v>-705295799999998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 t="s">
        <v>51</v>
      </c>
      <c r="AI68" s="1" t="s">
        <v>536</v>
      </c>
      <c r="AJ68" s="1" t="s">
        <v>106</v>
      </c>
      <c r="AK68" s="3">
        <v>43853.585277777776</v>
      </c>
      <c r="AL68" s="1" t="s">
        <v>537</v>
      </c>
      <c r="AM68" s="1"/>
      <c r="AN68" s="1" t="s">
        <v>117</v>
      </c>
    </row>
    <row r="69" spans="1:40">
      <c r="A69" s="1">
        <v>68</v>
      </c>
      <c r="B69" s="1">
        <v>5</v>
      </c>
      <c r="C69" s="1" t="s">
        <v>40</v>
      </c>
      <c r="D69" s="1" t="s">
        <v>40</v>
      </c>
      <c r="E69" s="1" t="s">
        <v>118</v>
      </c>
      <c r="F69" s="1">
        <v>501815466</v>
      </c>
      <c r="G69" s="1" t="s">
        <v>42</v>
      </c>
      <c r="H69" s="1" t="s">
        <v>43</v>
      </c>
      <c r="I69" s="1" t="s">
        <v>538</v>
      </c>
      <c r="J69" s="1">
        <v>50888031</v>
      </c>
      <c r="K69" s="7"/>
      <c r="L69" s="7">
        <v>152404275446</v>
      </c>
      <c r="M69" s="1" t="s">
        <v>45</v>
      </c>
      <c r="N69" s="1" t="s">
        <v>539</v>
      </c>
      <c r="O69" s="3">
        <v>43851.611400462964</v>
      </c>
      <c r="P69" s="3">
        <v>43851.716851851852</v>
      </c>
      <c r="Q69" s="1" t="s">
        <v>540</v>
      </c>
      <c r="R69" s="1" t="s">
        <v>541</v>
      </c>
      <c r="S69" s="7">
        <f>62-82260585566</f>
        <v>-82260585504</v>
      </c>
      <c r="T69" s="1" t="s">
        <v>542</v>
      </c>
      <c r="U69" s="1" t="s">
        <v>543</v>
      </c>
      <c r="V69" s="4">
        <v>1127692090196520</v>
      </c>
      <c r="W69" s="4">
        <v>-721900761231416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 t="s">
        <v>160</v>
      </c>
      <c r="AI69" s="1" t="s">
        <v>544</v>
      </c>
      <c r="AJ69" s="1" t="s">
        <v>126</v>
      </c>
      <c r="AK69" s="3">
        <v>43853.613761574074</v>
      </c>
      <c r="AL69" s="1" t="s">
        <v>384</v>
      </c>
      <c r="AM69" s="1"/>
      <c r="AN69" s="1" t="s">
        <v>117</v>
      </c>
    </row>
    <row r="70" spans="1:40">
      <c r="A70" s="1">
        <v>69</v>
      </c>
      <c r="B70" s="1">
        <v>5</v>
      </c>
      <c r="C70" s="1" t="s">
        <v>40</v>
      </c>
      <c r="D70" s="1" t="s">
        <v>40</v>
      </c>
      <c r="E70" s="1" t="s">
        <v>76</v>
      </c>
      <c r="F70" s="1">
        <v>501822080</v>
      </c>
      <c r="G70" s="1" t="s">
        <v>42</v>
      </c>
      <c r="H70" s="1" t="s">
        <v>43</v>
      </c>
      <c r="I70" s="1" t="s">
        <v>545</v>
      </c>
      <c r="J70" s="1">
        <v>39046499</v>
      </c>
      <c r="K70" s="7"/>
      <c r="L70" s="7">
        <v>152409253479</v>
      </c>
      <c r="M70" s="1" t="s">
        <v>45</v>
      </c>
      <c r="N70" s="1" t="s">
        <v>546</v>
      </c>
      <c r="O70" s="3">
        <v>43851.70652777778</v>
      </c>
      <c r="P70" s="3">
        <v>43851.750937500001</v>
      </c>
      <c r="Q70" s="1" t="s">
        <v>547</v>
      </c>
      <c r="R70" s="1" t="s">
        <v>548</v>
      </c>
      <c r="S70" s="7">
        <f>62-81130969690</f>
        <v>-81130969628</v>
      </c>
      <c r="T70" s="1" t="s">
        <v>549</v>
      </c>
      <c r="U70" s="1" t="s">
        <v>550</v>
      </c>
      <c r="V70" s="4">
        <v>1126551223200160</v>
      </c>
      <c r="W70" s="4">
        <v>-729371486877208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 t="s">
        <v>95</v>
      </c>
      <c r="AI70" s="1" t="s">
        <v>551</v>
      </c>
      <c r="AJ70" s="1" t="s">
        <v>552</v>
      </c>
      <c r="AK70" s="3">
        <v>43852.449363425927</v>
      </c>
      <c r="AL70" s="1" t="s">
        <v>553</v>
      </c>
      <c r="AM70" s="1"/>
      <c r="AN70" s="1" t="s">
        <v>88</v>
      </c>
    </row>
    <row r="71" spans="1:40">
      <c r="A71" s="1">
        <v>70</v>
      </c>
      <c r="B71" s="1">
        <v>5</v>
      </c>
      <c r="C71" s="1" t="s">
        <v>40</v>
      </c>
      <c r="D71" s="1" t="s">
        <v>40</v>
      </c>
      <c r="E71" s="1" t="s">
        <v>118</v>
      </c>
      <c r="F71" s="1">
        <v>501826089</v>
      </c>
      <c r="G71" s="1" t="s">
        <v>42</v>
      </c>
      <c r="H71" s="1" t="s">
        <v>56</v>
      </c>
      <c r="I71" s="1" t="s">
        <v>554</v>
      </c>
      <c r="J71" s="1">
        <v>50893388</v>
      </c>
      <c r="K71" s="7"/>
      <c r="L71" s="7">
        <v>152404273198</v>
      </c>
      <c r="M71" s="1" t="s">
        <v>361</v>
      </c>
      <c r="N71" s="1" t="s">
        <v>555</v>
      </c>
      <c r="O71" s="3">
        <v>43852.339074074072</v>
      </c>
      <c r="P71" s="3">
        <v>43858.565868055557</v>
      </c>
      <c r="Q71" s="1" t="s">
        <v>556</v>
      </c>
      <c r="R71" s="1" t="s">
        <v>557</v>
      </c>
      <c r="S71" s="7">
        <f>62-85646654340</f>
        <v>-85646654278</v>
      </c>
      <c r="T71" s="1" t="s">
        <v>558</v>
      </c>
      <c r="U71" s="1" t="s">
        <v>559</v>
      </c>
      <c r="V71" s="4">
        <v>1127671394457690</v>
      </c>
      <c r="W71" s="4">
        <v>-721281343481422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 t="s">
        <v>95</v>
      </c>
      <c r="AI71" s="1" t="s">
        <v>560</v>
      </c>
      <c r="AJ71" s="1" t="s">
        <v>64</v>
      </c>
      <c r="AK71" s="3">
        <v>43858.402233796296</v>
      </c>
      <c r="AL71" s="1" t="s">
        <v>561</v>
      </c>
      <c r="AM71" s="1"/>
      <c r="AN71" s="1" t="s">
        <v>117</v>
      </c>
    </row>
    <row r="72" spans="1:40">
      <c r="A72" s="1">
        <v>71</v>
      </c>
      <c r="B72" s="1">
        <v>5</v>
      </c>
      <c r="C72" s="1" t="s">
        <v>40</v>
      </c>
      <c r="D72" s="1" t="s">
        <v>152</v>
      </c>
      <c r="E72" s="1" t="s">
        <v>200</v>
      </c>
      <c r="F72" s="1">
        <v>501829103</v>
      </c>
      <c r="G72" s="1" t="s">
        <v>42</v>
      </c>
      <c r="H72" s="1" t="s">
        <v>43</v>
      </c>
      <c r="I72" s="1" t="s">
        <v>562</v>
      </c>
      <c r="J72" s="1">
        <v>50894065</v>
      </c>
      <c r="K72" s="7"/>
      <c r="L72" s="7">
        <v>152412200526</v>
      </c>
      <c r="M72" s="1" t="s">
        <v>171</v>
      </c>
      <c r="N72" s="1" t="s">
        <v>563</v>
      </c>
      <c r="O72" s="3">
        <v>43852.391504629632</v>
      </c>
      <c r="P72" s="3">
        <v>43853.673587962963</v>
      </c>
      <c r="Q72" s="1" t="s">
        <v>564</v>
      </c>
      <c r="R72" s="1" t="s">
        <v>565</v>
      </c>
      <c r="S72" s="7">
        <f>62-81233003762</f>
        <v>-81233003700</v>
      </c>
      <c r="T72" s="1" t="s">
        <v>566</v>
      </c>
      <c r="U72" s="1" t="s">
        <v>567</v>
      </c>
      <c r="V72" s="4">
        <v>1126541811181020</v>
      </c>
      <c r="W72" s="4">
        <v>-718060012439708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 t="s">
        <v>95</v>
      </c>
      <c r="AI72" s="1" t="s">
        <v>568</v>
      </c>
      <c r="AJ72" s="1" t="s">
        <v>64</v>
      </c>
      <c r="AK72" s="3">
        <v>43858.402048611111</v>
      </c>
      <c r="AL72" s="1" t="s">
        <v>569</v>
      </c>
      <c r="AM72" s="1"/>
      <c r="AN72" s="1" t="s">
        <v>117</v>
      </c>
    </row>
    <row r="73" spans="1:40">
      <c r="A73" s="1">
        <v>72</v>
      </c>
      <c r="B73" s="1">
        <v>5</v>
      </c>
      <c r="C73" s="1" t="s">
        <v>40</v>
      </c>
      <c r="D73" s="1" t="s">
        <v>40</v>
      </c>
      <c r="E73" s="1" t="s">
        <v>41</v>
      </c>
      <c r="F73" s="1">
        <v>501829513</v>
      </c>
      <c r="G73" s="1" t="s">
        <v>42</v>
      </c>
      <c r="H73" s="1" t="s">
        <v>43</v>
      </c>
      <c r="I73" s="1" t="s">
        <v>570</v>
      </c>
      <c r="J73" s="1">
        <v>50894150</v>
      </c>
      <c r="K73" s="7">
        <v>3199277775</v>
      </c>
      <c r="L73" s="7">
        <v>152413203563</v>
      </c>
      <c r="M73" s="1" t="s">
        <v>99</v>
      </c>
      <c r="N73" s="1" t="s">
        <v>571</v>
      </c>
      <c r="O73" s="3">
        <v>43852.396736111114</v>
      </c>
      <c r="P73" s="3">
        <v>43852.404479166667</v>
      </c>
      <c r="Q73" s="1" t="s">
        <v>572</v>
      </c>
      <c r="R73" s="1" t="s">
        <v>573</v>
      </c>
      <c r="S73" s="7">
        <f>62-62174867724</f>
        <v>-62174867662</v>
      </c>
      <c r="T73" s="1" t="s">
        <v>574</v>
      </c>
      <c r="U73" s="1" t="s">
        <v>575</v>
      </c>
      <c r="V73" s="4">
        <v>1127419660761660</v>
      </c>
      <c r="W73" s="4">
        <v>-72720079944133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 t="s">
        <v>95</v>
      </c>
      <c r="AI73" s="1" t="s">
        <v>576</v>
      </c>
      <c r="AJ73" s="1" t="s">
        <v>64</v>
      </c>
      <c r="AK73" s="3">
        <v>43857.636655092596</v>
      </c>
      <c r="AL73" s="1" t="s">
        <v>116</v>
      </c>
      <c r="AM73" s="1"/>
      <c r="AN73" s="1" t="s">
        <v>117</v>
      </c>
    </row>
    <row r="74" spans="1:40">
      <c r="A74" s="1">
        <v>73</v>
      </c>
      <c r="B74" s="1">
        <v>5</v>
      </c>
      <c r="C74" s="1" t="s">
        <v>40</v>
      </c>
      <c r="D74" s="1" t="s">
        <v>40</v>
      </c>
      <c r="E74" s="1" t="s">
        <v>41</v>
      </c>
      <c r="F74" s="1">
        <v>501832925</v>
      </c>
      <c r="G74" s="1" t="s">
        <v>42</v>
      </c>
      <c r="H74" s="1" t="s">
        <v>43</v>
      </c>
      <c r="I74" s="1" t="s">
        <v>577</v>
      </c>
      <c r="J74" s="1">
        <v>15673151</v>
      </c>
      <c r="K74" s="7">
        <v>3199254362</v>
      </c>
      <c r="L74" s="7">
        <v>152413202370</v>
      </c>
      <c r="M74" s="1" t="s">
        <v>45</v>
      </c>
      <c r="N74" s="1" t="s">
        <v>578</v>
      </c>
      <c r="O74" s="3">
        <v>43852.455983796295</v>
      </c>
      <c r="P74" s="3">
        <v>43852.655810185184</v>
      </c>
      <c r="Q74" s="1" t="s">
        <v>579</v>
      </c>
      <c r="R74" s="1" t="s">
        <v>48</v>
      </c>
      <c r="S74" s="7">
        <f>62-8993404222</f>
        <v>-8993404160</v>
      </c>
      <c r="T74" s="1" t="s">
        <v>580</v>
      </c>
      <c r="U74" s="1" t="s">
        <v>581</v>
      </c>
      <c r="V74" s="4">
        <v>1127399905251310</v>
      </c>
      <c r="W74" s="4">
        <v>-726350796012231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 t="s">
        <v>51</v>
      </c>
      <c r="AI74" s="1" t="s">
        <v>582</v>
      </c>
      <c r="AJ74" s="1" t="s">
        <v>106</v>
      </c>
      <c r="AK74" s="3">
        <v>43853.545393518521</v>
      </c>
      <c r="AL74" s="1" t="s">
        <v>583</v>
      </c>
      <c r="AM74" s="1"/>
      <c r="AN74" s="1" t="s">
        <v>55</v>
      </c>
    </row>
    <row r="75" spans="1:40">
      <c r="A75" s="1">
        <v>74</v>
      </c>
      <c r="B75" s="1">
        <v>5</v>
      </c>
      <c r="C75" s="1" t="s">
        <v>40</v>
      </c>
      <c r="D75" s="1" t="s">
        <v>40</v>
      </c>
      <c r="E75" s="1" t="s">
        <v>41</v>
      </c>
      <c r="F75" s="1">
        <v>501833346</v>
      </c>
      <c r="G75" s="1" t="s">
        <v>42</v>
      </c>
      <c r="H75" s="1" t="s">
        <v>43</v>
      </c>
      <c r="I75" s="1" t="s">
        <v>584</v>
      </c>
      <c r="J75" s="1">
        <v>15673151</v>
      </c>
      <c r="K75" s="7">
        <v>3199252596</v>
      </c>
      <c r="L75" s="7">
        <v>152413201245</v>
      </c>
      <c r="M75" s="1" t="s">
        <v>45</v>
      </c>
      <c r="N75" s="1" t="s">
        <v>585</v>
      </c>
      <c r="O75" s="3">
        <v>43852.463217592594</v>
      </c>
      <c r="P75" s="3">
        <v>43852.657233796293</v>
      </c>
      <c r="Q75" s="1" t="s">
        <v>586</v>
      </c>
      <c r="R75" s="1" t="s">
        <v>48</v>
      </c>
      <c r="S75" s="7">
        <f>62-8993404222</f>
        <v>-8993404160</v>
      </c>
      <c r="T75" s="1" t="s">
        <v>587</v>
      </c>
      <c r="U75" s="1" t="s">
        <v>588</v>
      </c>
      <c r="V75" s="4">
        <v>1127399278335190</v>
      </c>
      <c r="W75" s="4">
        <v>-726349715044305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 t="s">
        <v>51</v>
      </c>
      <c r="AI75" s="1" t="s">
        <v>589</v>
      </c>
      <c r="AJ75" s="1" t="s">
        <v>106</v>
      </c>
      <c r="AK75" s="3">
        <v>43853.545648148145</v>
      </c>
      <c r="AL75" s="1" t="s">
        <v>590</v>
      </c>
      <c r="AM75" s="1"/>
      <c r="AN75" s="1" t="s">
        <v>55</v>
      </c>
    </row>
    <row r="76" spans="1:40">
      <c r="A76" s="1">
        <v>75</v>
      </c>
      <c r="B76" s="1">
        <v>5</v>
      </c>
      <c r="C76" s="1" t="s">
        <v>40</v>
      </c>
      <c r="D76" s="1" t="s">
        <v>40</v>
      </c>
      <c r="E76" s="1" t="s">
        <v>208</v>
      </c>
      <c r="F76" s="1">
        <v>501835985</v>
      </c>
      <c r="G76" s="1" t="s">
        <v>42</v>
      </c>
      <c r="H76" s="1" t="s">
        <v>56</v>
      </c>
      <c r="I76" s="1" t="s">
        <v>591</v>
      </c>
      <c r="J76" s="1">
        <v>16739820</v>
      </c>
      <c r="K76" s="7">
        <v>3199928839</v>
      </c>
      <c r="L76" s="7"/>
      <c r="M76" s="1" t="s">
        <v>45</v>
      </c>
      <c r="N76" s="1" t="s">
        <v>592</v>
      </c>
      <c r="O76" s="3">
        <v>43852.52920138889</v>
      </c>
      <c r="P76" s="3">
        <v>43852.56621527778</v>
      </c>
      <c r="Q76" s="1" t="s">
        <v>593</v>
      </c>
      <c r="R76" s="1" t="s">
        <v>122</v>
      </c>
      <c r="S76" s="7">
        <f>62-8563567453</f>
        <v>-8563567391</v>
      </c>
      <c r="T76" s="1" t="s">
        <v>123</v>
      </c>
      <c r="U76" s="1" t="s">
        <v>594</v>
      </c>
      <c r="V76" s="4">
        <v>1127947562142360</v>
      </c>
      <c r="W76" s="4">
        <v>-725253913264772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 t="s">
        <v>84</v>
      </c>
      <c r="AI76" s="1" t="s">
        <v>595</v>
      </c>
      <c r="AJ76" s="1" t="s">
        <v>216</v>
      </c>
      <c r="AK76" s="3">
        <v>43852.561967592592</v>
      </c>
      <c r="AL76" s="1" t="s">
        <v>596</v>
      </c>
      <c r="AM76" s="1"/>
      <c r="AN76" s="1" t="s">
        <v>128</v>
      </c>
    </row>
    <row r="77" spans="1:40">
      <c r="A77" s="1">
        <v>76</v>
      </c>
      <c r="B77" s="1">
        <v>5</v>
      </c>
      <c r="C77" s="1" t="s">
        <v>40</v>
      </c>
      <c r="D77" s="1" t="s">
        <v>152</v>
      </c>
      <c r="E77" s="1" t="s">
        <v>230</v>
      </c>
      <c r="F77" s="1">
        <v>501837122</v>
      </c>
      <c r="G77" s="1" t="s">
        <v>42</v>
      </c>
      <c r="H77" s="1" t="s">
        <v>43</v>
      </c>
      <c r="I77" s="1" t="s">
        <v>597</v>
      </c>
      <c r="J77" s="1">
        <v>50898150</v>
      </c>
      <c r="K77" s="7"/>
      <c r="L77" s="7">
        <v>152451207846</v>
      </c>
      <c r="M77" s="1" t="s">
        <v>45</v>
      </c>
      <c r="N77" s="1" t="s">
        <v>598</v>
      </c>
      <c r="O77" s="3">
        <v>43852.55972222222</v>
      </c>
      <c r="P77" s="3">
        <v>43852.790532407409</v>
      </c>
      <c r="Q77" s="1" t="s">
        <v>599</v>
      </c>
      <c r="R77" s="1" t="s">
        <v>600</v>
      </c>
      <c r="S77" s="7">
        <f>62-82234231756</f>
        <v>-82234231694</v>
      </c>
      <c r="T77" s="1" t="s">
        <v>601</v>
      </c>
      <c r="U77" s="1" t="s">
        <v>602</v>
      </c>
      <c r="V77" s="4">
        <v>1125685924427870</v>
      </c>
      <c r="W77" s="4">
        <v>-705173789520288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 t="s">
        <v>160</v>
      </c>
      <c r="AI77" s="1" t="s">
        <v>603</v>
      </c>
      <c r="AJ77" s="1" t="s">
        <v>106</v>
      </c>
      <c r="AK77" s="3">
        <v>43853.587187500001</v>
      </c>
      <c r="AL77" s="1" t="s">
        <v>384</v>
      </c>
      <c r="AM77" s="1"/>
      <c r="AN77" s="1" t="s">
        <v>117</v>
      </c>
    </row>
    <row r="78" spans="1:40">
      <c r="A78" s="1">
        <v>77</v>
      </c>
      <c r="B78" s="1">
        <v>5</v>
      </c>
      <c r="C78" s="1" t="s">
        <v>40</v>
      </c>
      <c r="D78" s="1" t="s">
        <v>283</v>
      </c>
      <c r="E78" s="1" t="s">
        <v>284</v>
      </c>
      <c r="F78" s="1">
        <v>501845575</v>
      </c>
      <c r="G78" s="1" t="s">
        <v>42</v>
      </c>
      <c r="H78" s="1" t="s">
        <v>77</v>
      </c>
      <c r="I78" s="1" t="s">
        <v>604</v>
      </c>
      <c r="J78" s="1">
        <v>50883179</v>
      </c>
      <c r="K78" s="7">
        <v>3224662312</v>
      </c>
      <c r="L78" s="7">
        <v>152448210991</v>
      </c>
      <c r="M78" s="1" t="s">
        <v>45</v>
      </c>
      <c r="N78" s="1" t="s">
        <v>605</v>
      </c>
      <c r="O78" s="3">
        <v>43852.698206018518</v>
      </c>
      <c r="P78" s="3">
        <v>43853.498310185183</v>
      </c>
      <c r="Q78" s="1" t="s">
        <v>606</v>
      </c>
      <c r="R78" s="1" t="s">
        <v>607</v>
      </c>
      <c r="S78" s="7">
        <f>622-85730522666</f>
        <v>-85730522044</v>
      </c>
      <c r="T78" s="1" t="s">
        <v>608</v>
      </c>
      <c r="U78" s="1" t="s">
        <v>609</v>
      </c>
      <c r="V78" s="4">
        <v>1123826</v>
      </c>
      <c r="W78" s="4">
        <v>-68762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 t="s">
        <v>95</v>
      </c>
      <c r="AI78" s="1" t="s">
        <v>610</v>
      </c>
      <c r="AJ78" s="1" t="s">
        <v>106</v>
      </c>
      <c r="AK78" s="3">
        <v>43854.446527777778</v>
      </c>
      <c r="AL78" s="1" t="s">
        <v>611</v>
      </c>
      <c r="AM78" s="1"/>
      <c r="AN78" s="1" t="s">
        <v>88</v>
      </c>
    </row>
    <row r="79" spans="1:40">
      <c r="A79" s="1">
        <v>78</v>
      </c>
      <c r="B79" s="1">
        <v>5</v>
      </c>
      <c r="C79" s="1" t="s">
        <v>40</v>
      </c>
      <c r="D79" s="1" t="s">
        <v>152</v>
      </c>
      <c r="E79" s="1" t="s">
        <v>181</v>
      </c>
      <c r="F79" s="1">
        <v>501853060</v>
      </c>
      <c r="G79" s="1" t="s">
        <v>42</v>
      </c>
      <c r="H79" s="1" t="s">
        <v>43</v>
      </c>
      <c r="I79" s="1" t="s">
        <v>612</v>
      </c>
      <c r="J79" s="1">
        <v>50904953</v>
      </c>
      <c r="K79" s="7"/>
      <c r="L79" s="7">
        <v>152446213532</v>
      </c>
      <c r="M79" s="1" t="s">
        <v>45</v>
      </c>
      <c r="N79" s="1" t="s">
        <v>613</v>
      </c>
      <c r="O79" s="3">
        <v>43853.405138888891</v>
      </c>
      <c r="P79" s="3">
        <v>43853.728842592594</v>
      </c>
      <c r="Q79" s="1" t="s">
        <v>614</v>
      </c>
      <c r="R79" s="1" t="s">
        <v>615</v>
      </c>
      <c r="S79" s="7">
        <f>62-851019921119</f>
        <v>-851019921057</v>
      </c>
      <c r="T79" s="1" t="s">
        <v>616</v>
      </c>
      <c r="U79" s="1" t="s">
        <v>617</v>
      </c>
      <c r="V79" s="4">
        <v>1125996395109680</v>
      </c>
      <c r="W79" s="4">
        <v>-723875109024813</v>
      </c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 t="s">
        <v>51</v>
      </c>
      <c r="AI79" s="1" t="s">
        <v>618</v>
      </c>
      <c r="AJ79" s="1" t="s">
        <v>106</v>
      </c>
      <c r="AK79" s="3">
        <v>43856.348645833335</v>
      </c>
      <c r="AL79" s="1" t="s">
        <v>384</v>
      </c>
      <c r="AM79" s="1"/>
      <c r="AN79" s="1" t="s">
        <v>117</v>
      </c>
    </row>
    <row r="80" spans="1:40">
      <c r="A80" s="1">
        <v>79</v>
      </c>
      <c r="B80" s="1">
        <v>5</v>
      </c>
      <c r="C80" s="1" t="s">
        <v>40</v>
      </c>
      <c r="D80" s="1" t="s">
        <v>152</v>
      </c>
      <c r="E80" s="1" t="s">
        <v>200</v>
      </c>
      <c r="F80" s="1">
        <v>501860284</v>
      </c>
      <c r="G80" s="1" t="s">
        <v>42</v>
      </c>
      <c r="H80" s="1" t="s">
        <v>43</v>
      </c>
      <c r="I80" s="1" t="s">
        <v>619</v>
      </c>
      <c r="J80" s="1">
        <v>50908423</v>
      </c>
      <c r="K80" s="7">
        <v>3199101068</v>
      </c>
      <c r="L80" s="7">
        <v>152412201387</v>
      </c>
      <c r="M80" s="1" t="s">
        <v>620</v>
      </c>
      <c r="N80" s="1" t="s">
        <v>621</v>
      </c>
      <c r="O80" s="3">
        <v>43853.567233796297</v>
      </c>
      <c r="P80" s="3">
        <v>43860.614062499997</v>
      </c>
      <c r="Q80" s="1" t="s">
        <v>622</v>
      </c>
      <c r="R80" s="1" t="s">
        <v>623</v>
      </c>
      <c r="S80" s="7">
        <f>62-81334238330</f>
        <v>-81334238268</v>
      </c>
      <c r="T80" s="1" t="s">
        <v>624</v>
      </c>
      <c r="U80" s="1" t="s">
        <v>625</v>
      </c>
      <c r="V80" s="4">
        <v>1126182932570760</v>
      </c>
      <c r="W80" s="4">
        <v>-715300834551179</v>
      </c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 t="s">
        <v>51</v>
      </c>
      <c r="AI80" s="1" t="s">
        <v>626</v>
      </c>
      <c r="AJ80" s="1" t="s">
        <v>106</v>
      </c>
      <c r="AK80" s="3">
        <v>43856.351585648146</v>
      </c>
      <c r="AL80" s="1" t="s">
        <v>627</v>
      </c>
      <c r="AM80" s="1"/>
      <c r="AN80" s="1" t="s">
        <v>117</v>
      </c>
    </row>
    <row r="81" spans="1:40">
      <c r="A81" s="1">
        <v>80</v>
      </c>
      <c r="B81" s="1">
        <v>5</v>
      </c>
      <c r="C81" s="1" t="s">
        <v>40</v>
      </c>
      <c r="D81" s="1" t="s">
        <v>40</v>
      </c>
      <c r="E81" s="1" t="s">
        <v>118</v>
      </c>
      <c r="F81" s="1">
        <v>501865447</v>
      </c>
      <c r="G81" s="1" t="s">
        <v>42</v>
      </c>
      <c r="H81" s="1" t="s">
        <v>56</v>
      </c>
      <c r="I81" s="1" t="s">
        <v>628</v>
      </c>
      <c r="J81" s="1">
        <v>16739820</v>
      </c>
      <c r="K81" s="7">
        <v>3137396132</v>
      </c>
      <c r="L81" s="7"/>
      <c r="M81" s="1" t="s">
        <v>45</v>
      </c>
      <c r="N81" s="1" t="s">
        <v>629</v>
      </c>
      <c r="O81" s="3">
        <v>43853.655509259261</v>
      </c>
      <c r="P81" s="3">
        <v>43853.769085648149</v>
      </c>
      <c r="Q81" s="1" t="s">
        <v>630</v>
      </c>
      <c r="R81" s="1" t="s">
        <v>122</v>
      </c>
      <c r="S81" s="7">
        <f>62-8563567453</f>
        <v>-8563567391</v>
      </c>
      <c r="T81" s="1" t="s">
        <v>123</v>
      </c>
      <c r="U81" s="1" t="s">
        <v>631</v>
      </c>
      <c r="V81" s="4">
        <v>1127678211500490</v>
      </c>
      <c r="W81" s="4">
        <v>-724646595749409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 t="s">
        <v>160</v>
      </c>
      <c r="AI81" s="1" t="s">
        <v>632</v>
      </c>
      <c r="AJ81" s="1" t="s">
        <v>126</v>
      </c>
      <c r="AK81" s="3">
        <v>43854.448564814818</v>
      </c>
      <c r="AL81" s="1" t="s">
        <v>596</v>
      </c>
      <c r="AM81" s="1"/>
      <c r="AN81" s="1" t="s">
        <v>128</v>
      </c>
    </row>
    <row r="82" spans="1:40">
      <c r="A82" s="1">
        <v>81</v>
      </c>
      <c r="B82" s="1">
        <v>5</v>
      </c>
      <c r="C82" s="1" t="s">
        <v>40</v>
      </c>
      <c r="D82" s="1" t="s">
        <v>40</v>
      </c>
      <c r="E82" s="1" t="s">
        <v>118</v>
      </c>
      <c r="F82" s="1">
        <v>501865656</v>
      </c>
      <c r="G82" s="1" t="s">
        <v>42</v>
      </c>
      <c r="H82" s="1" t="s">
        <v>56</v>
      </c>
      <c r="I82" s="1" t="s">
        <v>633</v>
      </c>
      <c r="J82" s="1">
        <v>16739820</v>
      </c>
      <c r="K82" s="7">
        <v>3137396539</v>
      </c>
      <c r="L82" s="7"/>
      <c r="M82" s="1" t="s">
        <v>45</v>
      </c>
      <c r="N82" s="1" t="s">
        <v>634</v>
      </c>
      <c r="O82" s="3">
        <v>43853.659224537034</v>
      </c>
      <c r="P82" s="3">
        <v>43853.769791666666</v>
      </c>
      <c r="Q82" s="1" t="s">
        <v>635</v>
      </c>
      <c r="R82" s="1" t="s">
        <v>122</v>
      </c>
      <c r="S82" s="7">
        <f>62-8563567453</f>
        <v>-8563567391</v>
      </c>
      <c r="T82" s="1" t="s">
        <v>123</v>
      </c>
      <c r="U82" s="1" t="s">
        <v>636</v>
      </c>
      <c r="V82" s="4">
        <v>1127703452110290</v>
      </c>
      <c r="W82" s="4">
        <v>-724628005463453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 t="s">
        <v>160</v>
      </c>
      <c r="AI82" s="1" t="s">
        <v>632</v>
      </c>
      <c r="AJ82" s="1" t="s">
        <v>126</v>
      </c>
      <c r="AK82" s="3">
        <v>43854.44903935185</v>
      </c>
      <c r="AL82" s="1" t="s">
        <v>596</v>
      </c>
      <c r="AM82" s="1"/>
      <c r="AN82" s="1" t="s">
        <v>128</v>
      </c>
    </row>
    <row r="83" spans="1:40">
      <c r="A83" s="1">
        <v>82</v>
      </c>
      <c r="B83" s="1">
        <v>5</v>
      </c>
      <c r="C83" s="1" t="s">
        <v>40</v>
      </c>
      <c r="D83" s="1" t="s">
        <v>40</v>
      </c>
      <c r="E83" s="1" t="s">
        <v>118</v>
      </c>
      <c r="F83" s="1">
        <v>501865879</v>
      </c>
      <c r="G83" s="1" t="s">
        <v>42</v>
      </c>
      <c r="H83" s="1" t="s">
        <v>56</v>
      </c>
      <c r="I83" s="1" t="s">
        <v>633</v>
      </c>
      <c r="J83" s="1">
        <v>16739820</v>
      </c>
      <c r="K83" s="7">
        <v>3137397236</v>
      </c>
      <c r="L83" s="7"/>
      <c r="M83" s="1" t="s">
        <v>45</v>
      </c>
      <c r="N83" s="1" t="s">
        <v>637</v>
      </c>
      <c r="O83" s="3">
        <v>43853.662731481483</v>
      </c>
      <c r="P83" s="3">
        <v>43853.771886574075</v>
      </c>
      <c r="Q83" s="1" t="s">
        <v>638</v>
      </c>
      <c r="R83" s="1" t="s">
        <v>122</v>
      </c>
      <c r="S83" s="7">
        <f>62-8563567453</f>
        <v>-8563567391</v>
      </c>
      <c r="T83" s="1" t="s">
        <v>123</v>
      </c>
      <c r="U83" s="1" t="s">
        <v>631</v>
      </c>
      <c r="V83" s="4">
        <v>1127680550340140</v>
      </c>
      <c r="W83" s="4">
        <v>-724557621322406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 t="s">
        <v>160</v>
      </c>
      <c r="AI83" s="1" t="s">
        <v>632</v>
      </c>
      <c r="AJ83" s="1" t="s">
        <v>126</v>
      </c>
      <c r="AK83" s="3">
        <v>43854.44939814815</v>
      </c>
      <c r="AL83" s="1" t="s">
        <v>596</v>
      </c>
      <c r="AM83" s="1"/>
      <c r="AN83" s="1" t="s">
        <v>128</v>
      </c>
    </row>
    <row r="84" spans="1:40">
      <c r="A84" s="1">
        <v>83</v>
      </c>
      <c r="B84" s="1">
        <v>5</v>
      </c>
      <c r="C84" s="1" t="s">
        <v>40</v>
      </c>
      <c r="D84" s="1" t="s">
        <v>152</v>
      </c>
      <c r="E84" s="1" t="s">
        <v>230</v>
      </c>
      <c r="F84" s="1">
        <v>501873288</v>
      </c>
      <c r="G84" s="1" t="s">
        <v>42</v>
      </c>
      <c r="H84" s="1" t="s">
        <v>43</v>
      </c>
      <c r="I84" s="1" t="s">
        <v>639</v>
      </c>
      <c r="J84" s="1">
        <v>50914524</v>
      </c>
      <c r="K84" s="7">
        <v>3199115137</v>
      </c>
      <c r="L84" s="7">
        <v>152451201672</v>
      </c>
      <c r="M84" s="1" t="s">
        <v>361</v>
      </c>
      <c r="N84" s="1" t="s">
        <v>640</v>
      </c>
      <c r="O84" s="3">
        <v>43854.38212962963</v>
      </c>
      <c r="P84" s="3">
        <v>43854.414502314816</v>
      </c>
      <c r="Q84" s="1" t="s">
        <v>641</v>
      </c>
      <c r="R84" s="1" t="s">
        <v>642</v>
      </c>
      <c r="S84" s="7">
        <f>62-81332040101</f>
        <v>-81332040039</v>
      </c>
      <c r="T84" s="1" t="s">
        <v>643</v>
      </c>
      <c r="U84" s="1" t="s">
        <v>644</v>
      </c>
      <c r="V84" s="4">
        <v>1124339060450190</v>
      </c>
      <c r="W84" s="4">
        <v>-693933760633976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 t="s">
        <v>177</v>
      </c>
      <c r="AI84" s="5">
        <v>43854</v>
      </c>
      <c r="AJ84" s="1" t="s">
        <v>481</v>
      </c>
      <c r="AK84" s="3">
        <v>43854.86204861111</v>
      </c>
      <c r="AL84" s="1" t="s">
        <v>645</v>
      </c>
      <c r="AM84" s="1"/>
      <c r="AN84" s="1" t="s">
        <v>117</v>
      </c>
    </row>
    <row r="85" spans="1:40">
      <c r="A85" s="1">
        <v>84</v>
      </c>
      <c r="B85" s="1">
        <v>5</v>
      </c>
      <c r="C85" s="1" t="s">
        <v>40</v>
      </c>
      <c r="D85" s="1" t="s">
        <v>152</v>
      </c>
      <c r="E85" s="1" t="s">
        <v>153</v>
      </c>
      <c r="F85" s="1">
        <v>501875291</v>
      </c>
      <c r="G85" s="1" t="s">
        <v>42</v>
      </c>
      <c r="H85" s="1"/>
      <c r="I85" s="1" t="s">
        <v>646</v>
      </c>
      <c r="J85" s="1">
        <v>50816576</v>
      </c>
      <c r="K85" s="7">
        <v>3199110203</v>
      </c>
      <c r="L85" s="7">
        <v>152442214734</v>
      </c>
      <c r="M85" s="1" t="s">
        <v>45</v>
      </c>
      <c r="N85" s="1" t="s">
        <v>647</v>
      </c>
      <c r="O85" s="3">
        <v>43854.41920138889</v>
      </c>
      <c r="P85" s="3">
        <v>43854.717083333337</v>
      </c>
      <c r="Q85" s="1" t="s">
        <v>648</v>
      </c>
      <c r="R85" s="1" t="s">
        <v>649</v>
      </c>
      <c r="S85" s="7">
        <f>622-81217631127</f>
        <v>-81217630505</v>
      </c>
      <c r="T85" s="1" t="s">
        <v>650</v>
      </c>
      <c r="U85" s="1" t="s">
        <v>651</v>
      </c>
      <c r="V85" s="4">
        <v>11259199822</v>
      </c>
      <c r="W85" s="4">
        <v>-7290802258</v>
      </c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 t="s">
        <v>160</v>
      </c>
      <c r="AI85" s="1" t="s">
        <v>652</v>
      </c>
      <c r="AJ85" s="1" t="s">
        <v>106</v>
      </c>
      <c r="AK85" s="3">
        <v>43859.389548611114</v>
      </c>
      <c r="AL85" s="1" t="s">
        <v>180</v>
      </c>
      <c r="AM85" s="1"/>
      <c r="AN85" s="1" t="s">
        <v>88</v>
      </c>
    </row>
    <row r="86" spans="1:40">
      <c r="A86" s="1">
        <v>85</v>
      </c>
      <c r="B86" s="1">
        <v>5</v>
      </c>
      <c r="C86" s="1" t="s">
        <v>40</v>
      </c>
      <c r="D86" s="1" t="s">
        <v>283</v>
      </c>
      <c r="E86" s="1" t="s">
        <v>440</v>
      </c>
      <c r="F86" s="1">
        <v>501876313</v>
      </c>
      <c r="G86" s="1" t="s">
        <v>42</v>
      </c>
      <c r="H86" s="1" t="s">
        <v>77</v>
      </c>
      <c r="I86" s="1" t="s">
        <v>653</v>
      </c>
      <c r="J86" s="1">
        <v>50904485</v>
      </c>
      <c r="K86" s="7">
        <v>3224652965</v>
      </c>
      <c r="L86" s="7">
        <v>152441210022</v>
      </c>
      <c r="M86" s="1" t="s">
        <v>45</v>
      </c>
      <c r="N86" s="1" t="s">
        <v>654</v>
      </c>
      <c r="O86" s="3">
        <v>43854.437152777777</v>
      </c>
      <c r="P86" s="3">
        <v>43854.44902777778</v>
      </c>
      <c r="Q86" s="1" t="s">
        <v>655</v>
      </c>
      <c r="R86" s="1" t="s">
        <v>656</v>
      </c>
      <c r="S86" s="7">
        <f>622-85840255565</f>
        <v>-85840254943</v>
      </c>
      <c r="T86" s="1" t="s">
        <v>657</v>
      </c>
      <c r="U86" s="1" t="s">
        <v>658</v>
      </c>
      <c r="V86" s="4">
        <v>1122472294</v>
      </c>
      <c r="W86" s="4">
        <v>-7099209458</v>
      </c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 t="s">
        <v>160</v>
      </c>
      <c r="AI86" s="1" t="s">
        <v>659</v>
      </c>
      <c r="AJ86" s="1" t="s">
        <v>292</v>
      </c>
      <c r="AK86" s="3">
        <v>43859.450925925928</v>
      </c>
      <c r="AL86" s="1" t="s">
        <v>660</v>
      </c>
      <c r="AM86" s="1"/>
      <c r="AN86" s="1" t="s">
        <v>88</v>
      </c>
    </row>
    <row r="87" spans="1:40">
      <c r="A87" s="1">
        <v>86</v>
      </c>
      <c r="B87" s="1">
        <v>5</v>
      </c>
      <c r="C87" s="1" t="s">
        <v>40</v>
      </c>
      <c r="D87" s="1" t="s">
        <v>40</v>
      </c>
      <c r="E87" s="1" t="s">
        <v>376</v>
      </c>
      <c r="F87" s="1">
        <v>501880340</v>
      </c>
      <c r="G87" s="1" t="s">
        <v>42</v>
      </c>
      <c r="H87" s="1" t="s">
        <v>56</v>
      </c>
      <c r="I87" s="1" t="s">
        <v>661</v>
      </c>
      <c r="J87" s="1">
        <v>50917590</v>
      </c>
      <c r="K87" s="7"/>
      <c r="L87" s="7">
        <v>152424241437</v>
      </c>
      <c r="M87" s="1" t="s">
        <v>99</v>
      </c>
      <c r="N87" s="1" t="s">
        <v>99</v>
      </c>
      <c r="O87" s="3">
        <v>43854.549814814818</v>
      </c>
      <c r="P87" s="3">
        <v>43854.549814814818</v>
      </c>
      <c r="Q87" s="1" t="s">
        <v>662</v>
      </c>
      <c r="R87" s="1" t="s">
        <v>663</v>
      </c>
      <c r="S87" s="7">
        <f>62-818742574</f>
        <v>-818742512</v>
      </c>
      <c r="T87" s="1" t="s">
        <v>664</v>
      </c>
      <c r="U87" s="1" t="s">
        <v>665</v>
      </c>
      <c r="V87" s="4">
        <v>1126631975553920</v>
      </c>
      <c r="W87" s="4">
        <v>-731056942130488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 t="s">
        <v>143</v>
      </c>
      <c r="AI87" s="5">
        <v>43855</v>
      </c>
      <c r="AJ87" s="1" t="s">
        <v>144</v>
      </c>
      <c r="AK87" s="3">
        <v>43854.57</v>
      </c>
      <c r="AL87" s="1" t="s">
        <v>666</v>
      </c>
      <c r="AM87" s="1"/>
      <c r="AN87" s="1" t="s">
        <v>117</v>
      </c>
    </row>
    <row r="88" spans="1:40">
      <c r="A88" s="1">
        <v>87</v>
      </c>
      <c r="B88" s="1">
        <v>5</v>
      </c>
      <c r="C88" s="1" t="s">
        <v>40</v>
      </c>
      <c r="D88" s="1" t="s">
        <v>152</v>
      </c>
      <c r="E88" s="1" t="s">
        <v>181</v>
      </c>
      <c r="F88" s="1">
        <v>501880760</v>
      </c>
      <c r="G88" s="1" t="s">
        <v>42</v>
      </c>
      <c r="H88" s="1" t="s">
        <v>56</v>
      </c>
      <c r="I88" s="1" t="s">
        <v>667</v>
      </c>
      <c r="J88" s="1">
        <v>50917844</v>
      </c>
      <c r="K88" s="7"/>
      <c r="L88" s="7">
        <v>152446213385</v>
      </c>
      <c r="M88" s="1" t="s">
        <v>45</v>
      </c>
      <c r="N88" s="1" t="s">
        <v>668</v>
      </c>
      <c r="O88" s="3">
        <v>43854.562824074077</v>
      </c>
      <c r="P88" s="3">
        <v>43854.733784722222</v>
      </c>
      <c r="Q88" s="1" t="s">
        <v>669</v>
      </c>
      <c r="R88" s="1" t="s">
        <v>670</v>
      </c>
      <c r="S88" s="7">
        <f>62-81230733139</f>
        <v>-81230733077</v>
      </c>
      <c r="T88" s="1" t="s">
        <v>671</v>
      </c>
      <c r="U88" s="1" t="s">
        <v>672</v>
      </c>
      <c r="V88" s="4">
        <v>1126020370049100</v>
      </c>
      <c r="W88" s="4">
        <v>-725688468300925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 t="s">
        <v>160</v>
      </c>
      <c r="AI88" s="1" t="s">
        <v>673</v>
      </c>
      <c r="AJ88" s="1" t="s">
        <v>106</v>
      </c>
      <c r="AK88" s="3">
        <v>43859.390092592592</v>
      </c>
      <c r="AL88" s="1" t="s">
        <v>674</v>
      </c>
      <c r="AM88" s="1"/>
      <c r="AN88" s="1" t="s">
        <v>88</v>
      </c>
    </row>
    <row r="89" spans="1:40">
      <c r="A89" s="1">
        <v>88</v>
      </c>
      <c r="B89" s="1">
        <v>5</v>
      </c>
      <c r="C89" s="1" t="s">
        <v>40</v>
      </c>
      <c r="D89" s="1" t="s">
        <v>40</v>
      </c>
      <c r="E89" s="1" t="s">
        <v>41</v>
      </c>
      <c r="F89" s="1">
        <v>501888762</v>
      </c>
      <c r="G89" s="1" t="s">
        <v>42</v>
      </c>
      <c r="H89" s="1" t="s">
        <v>56</v>
      </c>
      <c r="I89" s="1" t="s">
        <v>675</v>
      </c>
      <c r="J89" s="1">
        <v>50921162</v>
      </c>
      <c r="K89" s="7">
        <v>3199249967</v>
      </c>
      <c r="L89" s="7"/>
      <c r="M89" s="1" t="s">
        <v>45</v>
      </c>
      <c r="N89" s="1" t="s">
        <v>676</v>
      </c>
      <c r="O89" s="3">
        <v>43854.714004629626</v>
      </c>
      <c r="P89" s="3">
        <v>43854.827499999999</v>
      </c>
      <c r="Q89" s="1" t="s">
        <v>677</v>
      </c>
      <c r="R89" s="1" t="s">
        <v>678</v>
      </c>
      <c r="S89" s="7">
        <f>62-82143419291</f>
        <v>-82143419229</v>
      </c>
      <c r="T89" s="1" t="s">
        <v>679</v>
      </c>
      <c r="U89" s="1" t="s">
        <v>680</v>
      </c>
      <c r="V89" s="4">
        <v>1127440410183850</v>
      </c>
      <c r="W89" s="4">
        <v>-726825021970705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 t="s">
        <v>177</v>
      </c>
      <c r="AI89" s="5">
        <v>43854</v>
      </c>
      <c r="AJ89" s="1" t="s">
        <v>64</v>
      </c>
      <c r="AK89" s="3">
        <v>43854.825821759259</v>
      </c>
      <c r="AL89" s="1" t="s">
        <v>681</v>
      </c>
      <c r="AM89" s="1"/>
      <c r="AN89" s="1" t="s">
        <v>439</v>
      </c>
    </row>
    <row r="90" spans="1:40">
      <c r="A90" s="1">
        <v>89</v>
      </c>
      <c r="B90" s="1">
        <v>5</v>
      </c>
      <c r="C90" s="1" t="s">
        <v>40</v>
      </c>
      <c r="D90" s="1" t="s">
        <v>152</v>
      </c>
      <c r="E90" s="1" t="s">
        <v>181</v>
      </c>
      <c r="F90" s="1">
        <v>501889897</v>
      </c>
      <c r="G90" s="1" t="s">
        <v>42</v>
      </c>
      <c r="H90" s="1"/>
      <c r="I90" s="1" t="s">
        <v>682</v>
      </c>
      <c r="J90" s="1">
        <v>50888811</v>
      </c>
      <c r="K90" s="7">
        <v>3179972918</v>
      </c>
      <c r="L90" s="7">
        <v>152446213967</v>
      </c>
      <c r="M90" s="1" t="s">
        <v>361</v>
      </c>
      <c r="N90" s="1" t="s">
        <v>683</v>
      </c>
      <c r="O90" s="3">
        <v>43854.764988425923</v>
      </c>
      <c r="P90" s="3">
        <v>43854.766574074078</v>
      </c>
      <c r="Q90" s="1" t="s">
        <v>684</v>
      </c>
      <c r="R90" s="1" t="s">
        <v>685</v>
      </c>
      <c r="S90" s="7">
        <f>622-81235379958</f>
        <v>-81235379336</v>
      </c>
      <c r="T90" s="1" t="s">
        <v>686</v>
      </c>
      <c r="U90" s="1" t="s">
        <v>687</v>
      </c>
      <c r="V90" s="4">
        <v>112570918</v>
      </c>
      <c r="W90" s="4">
        <v>-7218116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 t="s">
        <v>177</v>
      </c>
      <c r="AI90" s="5">
        <v>43852</v>
      </c>
      <c r="AJ90" s="1" t="s">
        <v>481</v>
      </c>
      <c r="AK90" s="3">
        <v>43854.863321759258</v>
      </c>
      <c r="AL90" s="1" t="s">
        <v>97</v>
      </c>
      <c r="AM90" s="1"/>
      <c r="AN90" s="1" t="s">
        <v>88</v>
      </c>
    </row>
    <row r="91" spans="1:40">
      <c r="A91" s="1">
        <v>90</v>
      </c>
      <c r="B91" s="1">
        <v>5</v>
      </c>
      <c r="C91" s="1" t="s">
        <v>40</v>
      </c>
      <c r="D91" s="1" t="s">
        <v>152</v>
      </c>
      <c r="E91" s="1" t="s">
        <v>200</v>
      </c>
      <c r="F91" s="1">
        <v>501890387</v>
      </c>
      <c r="G91" s="1" t="s">
        <v>42</v>
      </c>
      <c r="H91" s="1"/>
      <c r="I91" s="1" t="s">
        <v>688</v>
      </c>
      <c r="J91" s="1">
        <v>50889785</v>
      </c>
      <c r="K91" s="7">
        <v>3199101788</v>
      </c>
      <c r="L91" s="7">
        <v>152412200173</v>
      </c>
      <c r="M91" s="1" t="s">
        <v>361</v>
      </c>
      <c r="N91" s="1" t="s">
        <v>689</v>
      </c>
      <c r="O91" s="3">
        <v>43854.812916666669</v>
      </c>
      <c r="P91" s="3">
        <v>43854.814467592594</v>
      </c>
      <c r="Q91" s="1" t="s">
        <v>690</v>
      </c>
      <c r="R91" s="1" t="s">
        <v>691</v>
      </c>
      <c r="S91" s="7">
        <f>622-83110599558</f>
        <v>-83110598936</v>
      </c>
      <c r="T91" s="1" t="s">
        <v>692</v>
      </c>
      <c r="U91" s="1" t="s">
        <v>693</v>
      </c>
      <c r="V91" s="4">
        <v>11261630915</v>
      </c>
      <c r="W91" s="4">
        <v>-7142202086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 t="s">
        <v>177</v>
      </c>
      <c r="AI91" s="1" t="s">
        <v>694</v>
      </c>
      <c r="AJ91" s="1" t="s">
        <v>481</v>
      </c>
      <c r="AK91" s="3">
        <v>43854.863506944443</v>
      </c>
      <c r="AL91" s="1" t="s">
        <v>97</v>
      </c>
      <c r="AM91" s="1"/>
      <c r="AN91" s="1" t="s">
        <v>88</v>
      </c>
    </row>
    <row r="92" spans="1:40">
      <c r="A92" s="1">
        <v>91</v>
      </c>
      <c r="B92" s="1">
        <v>5</v>
      </c>
      <c r="C92" s="1" t="s">
        <v>40</v>
      </c>
      <c r="D92" s="1" t="s">
        <v>152</v>
      </c>
      <c r="E92" s="1" t="s">
        <v>153</v>
      </c>
      <c r="F92" s="1">
        <v>501892140</v>
      </c>
      <c r="G92" s="1" t="s">
        <v>42</v>
      </c>
      <c r="H92" s="1" t="s">
        <v>77</v>
      </c>
      <c r="I92" s="1" t="s">
        <v>695</v>
      </c>
      <c r="J92" s="1">
        <v>50527745</v>
      </c>
      <c r="K92" s="7">
        <v>3199009428</v>
      </c>
      <c r="L92" s="7">
        <v>152442214756</v>
      </c>
      <c r="M92" s="1" t="s">
        <v>45</v>
      </c>
      <c r="N92" s="1" t="s">
        <v>696</v>
      </c>
      <c r="O92" s="3">
        <v>43855.442627314813</v>
      </c>
      <c r="P92" s="3">
        <v>43859.616296296299</v>
      </c>
      <c r="Q92" s="1" t="s">
        <v>697</v>
      </c>
      <c r="R92" s="1" t="s">
        <v>698</v>
      </c>
      <c r="S92" s="7">
        <f>622-85733201837</f>
        <v>-85733201215</v>
      </c>
      <c r="T92" s="1" t="s">
        <v>699</v>
      </c>
      <c r="U92" s="1" t="s">
        <v>700</v>
      </c>
      <c r="V92" s="4">
        <v>1126144</v>
      </c>
      <c r="W92" s="4">
        <v>-72893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 t="s">
        <v>51</v>
      </c>
      <c r="AI92" s="1" t="s">
        <v>529</v>
      </c>
      <c r="AJ92" s="1" t="s">
        <v>106</v>
      </c>
      <c r="AK92" s="3">
        <v>43860.404467592591</v>
      </c>
      <c r="AL92" s="1" t="s">
        <v>701</v>
      </c>
      <c r="AM92" s="1"/>
      <c r="AN92" s="1" t="s">
        <v>88</v>
      </c>
    </row>
    <row r="93" spans="1:40">
      <c r="A93" s="1">
        <v>92</v>
      </c>
      <c r="B93" s="1">
        <v>5</v>
      </c>
      <c r="C93" s="1" t="s">
        <v>40</v>
      </c>
      <c r="D93" s="1" t="s">
        <v>152</v>
      </c>
      <c r="E93" s="1" t="s">
        <v>200</v>
      </c>
      <c r="F93" s="1">
        <v>501898543</v>
      </c>
      <c r="G93" s="1" t="s">
        <v>42</v>
      </c>
      <c r="H93" s="1" t="s">
        <v>77</v>
      </c>
      <c r="I93" s="1" t="s">
        <v>702</v>
      </c>
      <c r="J93" s="1">
        <v>50924277</v>
      </c>
      <c r="K93" s="7">
        <v>3199101832</v>
      </c>
      <c r="L93" s="7">
        <v>152412202460</v>
      </c>
      <c r="M93" s="1" t="s">
        <v>45</v>
      </c>
      <c r="N93" s="1" t="s">
        <v>703</v>
      </c>
      <c r="O93" s="3">
        <v>43856.378622685188</v>
      </c>
      <c r="P93" s="3">
        <v>43857.540601851855</v>
      </c>
      <c r="Q93" s="1" t="s">
        <v>704</v>
      </c>
      <c r="R93" s="1" t="s">
        <v>705</v>
      </c>
      <c r="S93" s="7">
        <f>622-85730129639</f>
        <v>-85730129017</v>
      </c>
      <c r="T93" s="1" t="s">
        <v>706</v>
      </c>
      <c r="U93" s="1" t="s">
        <v>707</v>
      </c>
      <c r="V93" s="4">
        <v>1125974</v>
      </c>
      <c r="W93" s="4">
        <v>-71486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 t="s">
        <v>95</v>
      </c>
      <c r="AI93" s="1" t="s">
        <v>708</v>
      </c>
      <c r="AJ93" s="1" t="s">
        <v>106</v>
      </c>
      <c r="AK93" s="3">
        <v>43857.629606481481</v>
      </c>
      <c r="AL93" s="1" t="s">
        <v>180</v>
      </c>
      <c r="AM93" s="1"/>
      <c r="AN93" s="1" t="s">
        <v>88</v>
      </c>
    </row>
    <row r="94" spans="1:40">
      <c r="A94" s="1">
        <v>93</v>
      </c>
      <c r="B94" s="1">
        <v>5</v>
      </c>
      <c r="C94" s="1" t="s">
        <v>40</v>
      </c>
      <c r="D94" s="1" t="s">
        <v>152</v>
      </c>
      <c r="E94" s="1" t="s">
        <v>200</v>
      </c>
      <c r="F94" s="1">
        <v>501898590</v>
      </c>
      <c r="G94" s="1" t="s">
        <v>42</v>
      </c>
      <c r="H94" s="1" t="s">
        <v>77</v>
      </c>
      <c r="I94" s="1" t="s">
        <v>702</v>
      </c>
      <c r="J94" s="1">
        <v>50924277</v>
      </c>
      <c r="K94" s="7">
        <v>3199101832</v>
      </c>
      <c r="L94" s="7">
        <v>152412202460</v>
      </c>
      <c r="M94" s="1" t="s">
        <v>361</v>
      </c>
      <c r="N94" s="1" t="s">
        <v>709</v>
      </c>
      <c r="O94" s="3">
        <v>43856.37939814815</v>
      </c>
      <c r="P94" s="3">
        <v>43858.64571759259</v>
      </c>
      <c r="Q94" s="1" t="s">
        <v>710</v>
      </c>
      <c r="R94" s="1" t="s">
        <v>705</v>
      </c>
      <c r="S94" s="7">
        <f>622-85730129639</f>
        <v>-85730129017</v>
      </c>
      <c r="T94" s="1" t="s">
        <v>706</v>
      </c>
      <c r="U94" s="1" t="s">
        <v>707</v>
      </c>
      <c r="V94" s="4">
        <v>1125974</v>
      </c>
      <c r="W94" s="4">
        <v>-71486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 t="s">
        <v>177</v>
      </c>
      <c r="AI94" s="5">
        <v>43857</v>
      </c>
      <c r="AJ94" s="1" t="s">
        <v>711</v>
      </c>
      <c r="AK94" s="3">
        <v>43856.815879629627</v>
      </c>
      <c r="AL94" s="1" t="s">
        <v>180</v>
      </c>
      <c r="AM94" s="1"/>
      <c r="AN94" s="1" t="s">
        <v>88</v>
      </c>
    </row>
    <row r="95" spans="1:40">
      <c r="A95" s="1">
        <v>94</v>
      </c>
      <c r="B95" s="1">
        <v>5</v>
      </c>
      <c r="C95" s="1" t="s">
        <v>40</v>
      </c>
      <c r="D95" s="1" t="s">
        <v>152</v>
      </c>
      <c r="E95" s="1" t="s">
        <v>200</v>
      </c>
      <c r="F95" s="1">
        <v>501898655</v>
      </c>
      <c r="G95" s="1" t="s">
        <v>42</v>
      </c>
      <c r="H95" s="1" t="s">
        <v>77</v>
      </c>
      <c r="I95" s="1" t="s">
        <v>712</v>
      </c>
      <c r="J95" s="1">
        <v>50925860</v>
      </c>
      <c r="K95" s="7">
        <v>3199101474</v>
      </c>
      <c r="L95" s="7">
        <v>152412200832</v>
      </c>
      <c r="M95" s="1" t="s">
        <v>361</v>
      </c>
      <c r="N95" s="1" t="s">
        <v>713</v>
      </c>
      <c r="O95" s="3">
        <v>43856.386724537035</v>
      </c>
      <c r="P95" s="3">
        <v>43857.735520833332</v>
      </c>
      <c r="Q95" s="1" t="s">
        <v>714</v>
      </c>
      <c r="R95" s="1" t="s">
        <v>715</v>
      </c>
      <c r="S95" s="7">
        <f>622-85785066599</f>
        <v>-85785065977</v>
      </c>
      <c r="T95" s="1" t="s">
        <v>716</v>
      </c>
      <c r="U95" s="1" t="s">
        <v>717</v>
      </c>
      <c r="V95" s="4">
        <v>11260202</v>
      </c>
      <c r="W95" s="4">
        <v>-714946</v>
      </c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 t="s">
        <v>177</v>
      </c>
      <c r="AI95" s="5">
        <v>43856</v>
      </c>
      <c r="AJ95" s="1" t="s">
        <v>711</v>
      </c>
      <c r="AK95" s="3">
        <v>43857.835601851853</v>
      </c>
      <c r="AL95" s="1" t="s">
        <v>293</v>
      </c>
      <c r="AM95" s="1"/>
      <c r="AN95" s="1" t="s">
        <v>88</v>
      </c>
    </row>
    <row r="96" spans="1:40">
      <c r="A96" s="1">
        <v>95</v>
      </c>
      <c r="B96" s="1">
        <v>5</v>
      </c>
      <c r="C96" s="1" t="s">
        <v>40</v>
      </c>
      <c r="D96" s="1" t="s">
        <v>152</v>
      </c>
      <c r="E96" s="1" t="s">
        <v>200</v>
      </c>
      <c r="F96" s="1">
        <v>501898763</v>
      </c>
      <c r="G96" s="1" t="s">
        <v>42</v>
      </c>
      <c r="H96" s="1" t="s">
        <v>77</v>
      </c>
      <c r="I96" s="1" t="s">
        <v>718</v>
      </c>
      <c r="J96" s="1">
        <v>50920460</v>
      </c>
      <c r="K96" s="7">
        <v>3199101776</v>
      </c>
      <c r="L96" s="7">
        <v>152412208417</v>
      </c>
      <c r="M96" s="1" t="s">
        <v>361</v>
      </c>
      <c r="N96" s="1" t="s">
        <v>719</v>
      </c>
      <c r="O96" s="3">
        <v>43856.394062500003</v>
      </c>
      <c r="P96" s="3">
        <v>43857.548981481479</v>
      </c>
      <c r="Q96" s="1" t="s">
        <v>720</v>
      </c>
      <c r="R96" s="1" t="s">
        <v>721</v>
      </c>
      <c r="S96" s="7">
        <f>622-82234743401</f>
        <v>-82234742779</v>
      </c>
      <c r="T96" s="1" t="s">
        <v>722</v>
      </c>
      <c r="U96" s="1" t="s">
        <v>723</v>
      </c>
      <c r="V96" s="4">
        <v>11265605178</v>
      </c>
      <c r="W96" s="4">
        <v>-7176418017</v>
      </c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 t="s">
        <v>177</v>
      </c>
      <c r="AI96" s="5">
        <v>43856</v>
      </c>
      <c r="AJ96" s="1" t="s">
        <v>711</v>
      </c>
      <c r="AK96" s="3">
        <v>43857.835648148146</v>
      </c>
      <c r="AL96" s="1" t="s">
        <v>97</v>
      </c>
      <c r="AM96" s="1"/>
      <c r="AN96" s="1" t="s">
        <v>88</v>
      </c>
    </row>
    <row r="97" spans="1:40">
      <c r="A97" s="1">
        <v>96</v>
      </c>
      <c r="B97" s="1">
        <v>5</v>
      </c>
      <c r="C97" s="1" t="s">
        <v>40</v>
      </c>
      <c r="D97" s="1" t="s">
        <v>40</v>
      </c>
      <c r="E97" s="1" t="s">
        <v>250</v>
      </c>
      <c r="F97" s="1">
        <v>501900728</v>
      </c>
      <c r="G97" s="1" t="s">
        <v>42</v>
      </c>
      <c r="H97" s="1"/>
      <c r="I97" s="1" t="s">
        <v>724</v>
      </c>
      <c r="J97" s="1">
        <v>50897311</v>
      </c>
      <c r="K97" s="7">
        <v>3199343370</v>
      </c>
      <c r="L97" s="7">
        <v>152418218435</v>
      </c>
      <c r="M97" s="1" t="s">
        <v>725</v>
      </c>
      <c r="N97" s="1" t="s">
        <v>726</v>
      </c>
      <c r="O97" s="3">
        <v>43856.546307870369</v>
      </c>
      <c r="P97" s="3">
        <v>43859.396203703705</v>
      </c>
      <c r="Q97" s="1" t="s">
        <v>727</v>
      </c>
      <c r="R97" s="1" t="s">
        <v>728</v>
      </c>
      <c r="S97" s="7">
        <f>622-83846151195</f>
        <v>-83846150573</v>
      </c>
      <c r="T97" s="1" t="s">
        <v>729</v>
      </c>
      <c r="U97" s="1" t="s">
        <v>730</v>
      </c>
      <c r="V97" s="4">
        <v>11267882273</v>
      </c>
      <c r="W97" s="4">
        <v>-7255192571</v>
      </c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 t="s">
        <v>95</v>
      </c>
      <c r="AI97" s="1" t="s">
        <v>731</v>
      </c>
      <c r="AJ97" s="1" t="s">
        <v>257</v>
      </c>
      <c r="AK97" s="3">
        <v>43856.639976851853</v>
      </c>
      <c r="AL97" s="1" t="s">
        <v>180</v>
      </c>
      <c r="AM97" s="1"/>
      <c r="AN97" s="1" t="s">
        <v>88</v>
      </c>
    </row>
    <row r="98" spans="1:40">
      <c r="A98" s="1">
        <v>97</v>
      </c>
      <c r="B98" s="1">
        <v>5</v>
      </c>
      <c r="C98" s="1" t="s">
        <v>40</v>
      </c>
      <c r="D98" s="1" t="s">
        <v>283</v>
      </c>
      <c r="E98" s="1" t="s">
        <v>440</v>
      </c>
      <c r="F98" s="1">
        <v>501905581</v>
      </c>
      <c r="G98" s="1" t="s">
        <v>42</v>
      </c>
      <c r="H98" s="1" t="s">
        <v>77</v>
      </c>
      <c r="I98" s="1" t="s">
        <v>732</v>
      </c>
      <c r="J98" s="1">
        <v>50918586</v>
      </c>
      <c r="K98" s="7">
        <v>3224652676</v>
      </c>
      <c r="L98" s="7">
        <v>152441212090</v>
      </c>
      <c r="M98" s="1" t="s">
        <v>45</v>
      </c>
      <c r="N98" s="1" t="s">
        <v>733</v>
      </c>
      <c r="O98" s="3">
        <v>43857.389166666668</v>
      </c>
      <c r="P98" s="3">
        <v>43857.640590277777</v>
      </c>
      <c r="Q98" s="1" t="s">
        <v>734</v>
      </c>
      <c r="R98" s="1" t="s">
        <v>735</v>
      </c>
      <c r="S98" s="7">
        <f>622-85330428852</f>
        <v>-85330428230</v>
      </c>
      <c r="T98" s="1" t="s">
        <v>736</v>
      </c>
      <c r="U98" s="1" t="s">
        <v>737</v>
      </c>
      <c r="V98" s="4">
        <v>112179559581264</v>
      </c>
      <c r="W98" s="4">
        <v>-7089587929283000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 t="s">
        <v>95</v>
      </c>
      <c r="AI98" s="1" t="s">
        <v>738</v>
      </c>
      <c r="AJ98" s="1" t="s">
        <v>292</v>
      </c>
      <c r="AK98" s="3">
        <v>43859.451620370368</v>
      </c>
      <c r="AL98" s="1" t="s">
        <v>97</v>
      </c>
      <c r="AM98" s="1"/>
      <c r="AN98" s="1" t="s">
        <v>88</v>
      </c>
    </row>
    <row r="99" spans="1:40">
      <c r="A99" s="1">
        <v>98</v>
      </c>
      <c r="B99" s="1">
        <v>5</v>
      </c>
      <c r="C99" s="1" t="s">
        <v>40</v>
      </c>
      <c r="D99" s="1" t="s">
        <v>283</v>
      </c>
      <c r="E99" s="1" t="s">
        <v>440</v>
      </c>
      <c r="F99" s="1">
        <v>501906563</v>
      </c>
      <c r="G99" s="1" t="s">
        <v>42</v>
      </c>
      <c r="H99" s="1" t="s">
        <v>43</v>
      </c>
      <c r="I99" s="1" t="s">
        <v>739</v>
      </c>
      <c r="J99" s="1">
        <v>50934440</v>
      </c>
      <c r="K99" s="7">
        <v>3224652866</v>
      </c>
      <c r="L99" s="7">
        <v>152441212159</v>
      </c>
      <c r="M99" s="1" t="s">
        <v>45</v>
      </c>
      <c r="N99" s="1" t="s">
        <v>740</v>
      </c>
      <c r="O99" s="3">
        <v>43857.41306712963</v>
      </c>
      <c r="P99" s="3">
        <v>43857.641296296293</v>
      </c>
      <c r="Q99" s="1" t="s">
        <v>741</v>
      </c>
      <c r="R99" s="1" t="s">
        <v>742</v>
      </c>
      <c r="S99" s="7">
        <f>62-81330896509</f>
        <v>-81330896447</v>
      </c>
      <c r="T99" s="1" t="s">
        <v>743</v>
      </c>
      <c r="U99" s="1" t="s">
        <v>744</v>
      </c>
      <c r="V99" s="4">
        <v>1121814255492120</v>
      </c>
      <c r="W99" s="4">
        <v>-710004737522684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 t="s">
        <v>95</v>
      </c>
      <c r="AI99" s="1" t="s">
        <v>745</v>
      </c>
      <c r="AJ99" s="1" t="s">
        <v>292</v>
      </c>
      <c r="AK99" s="3">
        <v>43859.46197916667</v>
      </c>
      <c r="AL99" s="1" t="s">
        <v>746</v>
      </c>
      <c r="AM99" s="1"/>
      <c r="AN99" s="1" t="s">
        <v>117</v>
      </c>
    </row>
    <row r="100" spans="1:40">
      <c r="A100" s="1">
        <v>99</v>
      </c>
      <c r="B100" s="1">
        <v>5</v>
      </c>
      <c r="C100" s="1" t="s">
        <v>40</v>
      </c>
      <c r="D100" s="1" t="s">
        <v>283</v>
      </c>
      <c r="E100" s="1" t="s">
        <v>440</v>
      </c>
      <c r="F100" s="1">
        <v>501907098</v>
      </c>
      <c r="G100" s="1" t="s">
        <v>42</v>
      </c>
      <c r="H100" s="1" t="s">
        <v>77</v>
      </c>
      <c r="I100" s="1" t="s">
        <v>747</v>
      </c>
      <c r="J100" s="1">
        <v>50918586</v>
      </c>
      <c r="K100" s="7">
        <v>3224652907</v>
      </c>
      <c r="L100" s="7">
        <v>152441212711</v>
      </c>
      <c r="M100" s="1" t="s">
        <v>171</v>
      </c>
      <c r="N100" s="1" t="s">
        <v>748</v>
      </c>
      <c r="O100" s="3">
        <v>43857.42423611111</v>
      </c>
      <c r="P100" s="3">
        <v>43857.42528935185</v>
      </c>
      <c r="Q100" s="1" t="s">
        <v>749</v>
      </c>
      <c r="R100" s="1" t="s">
        <v>735</v>
      </c>
      <c r="S100" s="7">
        <f>622-85330428852</f>
        <v>-85330428230</v>
      </c>
      <c r="T100" s="1" t="s">
        <v>736</v>
      </c>
      <c r="U100" s="1" t="s">
        <v>737</v>
      </c>
      <c r="V100" s="4">
        <v>112179559581264</v>
      </c>
      <c r="W100" s="4">
        <v>-7089587929283000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 t="s">
        <v>143</v>
      </c>
      <c r="AI100" s="5">
        <v>43857</v>
      </c>
      <c r="AJ100" s="1" t="s">
        <v>144</v>
      </c>
      <c r="AK100" s="3">
        <v>43857.455520833333</v>
      </c>
      <c r="AL100" s="1" t="s">
        <v>97</v>
      </c>
      <c r="AM100" s="1"/>
      <c r="AN100" s="1" t="s">
        <v>88</v>
      </c>
    </row>
    <row r="101" spans="1:40">
      <c r="A101" s="1">
        <v>100</v>
      </c>
      <c r="B101" s="1">
        <v>5</v>
      </c>
      <c r="C101" s="1" t="s">
        <v>40</v>
      </c>
      <c r="D101" s="1" t="s">
        <v>40</v>
      </c>
      <c r="E101" s="1" t="s">
        <v>41</v>
      </c>
      <c r="F101" s="1">
        <v>501907961</v>
      </c>
      <c r="G101" s="1" t="s">
        <v>42</v>
      </c>
      <c r="H101" s="1" t="s">
        <v>56</v>
      </c>
      <c r="I101" s="1" t="s">
        <v>750</v>
      </c>
      <c r="J101" s="1">
        <v>15673151</v>
      </c>
      <c r="K101" s="7"/>
      <c r="L101" s="7">
        <v>152413111985</v>
      </c>
      <c r="M101" s="1" t="s">
        <v>45</v>
      </c>
      <c r="N101" s="1" t="s">
        <v>751</v>
      </c>
      <c r="O101" s="3">
        <v>43857.456724537034</v>
      </c>
      <c r="P101" s="3">
        <v>43857.548229166663</v>
      </c>
      <c r="Q101" s="1" t="s">
        <v>752</v>
      </c>
      <c r="R101" s="1" t="s">
        <v>48</v>
      </c>
      <c r="S101" s="7">
        <f>62-8993404222</f>
        <v>-8993404160</v>
      </c>
      <c r="T101" s="1" t="s">
        <v>753</v>
      </c>
      <c r="U101" s="1" t="s">
        <v>754</v>
      </c>
      <c r="V101" s="4">
        <v>1127402279938600</v>
      </c>
      <c r="W101" s="4">
        <v>-726351897574067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 t="s">
        <v>51</v>
      </c>
      <c r="AI101" s="1" t="s">
        <v>755</v>
      </c>
      <c r="AJ101" s="1" t="s">
        <v>106</v>
      </c>
      <c r="AK101" s="3">
        <v>43857.628263888888</v>
      </c>
      <c r="AL101" s="1" t="s">
        <v>756</v>
      </c>
      <c r="AM101" s="1"/>
      <c r="AN101" s="1" t="s">
        <v>55</v>
      </c>
    </row>
    <row r="102" spans="1:40">
      <c r="A102" s="1">
        <v>101</v>
      </c>
      <c r="B102" s="1">
        <v>5</v>
      </c>
      <c r="C102" s="1" t="s">
        <v>40</v>
      </c>
      <c r="D102" s="1" t="s">
        <v>40</v>
      </c>
      <c r="E102" s="1" t="s">
        <v>76</v>
      </c>
      <c r="F102" s="1">
        <v>501908433</v>
      </c>
      <c r="G102" s="1" t="s">
        <v>42</v>
      </c>
      <c r="H102" s="1" t="s">
        <v>77</v>
      </c>
      <c r="I102" s="1" t="s">
        <v>757</v>
      </c>
      <c r="J102" s="1">
        <v>50821201</v>
      </c>
      <c r="K102" s="7"/>
      <c r="L102" s="7">
        <v>152409253027</v>
      </c>
      <c r="M102" s="1" t="s">
        <v>45</v>
      </c>
      <c r="N102" s="1" t="s">
        <v>758</v>
      </c>
      <c r="O102" s="3">
        <v>43857.466828703706</v>
      </c>
      <c r="P102" s="3">
        <v>43857.555879629632</v>
      </c>
      <c r="Q102" s="1" t="s">
        <v>759</v>
      </c>
      <c r="R102" s="1" t="s">
        <v>760</v>
      </c>
      <c r="S102" s="7">
        <f>622-81340091781</f>
        <v>-81340091159</v>
      </c>
      <c r="T102" s="1" t="s">
        <v>761</v>
      </c>
      <c r="U102" s="1" t="s">
        <v>762</v>
      </c>
      <c r="V102" s="4">
        <v>1126839</v>
      </c>
      <c r="W102" s="4">
        <v>-72624</v>
      </c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 t="s">
        <v>95</v>
      </c>
      <c r="AI102" s="1" t="s">
        <v>763</v>
      </c>
      <c r="AJ102" s="1" t="s">
        <v>764</v>
      </c>
      <c r="AK102" s="3">
        <v>43857.553981481484</v>
      </c>
      <c r="AL102" s="1" t="s">
        <v>413</v>
      </c>
      <c r="AM102" s="1"/>
      <c r="AN102" s="1" t="s">
        <v>88</v>
      </c>
    </row>
    <row r="103" spans="1:40">
      <c r="A103" s="1">
        <v>102</v>
      </c>
      <c r="B103" s="1">
        <v>5</v>
      </c>
      <c r="C103" s="1" t="s">
        <v>40</v>
      </c>
      <c r="D103" s="1" t="s">
        <v>40</v>
      </c>
      <c r="E103" s="1" t="s">
        <v>107</v>
      </c>
      <c r="F103" s="1">
        <v>501908470</v>
      </c>
      <c r="G103" s="1" t="s">
        <v>42</v>
      </c>
      <c r="H103" s="1" t="s">
        <v>43</v>
      </c>
      <c r="I103" s="1" t="s">
        <v>765</v>
      </c>
      <c r="J103" s="1">
        <v>50935900</v>
      </c>
      <c r="K103" s="7">
        <v>317439679</v>
      </c>
      <c r="L103" s="7">
        <v>152412237899</v>
      </c>
      <c r="M103" s="1" t="s">
        <v>766</v>
      </c>
      <c r="N103" s="1" t="s">
        <v>767</v>
      </c>
      <c r="O103" s="3">
        <v>43857.467372685183</v>
      </c>
      <c r="P103" s="3">
        <v>43857.468553240738</v>
      </c>
      <c r="Q103" s="1" t="s">
        <v>768</v>
      </c>
      <c r="R103" s="1" t="s">
        <v>769</v>
      </c>
      <c r="S103" s="7">
        <f>62-82138012710</f>
        <v>-82138012648</v>
      </c>
      <c r="T103" s="1" t="s">
        <v>770</v>
      </c>
      <c r="U103" s="1" t="s">
        <v>771</v>
      </c>
      <c r="V103" s="4">
        <v>1126445097812110</v>
      </c>
      <c r="W103" s="4">
        <v>-724772926109019</v>
      </c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 t="s">
        <v>160</v>
      </c>
      <c r="AI103" s="1" t="s">
        <v>772</v>
      </c>
      <c r="AJ103" s="1" t="s">
        <v>115</v>
      </c>
      <c r="AK103" s="3">
        <v>43860.323981481481</v>
      </c>
      <c r="AL103" s="1" t="s">
        <v>537</v>
      </c>
      <c r="AM103" s="1"/>
      <c r="AN103" s="1" t="s">
        <v>117</v>
      </c>
    </row>
    <row r="104" spans="1:40">
      <c r="A104" s="1">
        <v>103</v>
      </c>
      <c r="B104" s="1">
        <v>5</v>
      </c>
      <c r="C104" s="1" t="s">
        <v>40</v>
      </c>
      <c r="D104" s="1" t="s">
        <v>40</v>
      </c>
      <c r="E104" s="1" t="s">
        <v>41</v>
      </c>
      <c r="F104" s="1">
        <v>501909098</v>
      </c>
      <c r="G104" s="1" t="s">
        <v>42</v>
      </c>
      <c r="H104" s="1" t="s">
        <v>56</v>
      </c>
      <c r="I104" s="1" t="s">
        <v>773</v>
      </c>
      <c r="J104" s="1">
        <v>15673151</v>
      </c>
      <c r="K104" s="7">
        <v>3199249662</v>
      </c>
      <c r="L104" s="7"/>
      <c r="M104" s="1" t="s">
        <v>45</v>
      </c>
      <c r="N104" s="1" t="s">
        <v>774</v>
      </c>
      <c r="O104" s="3">
        <v>43857.48097222222</v>
      </c>
      <c r="P104" s="3">
        <v>43857.54959490741</v>
      </c>
      <c r="Q104" s="1" t="s">
        <v>775</v>
      </c>
      <c r="R104" s="1" t="s">
        <v>48</v>
      </c>
      <c r="S104" s="7">
        <f>62-8993404222</f>
        <v>-8993404160</v>
      </c>
      <c r="T104" s="1" t="s">
        <v>776</v>
      </c>
      <c r="U104" s="1" t="s">
        <v>777</v>
      </c>
      <c r="V104" s="4">
        <v>1127393465605740</v>
      </c>
      <c r="W104" s="4">
        <v>-726200109190681</v>
      </c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 t="s">
        <v>51</v>
      </c>
      <c r="AI104" s="1" t="s">
        <v>778</v>
      </c>
      <c r="AJ104" s="1" t="s">
        <v>106</v>
      </c>
      <c r="AK104" s="3">
        <v>43857.628668981481</v>
      </c>
      <c r="AL104" s="1" t="s">
        <v>779</v>
      </c>
      <c r="AM104" s="1"/>
      <c r="AN104" s="1" t="s">
        <v>55</v>
      </c>
    </row>
    <row r="105" spans="1:40">
      <c r="A105" s="1">
        <v>104</v>
      </c>
      <c r="B105" s="1">
        <v>5</v>
      </c>
      <c r="C105" s="1" t="s">
        <v>40</v>
      </c>
      <c r="D105" s="1" t="s">
        <v>40</v>
      </c>
      <c r="E105" s="1" t="s">
        <v>41</v>
      </c>
      <c r="F105" s="1">
        <v>501909394</v>
      </c>
      <c r="G105" s="1" t="s">
        <v>42</v>
      </c>
      <c r="H105" s="1" t="s">
        <v>56</v>
      </c>
      <c r="I105" s="1" t="s">
        <v>331</v>
      </c>
      <c r="J105" s="1">
        <v>15673151</v>
      </c>
      <c r="K105" s="7">
        <v>3199249113</v>
      </c>
      <c r="L105" s="7"/>
      <c r="M105" s="1" t="s">
        <v>45</v>
      </c>
      <c r="N105" s="1" t="s">
        <v>780</v>
      </c>
      <c r="O105" s="3">
        <v>43857.486851851849</v>
      </c>
      <c r="P105" s="3">
        <v>43857.550312500003</v>
      </c>
      <c r="Q105" s="1" t="s">
        <v>781</v>
      </c>
      <c r="R105" s="1" t="s">
        <v>48</v>
      </c>
      <c r="S105" s="7">
        <f>62-8993404222</f>
        <v>-8993404160</v>
      </c>
      <c r="T105" s="1" t="s">
        <v>776</v>
      </c>
      <c r="U105" s="1" t="s">
        <v>782</v>
      </c>
      <c r="V105" s="4">
        <v>1127401460932540</v>
      </c>
      <c r="W105" s="4">
        <v>-726323482971951</v>
      </c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 t="s">
        <v>51</v>
      </c>
      <c r="AI105" s="1" t="s">
        <v>783</v>
      </c>
      <c r="AJ105" s="1" t="s">
        <v>106</v>
      </c>
      <c r="AK105" s="3">
        <v>43857.629247685189</v>
      </c>
      <c r="AL105" s="1" t="s">
        <v>779</v>
      </c>
      <c r="AM105" s="1"/>
      <c r="AN105" s="1" t="s">
        <v>55</v>
      </c>
    </row>
    <row r="106" spans="1:40">
      <c r="A106" s="1">
        <v>105</v>
      </c>
      <c r="B106" s="1">
        <v>5</v>
      </c>
      <c r="C106" s="1" t="s">
        <v>40</v>
      </c>
      <c r="D106" s="1" t="s">
        <v>40</v>
      </c>
      <c r="E106" s="1" t="s">
        <v>784</v>
      </c>
      <c r="F106" s="1">
        <v>501909590</v>
      </c>
      <c r="G106" s="1" t="s">
        <v>42</v>
      </c>
      <c r="H106" s="1" t="s">
        <v>77</v>
      </c>
      <c r="I106" s="1" t="s">
        <v>785</v>
      </c>
      <c r="J106" s="1">
        <v>50902837</v>
      </c>
      <c r="K106" s="7">
        <v>3199018060</v>
      </c>
      <c r="L106" s="7">
        <v>152401201856</v>
      </c>
      <c r="M106" s="1" t="s">
        <v>45</v>
      </c>
      <c r="N106" s="1" t="s">
        <v>786</v>
      </c>
      <c r="O106" s="3">
        <v>43857.490972222222</v>
      </c>
      <c r="P106" s="3">
        <v>43857.59615740741</v>
      </c>
      <c r="Q106" s="1" t="s">
        <v>787</v>
      </c>
      <c r="R106" s="1" t="s">
        <v>788</v>
      </c>
      <c r="S106" s="7">
        <f>622-81357057091</f>
        <v>-81357056469</v>
      </c>
      <c r="T106" s="1" t="s">
        <v>789</v>
      </c>
      <c r="U106" s="1" t="s">
        <v>790</v>
      </c>
      <c r="V106" s="4">
        <v>11271897311</v>
      </c>
      <c r="W106" s="4">
        <v>-7242633868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 t="s">
        <v>160</v>
      </c>
      <c r="AI106" s="1" t="s">
        <v>791</v>
      </c>
      <c r="AJ106" s="1" t="s">
        <v>792</v>
      </c>
      <c r="AK106" s="3">
        <v>43857.59652777778</v>
      </c>
      <c r="AL106" s="1" t="s">
        <v>97</v>
      </c>
      <c r="AM106" s="1"/>
      <c r="AN106" s="1" t="s">
        <v>88</v>
      </c>
    </row>
    <row r="107" spans="1:40">
      <c r="A107" s="1">
        <v>106</v>
      </c>
      <c r="B107" s="1">
        <v>5</v>
      </c>
      <c r="C107" s="1" t="s">
        <v>40</v>
      </c>
      <c r="D107" s="1" t="s">
        <v>40</v>
      </c>
      <c r="E107" s="1" t="s">
        <v>107</v>
      </c>
      <c r="F107" s="1">
        <v>501911401</v>
      </c>
      <c r="G107" s="1" t="s">
        <v>42</v>
      </c>
      <c r="H107" s="1" t="s">
        <v>43</v>
      </c>
      <c r="I107" s="1" t="s">
        <v>793</v>
      </c>
      <c r="J107" s="1">
        <v>50937777</v>
      </c>
      <c r="K107" s="7">
        <v>317446995</v>
      </c>
      <c r="L107" s="7">
        <v>152412238891</v>
      </c>
      <c r="M107" s="1" t="s">
        <v>45</v>
      </c>
      <c r="N107" s="1" t="s">
        <v>794</v>
      </c>
      <c r="O107" s="3">
        <v>43857.540659722225</v>
      </c>
      <c r="P107" s="3">
        <v>43857.737129629626</v>
      </c>
      <c r="Q107" s="1" t="s">
        <v>795</v>
      </c>
      <c r="R107" s="1" t="s">
        <v>796</v>
      </c>
      <c r="S107" s="7">
        <f>62-82131694382</f>
        <v>-82131694320</v>
      </c>
      <c r="T107" s="1" t="s">
        <v>797</v>
      </c>
      <c r="U107" s="1" t="s">
        <v>798</v>
      </c>
      <c r="V107" s="4">
        <v>1126067166355810</v>
      </c>
      <c r="W107" s="4">
        <v>-723290762605873</v>
      </c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 t="s">
        <v>160</v>
      </c>
      <c r="AI107" s="1" t="s">
        <v>799</v>
      </c>
      <c r="AJ107" s="1" t="s">
        <v>115</v>
      </c>
      <c r="AK107" s="3">
        <v>43859.396886574075</v>
      </c>
      <c r="AL107" s="1" t="s">
        <v>116</v>
      </c>
      <c r="AM107" s="1"/>
      <c r="AN107" s="1" t="s">
        <v>117</v>
      </c>
    </row>
    <row r="108" spans="1:40">
      <c r="A108" s="1">
        <v>107</v>
      </c>
      <c r="B108" s="1">
        <v>5</v>
      </c>
      <c r="C108" s="1" t="s">
        <v>40</v>
      </c>
      <c r="D108" s="1" t="s">
        <v>283</v>
      </c>
      <c r="E108" s="1" t="s">
        <v>284</v>
      </c>
      <c r="F108" s="1">
        <v>501911751</v>
      </c>
      <c r="G108" s="1" t="s">
        <v>42</v>
      </c>
      <c r="H108" s="1" t="s">
        <v>77</v>
      </c>
      <c r="I108" s="1" t="s">
        <v>800</v>
      </c>
      <c r="J108" s="1">
        <v>50934719</v>
      </c>
      <c r="K108" s="7">
        <v>3224661755</v>
      </c>
      <c r="L108" s="7">
        <v>152448210784</v>
      </c>
      <c r="M108" s="1" t="s">
        <v>45</v>
      </c>
      <c r="N108" s="1" t="s">
        <v>801</v>
      </c>
      <c r="O108" s="3">
        <v>43857.549826388888</v>
      </c>
      <c r="P108" s="3">
        <v>43857.712141203701</v>
      </c>
      <c r="Q108" s="1" t="s">
        <v>802</v>
      </c>
      <c r="R108" s="1" t="s">
        <v>520</v>
      </c>
      <c r="S108" s="7">
        <f>622-89616669361</f>
        <v>-89616668739</v>
      </c>
      <c r="T108" s="1" t="s">
        <v>803</v>
      </c>
      <c r="U108" s="1" t="s">
        <v>804</v>
      </c>
      <c r="V108" s="4">
        <v>11238762314</v>
      </c>
      <c r="W108" s="4">
        <v>-6881471514</v>
      </c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 t="s">
        <v>177</v>
      </c>
      <c r="AI108" s="5">
        <v>43858</v>
      </c>
      <c r="AJ108" s="1" t="s">
        <v>805</v>
      </c>
      <c r="AK108" s="3">
        <v>43857.740694444445</v>
      </c>
      <c r="AL108" s="1" t="s">
        <v>611</v>
      </c>
      <c r="AM108" s="1"/>
      <c r="AN108" s="1" t="s">
        <v>88</v>
      </c>
    </row>
    <row r="109" spans="1:40">
      <c r="A109" s="1">
        <v>108</v>
      </c>
      <c r="B109" s="1">
        <v>5</v>
      </c>
      <c r="C109" s="1" t="s">
        <v>40</v>
      </c>
      <c r="D109" s="1" t="s">
        <v>283</v>
      </c>
      <c r="E109" s="1" t="s">
        <v>806</v>
      </c>
      <c r="F109" s="1">
        <v>501912087</v>
      </c>
      <c r="G109" s="1" t="s">
        <v>42</v>
      </c>
      <c r="H109" s="1" t="s">
        <v>77</v>
      </c>
      <c r="I109" s="1" t="s">
        <v>807</v>
      </c>
      <c r="J109" s="1">
        <v>50938543</v>
      </c>
      <c r="K109" s="7">
        <v>322314457</v>
      </c>
      <c r="L109" s="7">
        <v>152433204153</v>
      </c>
      <c r="M109" s="1" t="s">
        <v>45</v>
      </c>
      <c r="N109" s="1" t="s">
        <v>808</v>
      </c>
      <c r="O109" s="3">
        <v>43857.559155092589</v>
      </c>
      <c r="P109" s="3">
        <v>43859.57472222222</v>
      </c>
      <c r="Q109" s="1" t="s">
        <v>809</v>
      </c>
      <c r="R109" s="1" t="s">
        <v>810</v>
      </c>
      <c r="S109" s="7">
        <f>62-81330726777</f>
        <v>-81330726715</v>
      </c>
      <c r="T109" s="1" t="s">
        <v>811</v>
      </c>
      <c r="U109" s="1" t="s">
        <v>812</v>
      </c>
      <c r="V109" s="4">
        <v>1123883524445770</v>
      </c>
      <c r="W109" s="4">
        <v>-712681109818338</v>
      </c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 t="s">
        <v>177</v>
      </c>
      <c r="AI109" s="5">
        <v>43857</v>
      </c>
      <c r="AJ109" s="1" t="s">
        <v>481</v>
      </c>
      <c r="AK109" s="3">
        <v>43859.812002314815</v>
      </c>
      <c r="AL109" s="1" t="s">
        <v>405</v>
      </c>
      <c r="AM109" s="1"/>
      <c r="AN109" s="1" t="s">
        <v>88</v>
      </c>
    </row>
    <row r="110" spans="1:40">
      <c r="A110" s="1">
        <v>109</v>
      </c>
      <c r="B110" s="1">
        <v>5</v>
      </c>
      <c r="C110" s="1" t="s">
        <v>40</v>
      </c>
      <c r="D110" s="1" t="s">
        <v>283</v>
      </c>
      <c r="E110" s="1" t="s">
        <v>806</v>
      </c>
      <c r="F110" s="1">
        <v>501913008</v>
      </c>
      <c r="G110" s="1" t="s">
        <v>42</v>
      </c>
      <c r="H110" s="1" t="s">
        <v>43</v>
      </c>
      <c r="I110" s="1" t="s">
        <v>813</v>
      </c>
      <c r="J110" s="1">
        <v>50939007</v>
      </c>
      <c r="K110" s="7">
        <v>3223102298</v>
      </c>
      <c r="L110" s="7">
        <v>152433206628</v>
      </c>
      <c r="M110" s="1" t="s">
        <v>45</v>
      </c>
      <c r="N110" s="1" t="s">
        <v>814</v>
      </c>
      <c r="O110" s="3">
        <v>43857.577326388891</v>
      </c>
      <c r="P110" s="3">
        <v>43860.436712962961</v>
      </c>
      <c r="Q110" s="1" t="s">
        <v>815</v>
      </c>
      <c r="R110" s="1" t="s">
        <v>816</v>
      </c>
      <c r="S110" s="7">
        <f>62-85706208089</f>
        <v>-85706208027</v>
      </c>
      <c r="T110" s="1" t="s">
        <v>817</v>
      </c>
      <c r="U110" s="1" t="s">
        <v>818</v>
      </c>
      <c r="V110" s="4">
        <v>1124121539828030</v>
      </c>
      <c r="W110" s="4">
        <v>-713343685178321</v>
      </c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 t="s">
        <v>177</v>
      </c>
      <c r="AI110" s="5">
        <v>43857</v>
      </c>
      <c r="AJ110" s="1" t="s">
        <v>481</v>
      </c>
      <c r="AK110" s="3">
        <v>43859.811539351853</v>
      </c>
      <c r="AL110" s="1" t="s">
        <v>537</v>
      </c>
      <c r="AM110" s="1"/>
      <c r="AN110" s="1" t="s">
        <v>117</v>
      </c>
    </row>
    <row r="111" spans="1:40">
      <c r="A111" s="1">
        <v>110</v>
      </c>
      <c r="B111" s="1">
        <v>5</v>
      </c>
      <c r="C111" s="1" t="s">
        <v>40</v>
      </c>
      <c r="D111" s="1" t="s">
        <v>40</v>
      </c>
      <c r="E111" s="1" t="s">
        <v>118</v>
      </c>
      <c r="F111" s="1">
        <v>501913924</v>
      </c>
      <c r="G111" s="1" t="s">
        <v>42</v>
      </c>
      <c r="H111" s="1" t="s">
        <v>43</v>
      </c>
      <c r="I111" s="1" t="s">
        <v>819</v>
      </c>
      <c r="J111" s="1">
        <v>50939603</v>
      </c>
      <c r="K111" s="7">
        <v>3137397300</v>
      </c>
      <c r="L111" s="7">
        <v>152404273845</v>
      </c>
      <c r="M111" s="1" t="s">
        <v>45</v>
      </c>
      <c r="N111" s="1" t="s">
        <v>820</v>
      </c>
      <c r="O111" s="3">
        <v>43857.596689814818</v>
      </c>
      <c r="P111" s="3">
        <v>43857.742013888892</v>
      </c>
      <c r="Q111" s="1" t="s">
        <v>821</v>
      </c>
      <c r="R111" s="1" t="s">
        <v>822</v>
      </c>
      <c r="S111" s="7">
        <f>62-8813506104</f>
        <v>-8813506042</v>
      </c>
      <c r="T111" s="1" t="s">
        <v>823</v>
      </c>
      <c r="U111" s="1" t="s">
        <v>824</v>
      </c>
      <c r="V111" s="4">
        <v>1127649061822950</v>
      </c>
      <c r="W111" s="4">
        <v>-723352662187925</v>
      </c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 t="s">
        <v>51</v>
      </c>
      <c r="AI111" s="1" t="s">
        <v>825</v>
      </c>
      <c r="AJ111" s="1" t="s">
        <v>126</v>
      </c>
      <c r="AK111" s="3">
        <v>43858.707905092589</v>
      </c>
      <c r="AL111" s="1" t="s">
        <v>359</v>
      </c>
      <c r="AM111" s="1"/>
      <c r="AN111" s="1" t="s">
        <v>117</v>
      </c>
    </row>
    <row r="112" spans="1:40">
      <c r="A112" s="1">
        <v>111</v>
      </c>
      <c r="B112" s="1">
        <v>5</v>
      </c>
      <c r="C112" s="1" t="s">
        <v>40</v>
      </c>
      <c r="D112" s="1" t="s">
        <v>40</v>
      </c>
      <c r="E112" s="1" t="s">
        <v>41</v>
      </c>
      <c r="F112" s="1">
        <v>501914825</v>
      </c>
      <c r="G112" s="1" t="s">
        <v>42</v>
      </c>
      <c r="H112" s="1" t="s">
        <v>56</v>
      </c>
      <c r="I112" s="1" t="s">
        <v>826</v>
      </c>
      <c r="J112" s="1">
        <v>15673151</v>
      </c>
      <c r="K112" s="7">
        <v>3199247244</v>
      </c>
      <c r="L112" s="7"/>
      <c r="M112" s="1" t="s">
        <v>45</v>
      </c>
      <c r="N112" s="1" t="s">
        <v>827</v>
      </c>
      <c r="O112" s="3">
        <v>43857.617418981485</v>
      </c>
      <c r="P112" s="3">
        <v>43857.659363425926</v>
      </c>
      <c r="Q112" s="1" t="s">
        <v>828</v>
      </c>
      <c r="R112" s="1" t="s">
        <v>48</v>
      </c>
      <c r="S112" s="7">
        <f>62-8993404222</f>
        <v>-8993404160</v>
      </c>
      <c r="T112" s="1" t="s">
        <v>776</v>
      </c>
      <c r="U112" s="1" t="s">
        <v>829</v>
      </c>
      <c r="V112" s="4">
        <v>1127404247181460</v>
      </c>
      <c r="W112" s="4">
        <v>-726331965059747</v>
      </c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 t="s">
        <v>177</v>
      </c>
      <c r="AI112" s="5">
        <v>43857</v>
      </c>
      <c r="AJ112" s="1" t="s">
        <v>805</v>
      </c>
      <c r="AK112" s="3">
        <v>43857.741180555553</v>
      </c>
      <c r="AL112" s="1" t="s">
        <v>779</v>
      </c>
      <c r="AM112" s="1"/>
      <c r="AN112" s="1" t="s">
        <v>55</v>
      </c>
    </row>
    <row r="113" spans="1:40">
      <c r="A113" s="1">
        <v>112</v>
      </c>
      <c r="B113" s="1">
        <v>5</v>
      </c>
      <c r="C113" s="1" t="s">
        <v>40</v>
      </c>
      <c r="D113" s="1" t="s">
        <v>40</v>
      </c>
      <c r="E113" s="1" t="s">
        <v>41</v>
      </c>
      <c r="F113" s="1">
        <v>501915118</v>
      </c>
      <c r="G113" s="1" t="s">
        <v>42</v>
      </c>
      <c r="H113" s="1" t="s">
        <v>56</v>
      </c>
      <c r="I113" s="1" t="s">
        <v>830</v>
      </c>
      <c r="J113" s="1">
        <v>15673151</v>
      </c>
      <c r="K113" s="7">
        <v>3199247642</v>
      </c>
      <c r="L113" s="7"/>
      <c r="M113" s="1" t="s">
        <v>45</v>
      </c>
      <c r="N113" s="1" t="s">
        <v>831</v>
      </c>
      <c r="O113" s="3">
        <v>43857.624722222223</v>
      </c>
      <c r="P113" s="3">
        <v>43857.660196759258</v>
      </c>
      <c r="Q113" s="1" t="s">
        <v>832</v>
      </c>
      <c r="R113" s="1" t="s">
        <v>48</v>
      </c>
      <c r="S113" s="7">
        <f>62-8993404222</f>
        <v>-8993404160</v>
      </c>
      <c r="T113" s="1" t="s">
        <v>776</v>
      </c>
      <c r="U113" s="1" t="s">
        <v>829</v>
      </c>
      <c r="V113" s="4">
        <v>1127405374613770</v>
      </c>
      <c r="W113" s="4">
        <v>-726356557705712</v>
      </c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 t="s">
        <v>177</v>
      </c>
      <c r="AI113" s="5">
        <v>43857</v>
      </c>
      <c r="AJ113" s="1" t="s">
        <v>805</v>
      </c>
      <c r="AK113" s="3">
        <v>43857.741643518515</v>
      </c>
      <c r="AL113" s="1" t="s">
        <v>779</v>
      </c>
      <c r="AM113" s="1"/>
      <c r="AN113" s="1" t="s">
        <v>55</v>
      </c>
    </row>
    <row r="114" spans="1:40">
      <c r="A114" s="1">
        <v>113</v>
      </c>
      <c r="B114" s="1">
        <v>5</v>
      </c>
      <c r="C114" s="1" t="s">
        <v>40</v>
      </c>
      <c r="D114" s="1" t="s">
        <v>40</v>
      </c>
      <c r="E114" s="1" t="s">
        <v>784</v>
      </c>
      <c r="F114" s="1">
        <v>501926289</v>
      </c>
      <c r="G114" s="1" t="s">
        <v>42</v>
      </c>
      <c r="H114" s="1" t="s">
        <v>56</v>
      </c>
      <c r="I114" s="1" t="s">
        <v>833</v>
      </c>
      <c r="J114" s="1">
        <v>37575237</v>
      </c>
      <c r="K114" s="7">
        <v>3199096556</v>
      </c>
      <c r="L114" s="7"/>
      <c r="M114" s="1" t="s">
        <v>725</v>
      </c>
      <c r="N114" s="1" t="s">
        <v>834</v>
      </c>
      <c r="O114" s="3">
        <v>43858.40997685185</v>
      </c>
      <c r="P114" s="3">
        <v>43858.455972222226</v>
      </c>
      <c r="Q114" s="1" t="s">
        <v>835</v>
      </c>
      <c r="R114" s="1" t="s">
        <v>836</v>
      </c>
      <c r="S114" s="7">
        <f>62-8563000766</f>
        <v>-8563000704</v>
      </c>
      <c r="T114" s="1" t="s">
        <v>837</v>
      </c>
      <c r="U114" s="1" t="s">
        <v>838</v>
      </c>
      <c r="V114" s="4">
        <v>1127413639533720</v>
      </c>
      <c r="W114" s="4">
        <v>-723502699127949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 t="s">
        <v>177</v>
      </c>
      <c r="AI114" s="5">
        <v>43858</v>
      </c>
      <c r="AJ114" s="1" t="s">
        <v>481</v>
      </c>
      <c r="AK114" s="3">
        <v>43858.857256944444</v>
      </c>
      <c r="AL114" s="1" t="s">
        <v>839</v>
      </c>
      <c r="AM114" s="1"/>
      <c r="AN114" s="1" t="s">
        <v>88</v>
      </c>
    </row>
    <row r="115" spans="1:40">
      <c r="A115" s="1">
        <v>114</v>
      </c>
      <c r="B115" s="1">
        <v>5</v>
      </c>
      <c r="C115" s="1" t="s">
        <v>40</v>
      </c>
      <c r="D115" s="1" t="s">
        <v>40</v>
      </c>
      <c r="E115" s="1" t="s">
        <v>118</v>
      </c>
      <c r="F115" s="1">
        <v>501927119</v>
      </c>
      <c r="G115" s="1" t="s">
        <v>42</v>
      </c>
      <c r="H115" s="1" t="s">
        <v>77</v>
      </c>
      <c r="I115" s="1" t="s">
        <v>840</v>
      </c>
      <c r="J115" s="1">
        <v>50944257</v>
      </c>
      <c r="K115" s="7"/>
      <c r="L115" s="7">
        <v>152404274065</v>
      </c>
      <c r="M115" s="1" t="s">
        <v>45</v>
      </c>
      <c r="N115" s="1" t="s">
        <v>841</v>
      </c>
      <c r="O115" s="3">
        <v>43858.424849537034</v>
      </c>
      <c r="P115" s="3">
        <v>43858.751145833332</v>
      </c>
      <c r="Q115" s="1" t="s">
        <v>842</v>
      </c>
      <c r="R115" s="1" t="s">
        <v>843</v>
      </c>
      <c r="S115" s="7">
        <f>622-83857880990</f>
        <v>-83857880368</v>
      </c>
      <c r="T115" s="1" t="s">
        <v>844</v>
      </c>
      <c r="U115" s="1" t="s">
        <v>845</v>
      </c>
      <c r="V115" s="4">
        <v>1.12753470787875E+16</v>
      </c>
      <c r="W115" s="4">
        <v>-724300471904766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 t="s">
        <v>160</v>
      </c>
      <c r="AI115" s="1" t="s">
        <v>846</v>
      </c>
      <c r="AJ115" s="1" t="s">
        <v>179</v>
      </c>
      <c r="AK115" s="3">
        <v>43859.675000000003</v>
      </c>
      <c r="AL115" s="1" t="s">
        <v>180</v>
      </c>
      <c r="AM115" s="1"/>
      <c r="AN115" s="1" t="s">
        <v>88</v>
      </c>
    </row>
    <row r="116" spans="1:40">
      <c r="A116" s="1">
        <v>115</v>
      </c>
      <c r="B116" s="1">
        <v>5</v>
      </c>
      <c r="C116" s="1" t="s">
        <v>40</v>
      </c>
      <c r="D116" s="1" t="s">
        <v>40</v>
      </c>
      <c r="E116" s="1" t="s">
        <v>414</v>
      </c>
      <c r="F116" s="1">
        <v>501929015</v>
      </c>
      <c r="G116" s="1" t="s">
        <v>42</v>
      </c>
      <c r="H116" s="1" t="s">
        <v>43</v>
      </c>
      <c r="I116" s="1" t="s">
        <v>847</v>
      </c>
      <c r="J116" s="1">
        <v>50933869</v>
      </c>
      <c r="K116" s="7">
        <v>3199752372</v>
      </c>
      <c r="L116" s="7">
        <v>152415216118</v>
      </c>
      <c r="M116" s="1" t="s">
        <v>45</v>
      </c>
      <c r="N116" s="1" t="s">
        <v>848</v>
      </c>
      <c r="O116" s="3">
        <v>43858.456157407411</v>
      </c>
      <c r="P116" s="3">
        <v>43859.623136574075</v>
      </c>
      <c r="Q116" s="1" t="s">
        <v>849</v>
      </c>
      <c r="R116" s="1" t="s">
        <v>850</v>
      </c>
      <c r="S116" s="7">
        <f>62-8118800049</f>
        <v>-8118799987</v>
      </c>
      <c r="T116" s="1" t="s">
        <v>851</v>
      </c>
      <c r="U116" s="1" t="s">
        <v>852</v>
      </c>
      <c r="V116" s="4">
        <v>1127036316374530</v>
      </c>
      <c r="W116" s="4">
        <v>-731510655220802</v>
      </c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 t="s">
        <v>95</v>
      </c>
      <c r="AI116" s="1" t="s">
        <v>853</v>
      </c>
      <c r="AJ116" s="1" t="s">
        <v>805</v>
      </c>
      <c r="AK116" s="3">
        <v>43859.669363425928</v>
      </c>
      <c r="AL116" s="1" t="s">
        <v>854</v>
      </c>
      <c r="AM116" s="1"/>
      <c r="AN116" s="1" t="s">
        <v>117</v>
      </c>
    </row>
    <row r="117" spans="1:40">
      <c r="A117" s="1">
        <v>116</v>
      </c>
      <c r="B117" s="1">
        <v>5</v>
      </c>
      <c r="C117" s="1" t="s">
        <v>40</v>
      </c>
      <c r="D117" s="1" t="s">
        <v>40</v>
      </c>
      <c r="E117" s="1" t="s">
        <v>118</v>
      </c>
      <c r="F117" s="1">
        <v>501930313</v>
      </c>
      <c r="G117" s="1" t="s">
        <v>42</v>
      </c>
      <c r="H117" s="1" t="s">
        <v>77</v>
      </c>
      <c r="I117" s="1" t="s">
        <v>855</v>
      </c>
      <c r="J117" s="1">
        <v>50935817</v>
      </c>
      <c r="K117" s="7"/>
      <c r="L117" s="7">
        <v>152404271074</v>
      </c>
      <c r="M117" s="1" t="s">
        <v>45</v>
      </c>
      <c r="N117" s="1" t="s">
        <v>856</v>
      </c>
      <c r="O117" s="3">
        <v>43858.480219907404</v>
      </c>
      <c r="P117" s="3">
        <v>43858.560787037037</v>
      </c>
      <c r="Q117" s="1" t="s">
        <v>857</v>
      </c>
      <c r="R117" s="1" t="s">
        <v>858</v>
      </c>
      <c r="S117" s="7">
        <f>622-81230054800</f>
        <v>-81230054178</v>
      </c>
      <c r="T117" s="1" t="s">
        <v>859</v>
      </c>
      <c r="U117" s="1" t="s">
        <v>860</v>
      </c>
      <c r="V117" s="4">
        <v>1127697317</v>
      </c>
      <c r="W117" s="4">
        <v>-7208545894</v>
      </c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 t="s">
        <v>95</v>
      </c>
      <c r="AI117" s="1" t="s">
        <v>861</v>
      </c>
      <c r="AJ117" s="1" t="s">
        <v>179</v>
      </c>
      <c r="AK117" s="3">
        <v>43859.656782407408</v>
      </c>
      <c r="AL117" s="1" t="s">
        <v>163</v>
      </c>
      <c r="AM117" s="1"/>
      <c r="AN117" s="1" t="s">
        <v>88</v>
      </c>
    </row>
    <row r="118" spans="1:40">
      <c r="A118" s="1">
        <v>117</v>
      </c>
      <c r="B118" s="1">
        <v>5</v>
      </c>
      <c r="C118" s="1" t="s">
        <v>40</v>
      </c>
      <c r="D118" s="1" t="s">
        <v>283</v>
      </c>
      <c r="E118" s="1" t="s">
        <v>440</v>
      </c>
      <c r="F118" s="1">
        <v>501930765</v>
      </c>
      <c r="G118" s="1" t="s">
        <v>42</v>
      </c>
      <c r="H118" s="1" t="s">
        <v>77</v>
      </c>
      <c r="I118" s="1" t="s">
        <v>862</v>
      </c>
      <c r="J118" s="1">
        <v>50849954</v>
      </c>
      <c r="K118" s="7">
        <v>3224652963</v>
      </c>
      <c r="L118" s="7">
        <v>152441212273</v>
      </c>
      <c r="M118" s="1" t="s">
        <v>45</v>
      </c>
      <c r="N118" s="1" t="s">
        <v>863</v>
      </c>
      <c r="O118" s="3">
        <v>43858.488981481481</v>
      </c>
      <c r="P118" s="3">
        <v>43858.743437500001</v>
      </c>
      <c r="Q118" s="1" t="s">
        <v>864</v>
      </c>
      <c r="R118" s="1" t="s">
        <v>865</v>
      </c>
      <c r="S118" s="7">
        <f>622-81233726859</f>
        <v>-81233726237</v>
      </c>
      <c r="T118" s="1" t="s">
        <v>866</v>
      </c>
      <c r="U118" s="1" t="s">
        <v>867</v>
      </c>
      <c r="V118" s="4">
        <v>1122222645</v>
      </c>
      <c r="W118" s="4">
        <v>-7102120187</v>
      </c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 t="s">
        <v>177</v>
      </c>
      <c r="AI118" s="5">
        <v>43849</v>
      </c>
      <c r="AJ118" s="1" t="s">
        <v>481</v>
      </c>
      <c r="AK118" s="3">
        <v>43858.729849537034</v>
      </c>
      <c r="AL118" s="1" t="s">
        <v>293</v>
      </c>
      <c r="AM118" s="1"/>
      <c r="AN118" s="1" t="s">
        <v>88</v>
      </c>
    </row>
    <row r="119" spans="1:40">
      <c r="A119" s="1">
        <v>118</v>
      </c>
      <c r="B119" s="1">
        <v>5</v>
      </c>
      <c r="C119" s="1" t="s">
        <v>40</v>
      </c>
      <c r="D119" s="1" t="s">
        <v>40</v>
      </c>
      <c r="E119" s="1" t="s">
        <v>41</v>
      </c>
      <c r="F119" s="1">
        <v>501930853</v>
      </c>
      <c r="G119" s="1" t="s">
        <v>42</v>
      </c>
      <c r="H119" s="1" t="s">
        <v>43</v>
      </c>
      <c r="I119" s="1" t="s">
        <v>868</v>
      </c>
      <c r="J119" s="1">
        <v>50367172</v>
      </c>
      <c r="K119" s="7">
        <v>3199249230</v>
      </c>
      <c r="L119" s="7">
        <v>152413208132</v>
      </c>
      <c r="M119" s="1" t="s">
        <v>45</v>
      </c>
      <c r="N119" s="1" t="s">
        <v>869</v>
      </c>
      <c r="O119" s="3">
        <v>43858.490254629629</v>
      </c>
      <c r="P119" s="3">
        <v>43858.580937500003</v>
      </c>
      <c r="Q119" s="1" t="s">
        <v>870</v>
      </c>
      <c r="R119" s="1" t="s">
        <v>492</v>
      </c>
      <c r="S119" s="7">
        <f>62-87785451535</f>
        <v>-87785451473</v>
      </c>
      <c r="T119" s="1" t="s">
        <v>871</v>
      </c>
      <c r="U119" s="1" t="s">
        <v>494</v>
      </c>
      <c r="V119" s="4">
        <v>1127473578785570</v>
      </c>
      <c r="W119" s="4">
        <v>-726464985812849</v>
      </c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 t="s">
        <v>177</v>
      </c>
      <c r="AI119" s="5">
        <v>43861</v>
      </c>
      <c r="AJ119" s="1" t="s">
        <v>481</v>
      </c>
      <c r="AK119" s="3">
        <v>43858.732418981483</v>
      </c>
      <c r="AL119" s="1" t="s">
        <v>496</v>
      </c>
      <c r="AM119" s="1"/>
      <c r="AN119" s="1" t="s">
        <v>439</v>
      </c>
    </row>
    <row r="120" spans="1:40">
      <c r="A120" s="1">
        <v>119</v>
      </c>
      <c r="B120" s="1">
        <v>5</v>
      </c>
      <c r="C120" s="1" t="s">
        <v>40</v>
      </c>
      <c r="D120" s="1" t="s">
        <v>40</v>
      </c>
      <c r="E120" s="1" t="s">
        <v>41</v>
      </c>
      <c r="F120" s="1">
        <v>501930854</v>
      </c>
      <c r="G120" s="1" t="s">
        <v>42</v>
      </c>
      <c r="H120" s="1"/>
      <c r="I120" s="1" t="s">
        <v>872</v>
      </c>
      <c r="J120" s="1">
        <v>50887749</v>
      </c>
      <c r="K120" s="7">
        <v>3199249330</v>
      </c>
      <c r="L120" s="7">
        <v>152413142179</v>
      </c>
      <c r="M120" s="1" t="s">
        <v>45</v>
      </c>
      <c r="N120" s="1" t="s">
        <v>873</v>
      </c>
      <c r="O120" s="3">
        <v>43858.490277777775</v>
      </c>
      <c r="P120" s="3">
        <v>43858.581620370373</v>
      </c>
      <c r="Q120" s="1" t="s">
        <v>874</v>
      </c>
      <c r="R120" s="1" t="s">
        <v>875</v>
      </c>
      <c r="S120" s="7">
        <f>622-81331415789</f>
        <v>-81331415167</v>
      </c>
      <c r="T120" s="1" t="s">
        <v>876</v>
      </c>
      <c r="U120" s="1" t="s">
        <v>877</v>
      </c>
      <c r="V120" s="4">
        <v>112742696</v>
      </c>
      <c r="W120" s="4">
        <v>-7273123</v>
      </c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 t="s">
        <v>177</v>
      </c>
      <c r="AI120" s="5">
        <v>43856</v>
      </c>
      <c r="AJ120" s="1" t="s">
        <v>481</v>
      </c>
      <c r="AK120" s="3">
        <v>43858.856342592589</v>
      </c>
      <c r="AL120" s="1" t="s">
        <v>163</v>
      </c>
      <c r="AM120" s="1"/>
      <c r="AN120" s="1" t="s">
        <v>88</v>
      </c>
    </row>
    <row r="121" spans="1:40">
      <c r="A121" s="1">
        <v>120</v>
      </c>
      <c r="B121" s="1">
        <v>5</v>
      </c>
      <c r="C121" s="1" t="s">
        <v>40</v>
      </c>
      <c r="D121" s="1" t="s">
        <v>40</v>
      </c>
      <c r="E121" s="1" t="s">
        <v>784</v>
      </c>
      <c r="F121" s="1">
        <v>501934287</v>
      </c>
      <c r="G121" s="1" t="s">
        <v>42</v>
      </c>
      <c r="H121" s="1"/>
      <c r="I121" s="1" t="s">
        <v>878</v>
      </c>
      <c r="J121" s="1">
        <v>50907368</v>
      </c>
      <c r="K121" s="7">
        <v>3199018939</v>
      </c>
      <c r="L121" s="7">
        <v>152401202718</v>
      </c>
      <c r="M121" s="1" t="s">
        <v>361</v>
      </c>
      <c r="N121" s="1" t="s">
        <v>879</v>
      </c>
      <c r="O121" s="3">
        <v>43858.573449074072</v>
      </c>
      <c r="P121" s="3">
        <v>43858.574884259258</v>
      </c>
      <c r="Q121" s="1" t="s">
        <v>880</v>
      </c>
      <c r="R121" s="1" t="s">
        <v>881</v>
      </c>
      <c r="S121" s="7">
        <f>622-82153875863</f>
        <v>-82153875241</v>
      </c>
      <c r="T121" s="1" t="s">
        <v>882</v>
      </c>
      <c r="U121" s="1" t="s">
        <v>883</v>
      </c>
      <c r="V121" s="4">
        <v>112734</v>
      </c>
      <c r="W121" s="4">
        <v>-72007</v>
      </c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 t="s">
        <v>177</v>
      </c>
      <c r="AI121" s="5">
        <v>43856</v>
      </c>
      <c r="AJ121" s="1" t="s">
        <v>481</v>
      </c>
      <c r="AK121" s="3">
        <v>43858.856712962966</v>
      </c>
      <c r="AL121" s="1" t="s">
        <v>701</v>
      </c>
      <c r="AM121" s="1"/>
      <c r="AN121" s="1" t="s">
        <v>88</v>
      </c>
    </row>
    <row r="122" spans="1:40">
      <c r="A122" s="1">
        <v>121</v>
      </c>
      <c r="B122" s="1">
        <v>5</v>
      </c>
      <c r="C122" s="1" t="s">
        <v>40</v>
      </c>
      <c r="D122" s="1" t="s">
        <v>40</v>
      </c>
      <c r="E122" s="1" t="s">
        <v>118</v>
      </c>
      <c r="F122" s="1">
        <v>501935169</v>
      </c>
      <c r="G122" s="1" t="s">
        <v>42</v>
      </c>
      <c r="H122" s="1"/>
      <c r="I122" s="1" t="s">
        <v>884</v>
      </c>
      <c r="J122" s="1">
        <v>50922968</v>
      </c>
      <c r="K122" s="7"/>
      <c r="L122" s="7">
        <v>152404271224</v>
      </c>
      <c r="M122" s="1" t="s">
        <v>885</v>
      </c>
      <c r="N122" s="1" t="s">
        <v>886</v>
      </c>
      <c r="O122" s="3">
        <v>43858.596342592595</v>
      </c>
      <c r="P122" s="3">
        <v>43860.672881944447</v>
      </c>
      <c r="Q122" s="1" t="s">
        <v>887</v>
      </c>
      <c r="R122" s="1" t="s">
        <v>888</v>
      </c>
      <c r="S122" s="7">
        <f>622-82234077924</f>
        <v>-82234077302</v>
      </c>
      <c r="T122" s="1" t="s">
        <v>889</v>
      </c>
      <c r="U122" s="1" t="s">
        <v>890</v>
      </c>
      <c r="V122" s="4">
        <v>112765689</v>
      </c>
      <c r="W122" s="4">
        <v>-7213114</v>
      </c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 t="s">
        <v>177</v>
      </c>
      <c r="AI122" s="5">
        <v>43856</v>
      </c>
      <c r="AJ122" s="1" t="s">
        <v>481</v>
      </c>
      <c r="AK122" s="3">
        <v>43858.738449074073</v>
      </c>
      <c r="AL122" s="1" t="s">
        <v>413</v>
      </c>
      <c r="AM122" s="1"/>
      <c r="AN122" s="1" t="s">
        <v>88</v>
      </c>
    </row>
    <row r="123" spans="1:40">
      <c r="A123" s="1">
        <v>122</v>
      </c>
      <c r="B123" s="1">
        <v>5</v>
      </c>
      <c r="C123" s="1" t="s">
        <v>40</v>
      </c>
      <c r="D123" s="1" t="s">
        <v>152</v>
      </c>
      <c r="E123" s="1" t="s">
        <v>200</v>
      </c>
      <c r="F123" s="1">
        <v>501935742</v>
      </c>
      <c r="G123" s="1" t="s">
        <v>42</v>
      </c>
      <c r="H123" s="1" t="s">
        <v>77</v>
      </c>
      <c r="I123" s="1" t="s">
        <v>891</v>
      </c>
      <c r="J123" s="1">
        <v>50950364</v>
      </c>
      <c r="K123" s="7">
        <v>3199101309</v>
      </c>
      <c r="L123" s="7">
        <v>152412201765</v>
      </c>
      <c r="M123" s="1" t="s">
        <v>620</v>
      </c>
      <c r="N123" s="1" t="s">
        <v>621</v>
      </c>
      <c r="O123" s="3">
        <v>43858.604675925926</v>
      </c>
      <c r="P123" s="3">
        <v>43860.648402777777</v>
      </c>
      <c r="Q123" s="1" t="s">
        <v>892</v>
      </c>
      <c r="R123" s="1" t="s">
        <v>893</v>
      </c>
      <c r="S123" s="7">
        <f>622-8121638516</f>
        <v>-8121637894</v>
      </c>
      <c r="T123" s="1" t="s">
        <v>894</v>
      </c>
      <c r="U123" s="1" t="s">
        <v>895</v>
      </c>
      <c r="V123" s="4">
        <v>1126040581992800</v>
      </c>
      <c r="W123" s="4">
        <v>-711672988587823</v>
      </c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 t="s">
        <v>177</v>
      </c>
      <c r="AI123" s="5">
        <v>43859</v>
      </c>
      <c r="AJ123" s="1" t="s">
        <v>481</v>
      </c>
      <c r="AK123" s="3">
        <v>43858.730358796296</v>
      </c>
      <c r="AL123" s="1" t="s">
        <v>97</v>
      </c>
      <c r="AM123" s="1"/>
      <c r="AN123" s="1" t="s">
        <v>88</v>
      </c>
    </row>
    <row r="124" spans="1:40">
      <c r="A124" s="1">
        <v>123</v>
      </c>
      <c r="B124" s="1">
        <v>5</v>
      </c>
      <c r="C124" s="1" t="s">
        <v>40</v>
      </c>
      <c r="D124" s="1" t="s">
        <v>283</v>
      </c>
      <c r="E124" s="1" t="s">
        <v>284</v>
      </c>
      <c r="F124" s="1">
        <v>501936624</v>
      </c>
      <c r="G124" s="1" t="s">
        <v>42</v>
      </c>
      <c r="H124" s="1"/>
      <c r="I124" s="1" t="s">
        <v>896</v>
      </c>
      <c r="J124" s="1">
        <v>50910381</v>
      </c>
      <c r="K124" s="7">
        <v>3224662150</v>
      </c>
      <c r="L124" s="7">
        <v>152448210774</v>
      </c>
      <c r="M124" s="1" t="s">
        <v>620</v>
      </c>
      <c r="N124" s="1" t="s">
        <v>621</v>
      </c>
      <c r="O124" s="3">
        <v>43858.617326388892</v>
      </c>
      <c r="P124" s="3">
        <v>43860.639953703707</v>
      </c>
      <c r="Q124" s="1" t="s">
        <v>897</v>
      </c>
      <c r="R124" s="1" t="s">
        <v>898</v>
      </c>
      <c r="S124" s="7">
        <f>622-85707016889</f>
        <v>-85707016267</v>
      </c>
      <c r="T124" s="1" t="s">
        <v>899</v>
      </c>
      <c r="U124" s="1" t="s">
        <v>900</v>
      </c>
      <c r="V124" s="4">
        <v>11239191619</v>
      </c>
      <c r="W124" s="4">
        <v>-6878142326</v>
      </c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 t="s">
        <v>177</v>
      </c>
      <c r="AI124" s="5">
        <v>43856</v>
      </c>
      <c r="AJ124" s="1" t="s">
        <v>481</v>
      </c>
      <c r="AK124" s="3">
        <v>43858.856574074074</v>
      </c>
      <c r="AL124" s="1" t="s">
        <v>701</v>
      </c>
      <c r="AM124" s="1"/>
      <c r="AN124" s="1" t="s">
        <v>88</v>
      </c>
    </row>
    <row r="125" spans="1:40">
      <c r="A125" s="1">
        <v>124</v>
      </c>
      <c r="B125" s="1">
        <v>5</v>
      </c>
      <c r="C125" s="1" t="s">
        <v>40</v>
      </c>
      <c r="D125" s="1" t="s">
        <v>40</v>
      </c>
      <c r="E125" s="1" t="s">
        <v>107</v>
      </c>
      <c r="F125" s="1">
        <v>501937982</v>
      </c>
      <c r="G125" s="1" t="s">
        <v>42</v>
      </c>
      <c r="H125" s="1"/>
      <c r="I125" s="1" t="s">
        <v>901</v>
      </c>
      <c r="J125" s="1">
        <v>50925012</v>
      </c>
      <c r="K125" s="7">
        <v>317444132</v>
      </c>
      <c r="L125" s="7">
        <v>152412237895</v>
      </c>
      <c r="M125" s="1" t="s">
        <v>361</v>
      </c>
      <c r="N125" s="1" t="s">
        <v>902</v>
      </c>
      <c r="O125" s="3">
        <v>43858.637974537036</v>
      </c>
      <c r="P125" s="3">
        <v>43858.63962962963</v>
      </c>
      <c r="Q125" s="1" t="s">
        <v>903</v>
      </c>
      <c r="R125" s="1" t="s">
        <v>904</v>
      </c>
      <c r="S125" s="7">
        <f>622-82335508520</f>
        <v>-82335507898</v>
      </c>
      <c r="T125" s="1" t="s">
        <v>905</v>
      </c>
      <c r="U125" s="1" t="s">
        <v>906</v>
      </c>
      <c r="V125" s="4">
        <v>1126704</v>
      </c>
      <c r="W125" s="4">
        <v>-72685</v>
      </c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 t="s">
        <v>95</v>
      </c>
      <c r="AI125" s="1" t="s">
        <v>907</v>
      </c>
      <c r="AJ125" s="1" t="s">
        <v>115</v>
      </c>
      <c r="AK125" s="3">
        <v>43859.495393518519</v>
      </c>
      <c r="AL125" s="1" t="s">
        <v>293</v>
      </c>
      <c r="AM125" s="1"/>
      <c r="AN125" s="1" t="s">
        <v>88</v>
      </c>
    </row>
    <row r="126" spans="1:40">
      <c r="A126" s="1">
        <v>125</v>
      </c>
      <c r="B126" s="1">
        <v>5</v>
      </c>
      <c r="C126" s="1" t="s">
        <v>40</v>
      </c>
      <c r="D126" s="1" t="s">
        <v>152</v>
      </c>
      <c r="E126" s="1" t="s">
        <v>200</v>
      </c>
      <c r="F126" s="1">
        <v>501940556</v>
      </c>
      <c r="G126" s="1" t="s">
        <v>42</v>
      </c>
      <c r="H126" s="1" t="s">
        <v>43</v>
      </c>
      <c r="I126" s="1" t="s">
        <v>908</v>
      </c>
      <c r="J126" s="1">
        <v>50952934</v>
      </c>
      <c r="K126" s="7">
        <v>3199101823</v>
      </c>
      <c r="L126" s="7">
        <v>152412201696</v>
      </c>
      <c r="M126" s="1" t="s">
        <v>45</v>
      </c>
      <c r="N126" s="1" t="s">
        <v>909</v>
      </c>
      <c r="O126" s="3">
        <v>43858.68178240741</v>
      </c>
      <c r="P126" s="3">
        <v>43858.895520833335</v>
      </c>
      <c r="Q126" s="1" t="s">
        <v>910</v>
      </c>
      <c r="R126" s="1" t="s">
        <v>911</v>
      </c>
      <c r="S126" s="7">
        <f>62-82230193399</f>
        <v>-82230193337</v>
      </c>
      <c r="T126" s="1" t="s">
        <v>912</v>
      </c>
      <c r="U126" s="1" t="s">
        <v>913</v>
      </c>
      <c r="V126" s="4">
        <v>1126327898064250</v>
      </c>
      <c r="W126" s="4">
        <v>-716324223507528</v>
      </c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 t="s">
        <v>160</v>
      </c>
      <c r="AI126" s="1" t="s">
        <v>914</v>
      </c>
      <c r="AJ126" s="1" t="s">
        <v>106</v>
      </c>
      <c r="AK126" s="3">
        <v>43860.406944444447</v>
      </c>
      <c r="AL126" s="1" t="s">
        <v>915</v>
      </c>
      <c r="AM126" s="1"/>
      <c r="AN126" s="1" t="s">
        <v>117</v>
      </c>
    </row>
    <row r="127" spans="1:40">
      <c r="A127" s="1">
        <v>126</v>
      </c>
      <c r="B127" s="1">
        <v>5</v>
      </c>
      <c r="C127" s="1" t="s">
        <v>40</v>
      </c>
      <c r="D127" s="1" t="s">
        <v>152</v>
      </c>
      <c r="E127" s="1" t="s">
        <v>200</v>
      </c>
      <c r="F127" s="1">
        <v>501943837</v>
      </c>
      <c r="G127" s="1" t="s">
        <v>42</v>
      </c>
      <c r="H127" s="1"/>
      <c r="I127" s="1" t="s">
        <v>916</v>
      </c>
      <c r="J127" s="1">
        <v>50923391</v>
      </c>
      <c r="K127" s="7">
        <v>3199101160</v>
      </c>
      <c r="L127" s="7">
        <v>152412202469</v>
      </c>
      <c r="M127" s="1" t="s">
        <v>361</v>
      </c>
      <c r="N127" s="1" t="s">
        <v>917</v>
      </c>
      <c r="O127" s="3">
        <v>43858.779722222222</v>
      </c>
      <c r="P127" s="3">
        <v>43858.781215277777</v>
      </c>
      <c r="Q127" s="1" t="s">
        <v>918</v>
      </c>
      <c r="R127" s="1" t="s">
        <v>919</v>
      </c>
      <c r="S127" s="7">
        <f>622-85655642818</f>
        <v>-85655642196</v>
      </c>
      <c r="T127" s="1" t="s">
        <v>920</v>
      </c>
      <c r="U127" s="1" t="s">
        <v>921</v>
      </c>
      <c r="V127" s="4">
        <v>11262845635</v>
      </c>
      <c r="W127" s="4">
        <v>-717109286</v>
      </c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 t="s">
        <v>177</v>
      </c>
      <c r="AI127" s="5">
        <v>43856</v>
      </c>
      <c r="AJ127" s="1" t="s">
        <v>481</v>
      </c>
      <c r="AK127" s="3">
        <v>43858.857048611113</v>
      </c>
      <c r="AL127" s="1" t="s">
        <v>163</v>
      </c>
      <c r="AM127" s="1"/>
      <c r="AN127" s="1" t="s">
        <v>88</v>
      </c>
    </row>
    <row r="128" spans="1:40">
      <c r="A128" s="1">
        <v>127</v>
      </c>
      <c r="B128" s="1">
        <v>5</v>
      </c>
      <c r="C128" s="1" t="s">
        <v>40</v>
      </c>
      <c r="D128" s="1" t="s">
        <v>152</v>
      </c>
      <c r="E128" s="1" t="s">
        <v>200</v>
      </c>
      <c r="F128" s="1">
        <v>501944232</v>
      </c>
      <c r="G128" s="1" t="s">
        <v>42</v>
      </c>
      <c r="H128" s="1"/>
      <c r="I128" s="1" t="s">
        <v>718</v>
      </c>
      <c r="J128" s="1">
        <v>50920460</v>
      </c>
      <c r="K128" s="7">
        <v>3199101776</v>
      </c>
      <c r="L128" s="7">
        <v>152412208417</v>
      </c>
      <c r="M128" s="1" t="s">
        <v>361</v>
      </c>
      <c r="N128" s="1" t="s">
        <v>922</v>
      </c>
      <c r="O128" s="3">
        <v>43858.808842592596</v>
      </c>
      <c r="P128" s="3">
        <v>43858.811064814814</v>
      </c>
      <c r="Q128" s="1" t="s">
        <v>923</v>
      </c>
      <c r="R128" s="1" t="s">
        <v>721</v>
      </c>
      <c r="S128" s="7">
        <f>622-82234743401</f>
        <v>-82234742779</v>
      </c>
      <c r="T128" s="1" t="s">
        <v>924</v>
      </c>
      <c r="U128" s="1" t="s">
        <v>723</v>
      </c>
      <c r="V128" s="4">
        <v>11265605178</v>
      </c>
      <c r="W128" s="4">
        <v>-7176418017</v>
      </c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 t="s">
        <v>177</v>
      </c>
      <c r="AI128" s="5">
        <v>43856</v>
      </c>
      <c r="AJ128" s="1" t="s">
        <v>481</v>
      </c>
      <c r="AK128" s="3">
        <v>43858.857164351852</v>
      </c>
      <c r="AL128" s="1" t="s">
        <v>97</v>
      </c>
      <c r="AM128" s="1"/>
      <c r="AN128" s="1" t="s">
        <v>88</v>
      </c>
    </row>
    <row r="129" spans="1:40">
      <c r="A129" s="1">
        <v>128</v>
      </c>
      <c r="B129" s="1">
        <v>5</v>
      </c>
      <c r="C129" s="1" t="s">
        <v>40</v>
      </c>
      <c r="D129" s="1" t="s">
        <v>152</v>
      </c>
      <c r="E129" s="1" t="s">
        <v>200</v>
      </c>
      <c r="F129" s="1">
        <v>501944531</v>
      </c>
      <c r="G129" s="1" t="s">
        <v>42</v>
      </c>
      <c r="H129" s="1"/>
      <c r="I129" s="1" t="s">
        <v>712</v>
      </c>
      <c r="J129" s="1">
        <v>50925860</v>
      </c>
      <c r="K129" s="7">
        <v>3199101474</v>
      </c>
      <c r="L129" s="7">
        <v>152412200832</v>
      </c>
      <c r="M129" s="1" t="s">
        <v>361</v>
      </c>
      <c r="N129" s="1" t="s">
        <v>925</v>
      </c>
      <c r="O129" s="3">
        <v>43858.85050925926</v>
      </c>
      <c r="P129" s="3">
        <v>43858.851979166669</v>
      </c>
      <c r="Q129" s="1" t="s">
        <v>926</v>
      </c>
      <c r="R129" s="1" t="s">
        <v>715</v>
      </c>
      <c r="S129" s="7">
        <f>622-85785066599</f>
        <v>-85785065977</v>
      </c>
      <c r="T129" s="1" t="s">
        <v>927</v>
      </c>
      <c r="U129" s="1" t="s">
        <v>717</v>
      </c>
      <c r="V129" s="4">
        <v>11260202</v>
      </c>
      <c r="W129" s="4">
        <v>-714946</v>
      </c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 t="s">
        <v>177</v>
      </c>
      <c r="AI129" s="5">
        <v>43856</v>
      </c>
      <c r="AJ129" s="1" t="s">
        <v>481</v>
      </c>
      <c r="AK129" s="3">
        <v>43858.878275462965</v>
      </c>
      <c r="AL129" s="1" t="s">
        <v>293</v>
      </c>
      <c r="AM129" s="1"/>
      <c r="AN129" s="1" t="s">
        <v>88</v>
      </c>
    </row>
    <row r="130" spans="1:40">
      <c r="A130" s="1">
        <v>129</v>
      </c>
      <c r="B130" s="1">
        <v>5</v>
      </c>
      <c r="C130" s="1" t="s">
        <v>40</v>
      </c>
      <c r="D130" s="1" t="s">
        <v>152</v>
      </c>
      <c r="E130" s="1" t="s">
        <v>200</v>
      </c>
      <c r="F130" s="1">
        <v>501946141</v>
      </c>
      <c r="G130" s="1" t="s">
        <v>42</v>
      </c>
      <c r="H130" s="1" t="s">
        <v>77</v>
      </c>
      <c r="I130" s="1" t="s">
        <v>928</v>
      </c>
      <c r="J130" s="1">
        <v>50952815</v>
      </c>
      <c r="K130" s="7">
        <v>3199101314</v>
      </c>
      <c r="L130" s="7">
        <v>152412202611</v>
      </c>
      <c r="M130" s="1" t="s">
        <v>725</v>
      </c>
      <c r="N130" s="1" t="s">
        <v>929</v>
      </c>
      <c r="O130" s="3">
        <v>43859.366435185184</v>
      </c>
      <c r="P130" s="3">
        <v>43859.42359953704</v>
      </c>
      <c r="Q130" s="1" t="s">
        <v>930</v>
      </c>
      <c r="R130" s="1" t="s">
        <v>931</v>
      </c>
      <c r="S130" s="7">
        <f>622-813451719391</f>
        <v>-813451718769</v>
      </c>
      <c r="T130" s="1" t="s">
        <v>932</v>
      </c>
      <c r="U130" s="1" t="s">
        <v>933</v>
      </c>
      <c r="V130" s="4">
        <v>112645522</v>
      </c>
      <c r="W130" s="4">
        <v>-7150786</v>
      </c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 t="s">
        <v>177</v>
      </c>
      <c r="AI130" s="5">
        <v>43859</v>
      </c>
      <c r="AJ130" s="1" t="s">
        <v>481</v>
      </c>
      <c r="AK130" s="3">
        <v>43859.813090277778</v>
      </c>
      <c r="AL130" s="1" t="s">
        <v>180</v>
      </c>
      <c r="AM130" s="1"/>
      <c r="AN130" s="1" t="s">
        <v>88</v>
      </c>
    </row>
    <row r="131" spans="1:40">
      <c r="A131" s="1">
        <v>130</v>
      </c>
      <c r="B131" s="1">
        <v>5</v>
      </c>
      <c r="C131" s="1" t="s">
        <v>40</v>
      </c>
      <c r="D131" s="1" t="s">
        <v>40</v>
      </c>
      <c r="E131" s="1" t="s">
        <v>784</v>
      </c>
      <c r="F131" s="1">
        <v>501946595</v>
      </c>
      <c r="G131" s="1" t="s">
        <v>42</v>
      </c>
      <c r="H131" s="1" t="s">
        <v>77</v>
      </c>
      <c r="I131" s="1" t="s">
        <v>934</v>
      </c>
      <c r="J131" s="1">
        <v>50950668</v>
      </c>
      <c r="K131" s="7">
        <v>3199018069</v>
      </c>
      <c r="L131" s="7">
        <v>152401201952</v>
      </c>
      <c r="M131" s="1" t="s">
        <v>45</v>
      </c>
      <c r="N131" s="1" t="s">
        <v>935</v>
      </c>
      <c r="O131" s="3">
        <v>43859.375057870369</v>
      </c>
      <c r="P131" s="3">
        <v>43859.586331018516</v>
      </c>
      <c r="Q131" s="1" t="s">
        <v>936</v>
      </c>
      <c r="R131" s="1" t="s">
        <v>937</v>
      </c>
      <c r="S131" s="7">
        <f>622-81342956134</f>
        <v>-81342955512</v>
      </c>
      <c r="T131" s="1" t="s">
        <v>938</v>
      </c>
      <c r="U131" s="1" t="s">
        <v>939</v>
      </c>
      <c r="V131" s="4">
        <v>1127544552221250</v>
      </c>
      <c r="W131" s="4">
        <v>-7224825619542950</v>
      </c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 t="s">
        <v>84</v>
      </c>
      <c r="AI131" s="1" t="s">
        <v>940</v>
      </c>
      <c r="AJ131" s="1" t="s">
        <v>792</v>
      </c>
      <c r="AK131" s="3">
        <v>43859.590902777774</v>
      </c>
      <c r="AL131" s="1" t="s">
        <v>97</v>
      </c>
      <c r="AM131" s="1"/>
      <c r="AN131" s="1" t="s">
        <v>88</v>
      </c>
    </row>
    <row r="132" spans="1:40">
      <c r="A132" s="1">
        <v>131</v>
      </c>
      <c r="B132" s="1">
        <v>5</v>
      </c>
      <c r="C132" s="1" t="s">
        <v>40</v>
      </c>
      <c r="D132" s="1" t="s">
        <v>152</v>
      </c>
      <c r="E132" s="1" t="s">
        <v>230</v>
      </c>
      <c r="F132" s="1">
        <v>501947485</v>
      </c>
      <c r="G132" s="1" t="s">
        <v>42</v>
      </c>
      <c r="H132" s="1"/>
      <c r="I132" s="1" t="s">
        <v>941</v>
      </c>
      <c r="J132" s="1">
        <v>50926136</v>
      </c>
      <c r="K132" s="7">
        <v>3199115690</v>
      </c>
      <c r="L132" s="7">
        <v>152451201578</v>
      </c>
      <c r="M132" s="1" t="s">
        <v>361</v>
      </c>
      <c r="N132" s="1" t="s">
        <v>942</v>
      </c>
      <c r="O132" s="3">
        <v>43859.392175925925</v>
      </c>
      <c r="P132" s="3">
        <v>43859.394282407404</v>
      </c>
      <c r="Q132" s="1" t="s">
        <v>943</v>
      </c>
      <c r="R132" s="1" t="s">
        <v>944</v>
      </c>
      <c r="S132" s="7">
        <f>622-82332654483</f>
        <v>-82332653861</v>
      </c>
      <c r="T132" s="1" t="s">
        <v>945</v>
      </c>
      <c r="U132" s="1" t="s">
        <v>946</v>
      </c>
      <c r="V132" s="4">
        <v>11252049538</v>
      </c>
      <c r="W132" s="4">
        <v>-6985235467</v>
      </c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 t="s">
        <v>177</v>
      </c>
      <c r="AI132" s="5">
        <v>43857</v>
      </c>
      <c r="AJ132" s="1" t="s">
        <v>481</v>
      </c>
      <c r="AK132" s="3">
        <v>43859.812916666669</v>
      </c>
      <c r="AL132" s="1" t="s">
        <v>97</v>
      </c>
      <c r="AM132" s="1"/>
      <c r="AN132" s="1" t="s">
        <v>88</v>
      </c>
    </row>
    <row r="133" spans="1:40">
      <c r="A133" s="1">
        <v>132</v>
      </c>
      <c r="B133" s="1">
        <v>5</v>
      </c>
      <c r="C133" s="1" t="s">
        <v>40</v>
      </c>
      <c r="D133" s="1" t="s">
        <v>40</v>
      </c>
      <c r="E133" s="1" t="s">
        <v>76</v>
      </c>
      <c r="F133" s="1">
        <v>501947903</v>
      </c>
      <c r="G133" s="1" t="s">
        <v>42</v>
      </c>
      <c r="H133" s="1" t="s">
        <v>77</v>
      </c>
      <c r="I133" s="1" t="s">
        <v>947</v>
      </c>
      <c r="J133" s="1">
        <v>50949493</v>
      </c>
      <c r="K133" s="7"/>
      <c r="L133" s="7">
        <v>152409250656</v>
      </c>
      <c r="M133" s="1" t="s">
        <v>620</v>
      </c>
      <c r="N133" s="1" t="s">
        <v>621</v>
      </c>
      <c r="O133" s="3">
        <v>43859.398692129631</v>
      </c>
      <c r="P133" s="3">
        <v>43860.410300925927</v>
      </c>
      <c r="Q133" s="1" t="s">
        <v>948</v>
      </c>
      <c r="R133" s="1" t="s">
        <v>949</v>
      </c>
      <c r="S133" s="7">
        <f>622-812358388101</f>
        <v>-812358387479</v>
      </c>
      <c r="T133" s="1" t="s">
        <v>950</v>
      </c>
      <c r="U133" s="1" t="s">
        <v>951</v>
      </c>
      <c r="V133" s="4">
        <v>1126858</v>
      </c>
      <c r="W133" s="4">
        <v>-72937</v>
      </c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 t="s">
        <v>177</v>
      </c>
      <c r="AI133" s="1" t="s">
        <v>952</v>
      </c>
      <c r="AJ133" s="1" t="s">
        <v>481</v>
      </c>
      <c r="AK133" s="3">
        <v>43859.812060185184</v>
      </c>
      <c r="AL133" s="1" t="s">
        <v>953</v>
      </c>
      <c r="AM133" s="1"/>
      <c r="AN133" s="1" t="s">
        <v>88</v>
      </c>
    </row>
    <row r="134" spans="1:40">
      <c r="A134" s="1">
        <v>133</v>
      </c>
      <c r="B134" s="1">
        <v>5</v>
      </c>
      <c r="C134" s="1" t="s">
        <v>40</v>
      </c>
      <c r="D134" s="1" t="s">
        <v>40</v>
      </c>
      <c r="E134" s="1" t="s">
        <v>208</v>
      </c>
      <c r="F134" s="1">
        <v>501949482</v>
      </c>
      <c r="G134" s="1" t="s">
        <v>42</v>
      </c>
      <c r="H134" s="1" t="s">
        <v>43</v>
      </c>
      <c r="I134" s="1" t="s">
        <v>954</v>
      </c>
      <c r="J134" s="1">
        <v>50887198</v>
      </c>
      <c r="K134" s="7"/>
      <c r="L134" s="7">
        <v>152407250860</v>
      </c>
      <c r="M134" s="1" t="s">
        <v>45</v>
      </c>
      <c r="N134" s="1" t="s">
        <v>955</v>
      </c>
      <c r="O134" s="3">
        <v>43859.427106481482</v>
      </c>
      <c r="P134" s="3">
        <v>43859.480775462966</v>
      </c>
      <c r="Q134" s="1" t="s">
        <v>956</v>
      </c>
      <c r="R134" s="1" t="s">
        <v>957</v>
      </c>
      <c r="S134" s="7">
        <f>62-81357839269</f>
        <v>-81357839207</v>
      </c>
      <c r="T134" s="1" t="s">
        <v>958</v>
      </c>
      <c r="U134" s="1" t="s">
        <v>959</v>
      </c>
      <c r="V134" s="4">
        <v>1127724301000000</v>
      </c>
      <c r="W134" s="4">
        <v>-724983253923438</v>
      </c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 t="s">
        <v>160</v>
      </c>
      <c r="AI134" s="1" t="s">
        <v>960</v>
      </c>
      <c r="AJ134" s="1" t="s">
        <v>216</v>
      </c>
      <c r="AK134" s="3">
        <v>43859.47755787037</v>
      </c>
      <c r="AL134" s="1" t="s">
        <v>961</v>
      </c>
      <c r="AM134" s="1"/>
      <c r="AN134" s="1" t="s">
        <v>88</v>
      </c>
    </row>
    <row r="135" spans="1:40">
      <c r="A135" s="1">
        <v>134</v>
      </c>
      <c r="B135" s="1">
        <v>5</v>
      </c>
      <c r="C135" s="1" t="s">
        <v>40</v>
      </c>
      <c r="D135" s="1" t="s">
        <v>40</v>
      </c>
      <c r="E135" s="1" t="s">
        <v>76</v>
      </c>
      <c r="F135" s="1">
        <v>501949453</v>
      </c>
      <c r="G135" s="1" t="s">
        <v>42</v>
      </c>
      <c r="H135" s="1" t="s">
        <v>56</v>
      </c>
      <c r="I135" s="1" t="s">
        <v>962</v>
      </c>
      <c r="J135" s="1">
        <v>50957487</v>
      </c>
      <c r="K135" s="7"/>
      <c r="L135" s="7">
        <v>152409258291</v>
      </c>
      <c r="M135" s="1" t="s">
        <v>45</v>
      </c>
      <c r="N135" s="1" t="s">
        <v>963</v>
      </c>
      <c r="O135" s="3">
        <v>43859.427685185183</v>
      </c>
      <c r="P135" s="3">
        <v>43860.659942129627</v>
      </c>
      <c r="Q135" s="1" t="s">
        <v>964</v>
      </c>
      <c r="R135" s="1" t="s">
        <v>965</v>
      </c>
      <c r="S135" s="7">
        <f>62-81223498494</f>
        <v>-81223498432</v>
      </c>
      <c r="T135" s="1" t="s">
        <v>966</v>
      </c>
      <c r="U135" s="1" t="s">
        <v>967</v>
      </c>
      <c r="V135" s="4">
        <v>1126923373220900</v>
      </c>
      <c r="W135" s="4">
        <v>-727823446032384</v>
      </c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 t="s">
        <v>143</v>
      </c>
      <c r="AI135" s="5">
        <v>43859</v>
      </c>
      <c r="AJ135" s="1" t="s">
        <v>144</v>
      </c>
      <c r="AK135" s="3">
        <v>43859.440185185187</v>
      </c>
      <c r="AL135" s="1" t="s">
        <v>674</v>
      </c>
      <c r="AM135" s="1"/>
      <c r="AN135" s="1" t="s">
        <v>88</v>
      </c>
    </row>
    <row r="136" spans="1:40">
      <c r="A136" s="1">
        <v>135</v>
      </c>
      <c r="B136" s="1">
        <v>5</v>
      </c>
      <c r="C136" s="1" t="s">
        <v>40</v>
      </c>
      <c r="D136" s="1" t="s">
        <v>152</v>
      </c>
      <c r="E136" s="1" t="s">
        <v>230</v>
      </c>
      <c r="F136" s="1">
        <v>501950003</v>
      </c>
      <c r="G136" s="1" t="s">
        <v>42</v>
      </c>
      <c r="H136" s="1" t="s">
        <v>43</v>
      </c>
      <c r="I136" s="1" t="s">
        <v>968</v>
      </c>
      <c r="J136" s="1">
        <v>50394658</v>
      </c>
      <c r="K136" s="7">
        <v>3199115099</v>
      </c>
      <c r="L136" s="7">
        <v>152451900296</v>
      </c>
      <c r="M136" s="1" t="s">
        <v>45</v>
      </c>
      <c r="N136" s="1" t="s">
        <v>969</v>
      </c>
      <c r="O136" s="3">
        <v>43859.437083333331</v>
      </c>
      <c r="P136" s="3">
        <v>43859.589097222219</v>
      </c>
      <c r="Q136" s="1" t="s">
        <v>970</v>
      </c>
      <c r="R136" s="1" t="s">
        <v>971</v>
      </c>
      <c r="S136" s="7">
        <f>62-81515250487</f>
        <v>-81515250425</v>
      </c>
      <c r="T136" s="1" t="s">
        <v>972</v>
      </c>
      <c r="U136" s="1" t="s">
        <v>973</v>
      </c>
      <c r="V136" s="4">
        <v>1125008137012350</v>
      </c>
      <c r="W136" s="4">
        <v>-695413242032306</v>
      </c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 t="s">
        <v>177</v>
      </c>
      <c r="AI136" s="1" t="s">
        <v>974</v>
      </c>
      <c r="AJ136" s="1" t="s">
        <v>805</v>
      </c>
      <c r="AK136" s="3">
        <v>43859.668564814812</v>
      </c>
      <c r="AL136" s="1" t="s">
        <v>975</v>
      </c>
      <c r="AM136" s="1"/>
      <c r="AN136" s="1" t="s">
        <v>117</v>
      </c>
    </row>
    <row r="137" spans="1:40">
      <c r="A137" s="1">
        <v>136</v>
      </c>
      <c r="B137" s="1">
        <v>5</v>
      </c>
      <c r="C137" s="1" t="s">
        <v>40</v>
      </c>
      <c r="D137" s="1" t="s">
        <v>152</v>
      </c>
      <c r="E137" s="1" t="s">
        <v>230</v>
      </c>
      <c r="F137" s="1">
        <v>501951412</v>
      </c>
      <c r="G137" s="1" t="s">
        <v>42</v>
      </c>
      <c r="H137" s="1" t="s">
        <v>43</v>
      </c>
      <c r="I137" s="1" t="s">
        <v>968</v>
      </c>
      <c r="J137" s="1">
        <v>50958415</v>
      </c>
      <c r="K137" s="7">
        <v>3199115211</v>
      </c>
      <c r="L137" s="7">
        <v>152451900156</v>
      </c>
      <c r="M137" s="1" t="s">
        <v>45</v>
      </c>
      <c r="N137" s="1" t="s">
        <v>976</v>
      </c>
      <c r="O137" s="3">
        <v>43859.463923611111</v>
      </c>
      <c r="P137" s="3">
        <v>43859.593263888892</v>
      </c>
      <c r="Q137" s="1" t="s">
        <v>977</v>
      </c>
      <c r="R137" s="1" t="s">
        <v>978</v>
      </c>
      <c r="S137" s="7">
        <f>62-81330434962</f>
        <v>-81330434900</v>
      </c>
      <c r="T137" s="1" t="s">
        <v>979</v>
      </c>
      <c r="U137" s="1" t="s">
        <v>980</v>
      </c>
      <c r="V137" s="4">
        <v>1125008802770530</v>
      </c>
      <c r="W137" s="4">
        <v>-695419592878524</v>
      </c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 t="s">
        <v>177</v>
      </c>
      <c r="AI137" s="5">
        <v>43859</v>
      </c>
      <c r="AJ137" s="1" t="s">
        <v>481</v>
      </c>
      <c r="AK137" s="3">
        <v>43859.8122337963</v>
      </c>
      <c r="AL137" s="1" t="s">
        <v>975</v>
      </c>
      <c r="AM137" s="1"/>
      <c r="AN137" s="1" t="s">
        <v>117</v>
      </c>
    </row>
    <row r="138" spans="1:40">
      <c r="A138" s="1">
        <v>137</v>
      </c>
      <c r="B138" s="1">
        <v>5</v>
      </c>
      <c r="C138" s="1" t="s">
        <v>40</v>
      </c>
      <c r="D138" s="1" t="s">
        <v>40</v>
      </c>
      <c r="E138" s="1" t="s">
        <v>414</v>
      </c>
      <c r="F138" s="1">
        <v>501951731</v>
      </c>
      <c r="G138" s="1" t="s">
        <v>42</v>
      </c>
      <c r="H138" s="1" t="s">
        <v>77</v>
      </c>
      <c r="I138" s="1" t="s">
        <v>981</v>
      </c>
      <c r="J138" s="1">
        <v>50951651</v>
      </c>
      <c r="K138" s="7">
        <v>3199752360</v>
      </c>
      <c r="L138" s="7">
        <v>152415210897</v>
      </c>
      <c r="M138" s="1" t="s">
        <v>45</v>
      </c>
      <c r="N138" s="1" t="s">
        <v>982</v>
      </c>
      <c r="O138" s="3">
        <v>43859.469467592593</v>
      </c>
      <c r="P138" s="3">
        <v>43859.595405092594</v>
      </c>
      <c r="Q138" s="1" t="s">
        <v>983</v>
      </c>
      <c r="R138" s="1" t="s">
        <v>984</v>
      </c>
      <c r="S138" s="7">
        <f>622-85745969184</f>
        <v>-85745968562</v>
      </c>
      <c r="T138" s="1" t="s">
        <v>985</v>
      </c>
      <c r="U138" s="1" t="s">
        <v>986</v>
      </c>
      <c r="V138" s="4">
        <v>112657681</v>
      </c>
      <c r="W138" s="4">
        <v>-7335007</v>
      </c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 t="s">
        <v>51</v>
      </c>
      <c r="AI138" s="1" t="s">
        <v>987</v>
      </c>
      <c r="AJ138" s="1" t="s">
        <v>422</v>
      </c>
      <c r="AK138" s="3">
        <v>43860.340138888889</v>
      </c>
      <c r="AL138" s="1" t="s">
        <v>163</v>
      </c>
      <c r="AM138" s="1"/>
      <c r="AN138" s="1" t="s">
        <v>88</v>
      </c>
    </row>
    <row r="139" spans="1:40">
      <c r="A139" s="1">
        <v>138</v>
      </c>
      <c r="B139" s="1">
        <v>5</v>
      </c>
      <c r="C139" s="1" t="s">
        <v>40</v>
      </c>
      <c r="D139" s="1" t="s">
        <v>40</v>
      </c>
      <c r="E139" s="1" t="s">
        <v>118</v>
      </c>
      <c r="F139" s="1">
        <v>501952171</v>
      </c>
      <c r="G139" s="1" t="s">
        <v>42</v>
      </c>
      <c r="H139" s="1"/>
      <c r="I139" s="1" t="s">
        <v>988</v>
      </c>
      <c r="J139" s="1">
        <v>50909482</v>
      </c>
      <c r="K139" s="7">
        <v>3137395102</v>
      </c>
      <c r="L139" s="7">
        <v>152404279780</v>
      </c>
      <c r="M139" s="1" t="s">
        <v>45</v>
      </c>
      <c r="N139" s="1" t="s">
        <v>989</v>
      </c>
      <c r="O139" s="3">
        <v>43859.47755787037</v>
      </c>
      <c r="P139" s="3">
        <v>43859.596053240741</v>
      </c>
      <c r="Q139" s="1" t="s">
        <v>990</v>
      </c>
      <c r="R139" s="1" t="s">
        <v>991</v>
      </c>
      <c r="S139" s="7">
        <f>622-82328080839</f>
        <v>-82328080217</v>
      </c>
      <c r="T139" s="1" t="s">
        <v>992</v>
      </c>
      <c r="U139" s="1" t="s">
        <v>993</v>
      </c>
      <c r="V139" s="4">
        <v>1127558</v>
      </c>
      <c r="W139" s="4">
        <v>-72445</v>
      </c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 t="s">
        <v>95</v>
      </c>
      <c r="AI139" s="1" t="s">
        <v>994</v>
      </c>
      <c r="AJ139" s="1" t="s">
        <v>126</v>
      </c>
      <c r="AK139" s="3">
        <v>43860.644675925927</v>
      </c>
      <c r="AL139" s="1" t="s">
        <v>701</v>
      </c>
      <c r="AM139" s="1"/>
      <c r="AN139" s="1" t="s">
        <v>88</v>
      </c>
    </row>
    <row r="140" spans="1:40">
      <c r="A140" s="1">
        <v>139</v>
      </c>
      <c r="B140" s="1">
        <v>5</v>
      </c>
      <c r="C140" s="1" t="s">
        <v>40</v>
      </c>
      <c r="D140" s="1" t="s">
        <v>40</v>
      </c>
      <c r="E140" s="1" t="s">
        <v>118</v>
      </c>
      <c r="F140" s="1">
        <v>501952767</v>
      </c>
      <c r="G140" s="1" t="s">
        <v>42</v>
      </c>
      <c r="H140" s="1" t="s">
        <v>77</v>
      </c>
      <c r="I140" s="1" t="s">
        <v>995</v>
      </c>
      <c r="J140" s="1">
        <v>50927711</v>
      </c>
      <c r="K140" s="7">
        <v>3137396622</v>
      </c>
      <c r="L140" s="7">
        <v>152404279728</v>
      </c>
      <c r="M140" s="1" t="s">
        <v>361</v>
      </c>
      <c r="N140" s="1" t="s">
        <v>996</v>
      </c>
      <c r="O140" s="3">
        <v>43859.488657407404</v>
      </c>
      <c r="P140" s="3">
        <v>43860.635405092595</v>
      </c>
      <c r="Q140" s="1" t="s">
        <v>997</v>
      </c>
      <c r="R140" s="1" t="s">
        <v>998</v>
      </c>
      <c r="S140" s="7">
        <f>622-895700652203</f>
        <v>-895700651581</v>
      </c>
      <c r="T140" s="1" t="s">
        <v>999</v>
      </c>
      <c r="U140" s="1" t="s">
        <v>1000</v>
      </c>
      <c r="V140" s="4">
        <v>1127506</v>
      </c>
      <c r="W140" s="4">
        <v>-72449</v>
      </c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 t="s">
        <v>160</v>
      </c>
      <c r="AI140" s="1" t="s">
        <v>1001</v>
      </c>
      <c r="AJ140" s="1" t="s">
        <v>179</v>
      </c>
      <c r="AK140" s="3">
        <v>43859.660520833335</v>
      </c>
      <c r="AL140" s="1" t="s">
        <v>701</v>
      </c>
      <c r="AM140" s="1"/>
      <c r="AN140" s="1" t="s">
        <v>88</v>
      </c>
    </row>
    <row r="141" spans="1:40">
      <c r="A141" s="1">
        <v>140</v>
      </c>
      <c r="B141" s="1">
        <v>5</v>
      </c>
      <c r="C141" s="1" t="s">
        <v>40</v>
      </c>
      <c r="D141" s="1" t="s">
        <v>40</v>
      </c>
      <c r="E141" s="1" t="s">
        <v>118</v>
      </c>
      <c r="F141" s="1">
        <v>501952803</v>
      </c>
      <c r="G141" s="1" t="s">
        <v>42</v>
      </c>
      <c r="H141" s="1" t="s">
        <v>77</v>
      </c>
      <c r="I141" s="1" t="s">
        <v>1002</v>
      </c>
      <c r="J141" s="1">
        <v>50913775</v>
      </c>
      <c r="K141" s="7">
        <v>3137397150</v>
      </c>
      <c r="L141" s="7">
        <v>152404274891</v>
      </c>
      <c r="M141" s="1" t="s">
        <v>620</v>
      </c>
      <c r="N141" s="1" t="s">
        <v>621</v>
      </c>
      <c r="O141" s="3">
        <v>43859.489374999997</v>
      </c>
      <c r="P141" s="3">
        <v>43860.635266203702</v>
      </c>
      <c r="Q141" s="1" t="s">
        <v>1003</v>
      </c>
      <c r="R141" s="1" t="s">
        <v>1004</v>
      </c>
      <c r="S141" s="7">
        <f>622-81803162377</f>
        <v>-81803161755</v>
      </c>
      <c r="T141" s="1" t="s">
        <v>1005</v>
      </c>
      <c r="U141" s="1" t="s">
        <v>1006</v>
      </c>
      <c r="V141" s="4">
        <v>1127653</v>
      </c>
      <c r="W141" s="4">
        <v>-72399</v>
      </c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 t="s">
        <v>160</v>
      </c>
      <c r="AI141" s="1" t="s">
        <v>1001</v>
      </c>
      <c r="AJ141" s="1" t="s">
        <v>179</v>
      </c>
      <c r="AK141" s="3">
        <v>43859.661192129628</v>
      </c>
      <c r="AL141" s="1" t="s">
        <v>701</v>
      </c>
      <c r="AM141" s="1"/>
      <c r="AN141" s="1" t="s">
        <v>88</v>
      </c>
    </row>
    <row r="142" spans="1:40">
      <c r="A142" s="1">
        <v>141</v>
      </c>
      <c r="B142" s="1">
        <v>5</v>
      </c>
      <c r="C142" s="1" t="s">
        <v>40</v>
      </c>
      <c r="D142" s="1" t="s">
        <v>40</v>
      </c>
      <c r="E142" s="1" t="s">
        <v>118</v>
      </c>
      <c r="F142" s="1">
        <v>501952854</v>
      </c>
      <c r="G142" s="1" t="s">
        <v>42</v>
      </c>
      <c r="H142" s="1" t="s">
        <v>77</v>
      </c>
      <c r="I142" s="1" t="s">
        <v>1007</v>
      </c>
      <c r="J142" s="1">
        <v>50930414</v>
      </c>
      <c r="K142" s="7"/>
      <c r="L142" s="7">
        <v>152404276570</v>
      </c>
      <c r="M142" s="1" t="s">
        <v>620</v>
      </c>
      <c r="N142" s="1" t="s">
        <v>621</v>
      </c>
      <c r="O142" s="3">
        <v>43859.489988425928</v>
      </c>
      <c r="P142" s="3">
        <v>43860.617488425924</v>
      </c>
      <c r="Q142" s="1" t="s">
        <v>1008</v>
      </c>
      <c r="R142" s="1" t="s">
        <v>1009</v>
      </c>
      <c r="S142" s="7">
        <f>622-85731213223</f>
        <v>-85731212601</v>
      </c>
      <c r="T142" s="1" t="s">
        <v>1010</v>
      </c>
      <c r="U142" s="1" t="s">
        <v>1011</v>
      </c>
      <c r="V142" s="4">
        <v>1127543</v>
      </c>
      <c r="W142" s="4">
        <v>-7237</v>
      </c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 t="s">
        <v>160</v>
      </c>
      <c r="AI142" s="1" t="s">
        <v>1001</v>
      </c>
      <c r="AJ142" s="1" t="s">
        <v>179</v>
      </c>
      <c r="AK142" s="3">
        <v>43859.662083333336</v>
      </c>
      <c r="AL142" s="1" t="s">
        <v>413</v>
      </c>
      <c r="AM142" s="1"/>
      <c r="AN142" s="1" t="s">
        <v>88</v>
      </c>
    </row>
    <row r="143" spans="1:40">
      <c r="A143" s="1">
        <v>142</v>
      </c>
      <c r="B143" s="1">
        <v>5</v>
      </c>
      <c r="C143" s="1" t="s">
        <v>40</v>
      </c>
      <c r="D143" s="1" t="s">
        <v>40</v>
      </c>
      <c r="E143" s="1" t="s">
        <v>118</v>
      </c>
      <c r="F143" s="1">
        <v>501953577</v>
      </c>
      <c r="G143" s="1" t="s">
        <v>42</v>
      </c>
      <c r="H143" s="1" t="s">
        <v>77</v>
      </c>
      <c r="I143" s="1" t="s">
        <v>1012</v>
      </c>
      <c r="J143" s="1">
        <v>50940422</v>
      </c>
      <c r="K143" s="7">
        <v>3137395423</v>
      </c>
      <c r="L143" s="7">
        <v>152404274046</v>
      </c>
      <c r="M143" s="1" t="s">
        <v>620</v>
      </c>
      <c r="N143" s="1" t="s">
        <v>621</v>
      </c>
      <c r="O143" s="3">
        <v>43859.507245370369</v>
      </c>
      <c r="P143" s="3">
        <v>43860.419456018521</v>
      </c>
      <c r="Q143" s="1" t="s">
        <v>1013</v>
      </c>
      <c r="R143" s="1" t="s">
        <v>1014</v>
      </c>
      <c r="S143" s="7">
        <f>622-81349023222</f>
        <v>-81349022600</v>
      </c>
      <c r="T143" s="1" t="s">
        <v>1015</v>
      </c>
      <c r="U143" s="1" t="s">
        <v>1016</v>
      </c>
      <c r="V143" s="4">
        <v>1127752</v>
      </c>
      <c r="W143" s="4">
        <v>-7216</v>
      </c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 t="s">
        <v>160</v>
      </c>
      <c r="AI143" s="1" t="s">
        <v>1001</v>
      </c>
      <c r="AJ143" s="1" t="s">
        <v>179</v>
      </c>
      <c r="AK143" s="3">
        <v>43859.663425925923</v>
      </c>
      <c r="AL143" s="1" t="s">
        <v>97</v>
      </c>
      <c r="AM143" s="1"/>
      <c r="AN143" s="1" t="s">
        <v>88</v>
      </c>
    </row>
    <row r="144" spans="1:40">
      <c r="A144" s="1">
        <v>143</v>
      </c>
      <c r="B144" s="1">
        <v>5</v>
      </c>
      <c r="C144" s="1" t="s">
        <v>40</v>
      </c>
      <c r="D144" s="1" t="s">
        <v>40</v>
      </c>
      <c r="E144" s="1" t="s">
        <v>41</v>
      </c>
      <c r="F144" s="1">
        <v>501954227</v>
      </c>
      <c r="G144" s="1" t="s">
        <v>42</v>
      </c>
      <c r="H144" s="1" t="s">
        <v>43</v>
      </c>
      <c r="I144" s="1" t="s">
        <v>1017</v>
      </c>
      <c r="J144" s="1">
        <v>50960149</v>
      </c>
      <c r="K144" s="7"/>
      <c r="L144" s="7">
        <v>152413141670</v>
      </c>
      <c r="M144" s="1" t="s">
        <v>620</v>
      </c>
      <c r="N144" s="1" t="s">
        <v>621</v>
      </c>
      <c r="O144" s="3">
        <v>43859.540046296293</v>
      </c>
      <c r="P144" s="3">
        <v>43860.583090277774</v>
      </c>
      <c r="Q144" s="1" t="s">
        <v>1018</v>
      </c>
      <c r="R144" s="1" t="s">
        <v>1019</v>
      </c>
      <c r="S144" s="7">
        <f>62-82139513690</f>
        <v>-82139513628</v>
      </c>
      <c r="T144" s="1" t="s">
        <v>1020</v>
      </c>
      <c r="U144" s="1" t="s">
        <v>1021</v>
      </c>
      <c r="V144" s="4">
        <v>1127277733460320</v>
      </c>
      <c r="W144" s="4">
        <v>-725578028495621</v>
      </c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 t="s">
        <v>177</v>
      </c>
      <c r="AI144" s="5">
        <v>43859</v>
      </c>
      <c r="AJ144" s="1" t="s">
        <v>481</v>
      </c>
      <c r="AK144" s="3">
        <v>43859.811666666668</v>
      </c>
      <c r="AL144" s="1" t="s">
        <v>1022</v>
      </c>
      <c r="AM144" s="1"/>
      <c r="AN144" s="1" t="s">
        <v>88</v>
      </c>
    </row>
    <row r="145" spans="1:40">
      <c r="A145" s="1">
        <v>144</v>
      </c>
      <c r="B145" s="1">
        <v>5</v>
      </c>
      <c r="C145" s="1" t="s">
        <v>40</v>
      </c>
      <c r="D145" s="1" t="s">
        <v>283</v>
      </c>
      <c r="E145" s="1" t="s">
        <v>806</v>
      </c>
      <c r="F145" s="1">
        <v>501955176</v>
      </c>
      <c r="G145" s="1" t="s">
        <v>42</v>
      </c>
      <c r="H145" s="1" t="s">
        <v>43</v>
      </c>
      <c r="I145" s="1" t="s">
        <v>1023</v>
      </c>
      <c r="J145" s="1">
        <v>50960770</v>
      </c>
      <c r="K145" s="7">
        <v>322316460</v>
      </c>
      <c r="L145" s="7">
        <v>152433204275</v>
      </c>
      <c r="M145" s="1" t="s">
        <v>45</v>
      </c>
      <c r="N145" s="1" t="s">
        <v>1024</v>
      </c>
      <c r="O145" s="3">
        <v>43859.558240740742</v>
      </c>
      <c r="P145" s="3">
        <v>43859.820347222223</v>
      </c>
      <c r="Q145" s="1" t="s">
        <v>1025</v>
      </c>
      <c r="R145" s="1" t="s">
        <v>1026</v>
      </c>
      <c r="S145" s="7">
        <f>62-85707734899</f>
        <v>-85707734837</v>
      </c>
      <c r="T145" s="1" t="s">
        <v>1027</v>
      </c>
      <c r="U145" s="1" t="s">
        <v>1028</v>
      </c>
      <c r="V145" s="4">
        <v>1124564128134910</v>
      </c>
      <c r="W145" s="4">
        <v>-710685417127157</v>
      </c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 t="s">
        <v>177</v>
      </c>
      <c r="AI145" s="5">
        <v>43859</v>
      </c>
      <c r="AJ145" s="1" t="s">
        <v>481</v>
      </c>
      <c r="AK145" s="3">
        <v>43859.811724537038</v>
      </c>
      <c r="AL145" s="1" t="s">
        <v>537</v>
      </c>
      <c r="AM145" s="1"/>
      <c r="AN145" s="1" t="s">
        <v>117</v>
      </c>
    </row>
    <row r="146" spans="1:40">
      <c r="A146" s="1">
        <v>145</v>
      </c>
      <c r="B146" s="1">
        <v>5</v>
      </c>
      <c r="C146" s="1" t="s">
        <v>40</v>
      </c>
      <c r="D146" s="1" t="s">
        <v>40</v>
      </c>
      <c r="E146" s="1" t="s">
        <v>41</v>
      </c>
      <c r="F146" s="1">
        <v>501955182</v>
      </c>
      <c r="G146" s="1" t="s">
        <v>42</v>
      </c>
      <c r="H146" s="1" t="s">
        <v>43</v>
      </c>
      <c r="I146" s="1" t="s">
        <v>1029</v>
      </c>
      <c r="J146" s="1">
        <v>43460410</v>
      </c>
      <c r="K146" s="7">
        <v>3199248558</v>
      </c>
      <c r="L146" s="7">
        <v>152413141786</v>
      </c>
      <c r="M146" s="1" t="s">
        <v>620</v>
      </c>
      <c r="N146" s="1" t="s">
        <v>621</v>
      </c>
      <c r="O146" s="3">
        <v>43859.558518518519</v>
      </c>
      <c r="P146" s="3">
        <v>43860.613449074073</v>
      </c>
      <c r="Q146" s="1" t="s">
        <v>1030</v>
      </c>
      <c r="R146" s="1" t="s">
        <v>1031</v>
      </c>
      <c r="S146" s="7">
        <f>62-81000000</f>
        <v>-80999938</v>
      </c>
      <c r="T146" s="1" t="s">
        <v>1032</v>
      </c>
      <c r="U146" s="1" t="s">
        <v>1033</v>
      </c>
      <c r="V146" s="4">
        <v>1127500285194780</v>
      </c>
      <c r="W146" s="4">
        <v>-726132595689903</v>
      </c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 t="s">
        <v>177</v>
      </c>
      <c r="AI146" s="1" t="s">
        <v>1034</v>
      </c>
      <c r="AJ146" s="1" t="s">
        <v>481</v>
      </c>
      <c r="AK146" s="3">
        <v>43859.812337962961</v>
      </c>
      <c r="AL146" s="1" t="s">
        <v>1035</v>
      </c>
      <c r="AM146" s="1"/>
      <c r="AN146" s="1" t="s">
        <v>117</v>
      </c>
    </row>
    <row r="147" spans="1:40">
      <c r="A147" s="1">
        <v>146</v>
      </c>
      <c r="B147" s="1">
        <v>5</v>
      </c>
      <c r="C147" s="1" t="s">
        <v>40</v>
      </c>
      <c r="D147" s="1" t="s">
        <v>40</v>
      </c>
      <c r="E147" s="1" t="s">
        <v>1036</v>
      </c>
      <c r="F147" s="1">
        <v>501955622</v>
      </c>
      <c r="G147" s="1" t="s">
        <v>42</v>
      </c>
      <c r="H147" s="1" t="s">
        <v>43</v>
      </c>
      <c r="I147" s="1" t="s">
        <v>1037</v>
      </c>
      <c r="J147" s="1">
        <v>50960794</v>
      </c>
      <c r="K147" s="7">
        <v>3199052333</v>
      </c>
      <c r="L147" s="7">
        <v>152417203853</v>
      </c>
      <c r="M147" s="1" t="s">
        <v>45</v>
      </c>
      <c r="N147" s="1" t="s">
        <v>1038</v>
      </c>
      <c r="O147" s="3">
        <v>43859.567256944443</v>
      </c>
      <c r="P147" s="3">
        <v>43859.657187500001</v>
      </c>
      <c r="Q147" s="1" t="s">
        <v>1039</v>
      </c>
      <c r="R147" s="1" t="s">
        <v>1040</v>
      </c>
      <c r="S147" s="7">
        <f>62-82257418740</f>
        <v>-82257418678</v>
      </c>
      <c r="T147" s="1" t="s">
        <v>1041</v>
      </c>
      <c r="U147" s="1" t="s">
        <v>1042</v>
      </c>
      <c r="V147" s="4">
        <v>1126399509573280</v>
      </c>
      <c r="W147" s="4">
        <v>-733951602379621</v>
      </c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 t="s">
        <v>160</v>
      </c>
      <c r="AI147" s="1" t="s">
        <v>1043</v>
      </c>
      <c r="AJ147" s="1" t="s">
        <v>1044</v>
      </c>
      <c r="AK147" s="3">
        <v>43859.661620370367</v>
      </c>
      <c r="AL147" s="1" t="s">
        <v>359</v>
      </c>
      <c r="AM147" s="1"/>
      <c r="AN147" s="1" t="s">
        <v>117</v>
      </c>
    </row>
    <row r="148" spans="1:40">
      <c r="A148" s="1">
        <v>147</v>
      </c>
      <c r="B148" s="1">
        <v>5</v>
      </c>
      <c r="C148" s="1" t="s">
        <v>40</v>
      </c>
      <c r="D148" s="1" t="s">
        <v>40</v>
      </c>
      <c r="E148" s="1" t="s">
        <v>118</v>
      </c>
      <c r="F148" s="1">
        <v>501955761</v>
      </c>
      <c r="G148" s="1" t="s">
        <v>42</v>
      </c>
      <c r="H148" s="1" t="s">
        <v>77</v>
      </c>
      <c r="I148" s="1" t="s">
        <v>1045</v>
      </c>
      <c r="J148" s="1">
        <v>50944245</v>
      </c>
      <c r="K148" s="7">
        <v>3137308401</v>
      </c>
      <c r="L148" s="7">
        <v>152404271141</v>
      </c>
      <c r="M148" s="1" t="s">
        <v>45</v>
      </c>
      <c r="N148" s="1" t="s">
        <v>1046</v>
      </c>
      <c r="O148" s="3">
        <v>43859.570150462961</v>
      </c>
      <c r="P148" s="3">
        <v>43859.625972222224</v>
      </c>
      <c r="Q148" s="1" t="s">
        <v>1047</v>
      </c>
      <c r="R148" s="1" t="s">
        <v>1048</v>
      </c>
      <c r="S148" s="7">
        <f>622-89636861816</f>
        <v>-89636861194</v>
      </c>
      <c r="T148" s="1" t="s">
        <v>1049</v>
      </c>
      <c r="U148" s="1" t="s">
        <v>1050</v>
      </c>
      <c r="V148" s="4">
        <v>112771016</v>
      </c>
      <c r="W148" s="4">
        <v>-7219101</v>
      </c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 t="s">
        <v>160</v>
      </c>
      <c r="AI148" s="1" t="s">
        <v>1051</v>
      </c>
      <c r="AJ148" s="1" t="s">
        <v>126</v>
      </c>
      <c r="AK148" s="3">
        <v>43860.654351851852</v>
      </c>
      <c r="AL148" s="1" t="s">
        <v>701</v>
      </c>
      <c r="AM148" s="1"/>
      <c r="AN148" s="1" t="s">
        <v>88</v>
      </c>
    </row>
    <row r="149" spans="1:40">
      <c r="A149" s="1">
        <v>148</v>
      </c>
      <c r="B149" s="1">
        <v>5</v>
      </c>
      <c r="C149" s="1" t="s">
        <v>40</v>
      </c>
      <c r="D149" s="1" t="s">
        <v>40</v>
      </c>
      <c r="E149" s="1" t="s">
        <v>118</v>
      </c>
      <c r="F149" s="1">
        <v>501955808</v>
      </c>
      <c r="G149" s="1" t="s">
        <v>42</v>
      </c>
      <c r="H149" s="1" t="s">
        <v>77</v>
      </c>
      <c r="I149" s="1" t="s">
        <v>1052</v>
      </c>
      <c r="J149" s="1">
        <v>50949400</v>
      </c>
      <c r="K149" s="7">
        <v>3137396591</v>
      </c>
      <c r="L149" s="7">
        <v>152404274318</v>
      </c>
      <c r="M149" s="1" t="s">
        <v>620</v>
      </c>
      <c r="N149" s="1" t="s">
        <v>621</v>
      </c>
      <c r="O149" s="3">
        <v>43859.570659722223</v>
      </c>
      <c r="P149" s="3">
        <v>43860.401087962964</v>
      </c>
      <c r="Q149" s="1" t="s">
        <v>1053</v>
      </c>
      <c r="R149" s="1" t="s">
        <v>1054</v>
      </c>
      <c r="S149" s="7">
        <f>622-856485959560</f>
        <v>-856485958938</v>
      </c>
      <c r="T149" s="1" t="s">
        <v>1055</v>
      </c>
      <c r="U149" s="1" t="s">
        <v>1056</v>
      </c>
      <c r="V149" s="4">
        <v>1127537</v>
      </c>
      <c r="W149" s="4">
        <v>-72388</v>
      </c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 t="s">
        <v>160</v>
      </c>
      <c r="AI149" s="1" t="s">
        <v>1001</v>
      </c>
      <c r="AJ149" s="1" t="s">
        <v>179</v>
      </c>
      <c r="AK149" s="3">
        <v>43859.668726851851</v>
      </c>
      <c r="AL149" s="1" t="s">
        <v>701</v>
      </c>
      <c r="AM149" s="1"/>
      <c r="AN149" s="1" t="s">
        <v>88</v>
      </c>
    </row>
    <row r="150" spans="1:40">
      <c r="A150" s="1">
        <v>149</v>
      </c>
      <c r="B150" s="1">
        <v>5</v>
      </c>
      <c r="C150" s="1" t="s">
        <v>40</v>
      </c>
      <c r="D150" s="1" t="s">
        <v>152</v>
      </c>
      <c r="E150" s="1" t="s">
        <v>153</v>
      </c>
      <c r="F150" s="1">
        <v>501956143</v>
      </c>
      <c r="G150" s="1" t="s">
        <v>42</v>
      </c>
      <c r="H150" s="1" t="s">
        <v>43</v>
      </c>
      <c r="I150" s="1" t="s">
        <v>1057</v>
      </c>
      <c r="J150" s="1">
        <v>50961066</v>
      </c>
      <c r="K150" s="7">
        <v>3199171728</v>
      </c>
      <c r="L150" s="7">
        <v>152442214875</v>
      </c>
      <c r="M150" s="1" t="s">
        <v>45</v>
      </c>
      <c r="N150" s="1" t="s">
        <v>1058</v>
      </c>
      <c r="O150" s="3">
        <v>43859.577465277776</v>
      </c>
      <c r="P150" s="3">
        <v>43859.632847222223</v>
      </c>
      <c r="Q150" s="1" t="s">
        <v>1059</v>
      </c>
      <c r="R150" s="1" t="s">
        <v>1060</v>
      </c>
      <c r="S150" s="7">
        <f>62-85100228769</f>
        <v>-85100228707</v>
      </c>
      <c r="T150" s="1" t="s">
        <v>1061</v>
      </c>
      <c r="U150" s="1" t="s">
        <v>1062</v>
      </c>
      <c r="V150" s="4">
        <v>1125776352331350</v>
      </c>
      <c r="W150" s="4">
        <v>-729223322874691</v>
      </c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 t="s">
        <v>177</v>
      </c>
      <c r="AI150" s="5">
        <v>43859</v>
      </c>
      <c r="AJ150" s="1" t="s">
        <v>481</v>
      </c>
      <c r="AK150" s="3">
        <v>43859.812395833331</v>
      </c>
      <c r="AL150" s="1" t="s">
        <v>116</v>
      </c>
      <c r="AM150" s="1"/>
      <c r="AN150" s="1" t="s">
        <v>117</v>
      </c>
    </row>
    <row r="151" spans="1:40">
      <c r="A151" s="1">
        <v>150</v>
      </c>
      <c r="B151" s="1">
        <v>5</v>
      </c>
      <c r="C151" s="1" t="s">
        <v>40</v>
      </c>
      <c r="D151" s="1" t="s">
        <v>40</v>
      </c>
      <c r="E151" s="1" t="s">
        <v>376</v>
      </c>
      <c r="F151" s="1">
        <v>501956317</v>
      </c>
      <c r="G151" s="1" t="s">
        <v>42</v>
      </c>
      <c r="H151" s="1" t="s">
        <v>77</v>
      </c>
      <c r="I151" s="1" t="s">
        <v>1063</v>
      </c>
      <c r="J151" s="1">
        <v>50951102</v>
      </c>
      <c r="K151" s="7">
        <v>3199429614</v>
      </c>
      <c r="L151" s="7">
        <v>152424243356</v>
      </c>
      <c r="M151" s="1" t="s">
        <v>620</v>
      </c>
      <c r="N151" s="1" t="s">
        <v>621</v>
      </c>
      <c r="O151" s="3">
        <v>43859.579560185186</v>
      </c>
      <c r="P151" s="3">
        <v>43860.590763888889</v>
      </c>
      <c r="Q151" s="1" t="s">
        <v>1064</v>
      </c>
      <c r="R151" s="1" t="s">
        <v>1065</v>
      </c>
      <c r="S151" s="7">
        <f>622-83849720269</f>
        <v>-83849719647</v>
      </c>
      <c r="T151" s="1" t="s">
        <v>1066</v>
      </c>
      <c r="U151" s="1" t="s">
        <v>1067</v>
      </c>
      <c r="V151" s="4">
        <v>1.12677340307396E+16</v>
      </c>
      <c r="W151" s="4">
        <v>-7.3124037472496896E+16</v>
      </c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 t="s">
        <v>143</v>
      </c>
      <c r="AI151" s="5">
        <v>43860</v>
      </c>
      <c r="AJ151" s="1" t="s">
        <v>144</v>
      </c>
      <c r="AK151" s="3">
        <v>43859.5858912037</v>
      </c>
      <c r="AL151" s="1" t="s">
        <v>701</v>
      </c>
      <c r="AM151" s="1"/>
      <c r="AN151" s="1" t="s">
        <v>88</v>
      </c>
    </row>
    <row r="152" spans="1:40">
      <c r="A152" s="1">
        <v>151</v>
      </c>
      <c r="B152" s="1">
        <v>5</v>
      </c>
      <c r="C152" s="1" t="s">
        <v>40</v>
      </c>
      <c r="D152" s="1" t="s">
        <v>40</v>
      </c>
      <c r="E152" s="1" t="s">
        <v>118</v>
      </c>
      <c r="F152" s="1">
        <v>501956365</v>
      </c>
      <c r="G152" s="1" t="s">
        <v>42</v>
      </c>
      <c r="H152" s="1" t="s">
        <v>77</v>
      </c>
      <c r="I152" s="1" t="s">
        <v>1068</v>
      </c>
      <c r="J152" s="1">
        <v>50955472</v>
      </c>
      <c r="K152" s="7"/>
      <c r="L152" s="7">
        <v>152404272697</v>
      </c>
      <c r="M152" s="1" t="s">
        <v>1069</v>
      </c>
      <c r="N152" s="1" t="s">
        <v>1070</v>
      </c>
      <c r="O152" s="3">
        <v>43859.580601851849</v>
      </c>
      <c r="P152" s="3">
        <v>43860.392766203702</v>
      </c>
      <c r="Q152" s="1" t="s">
        <v>1071</v>
      </c>
      <c r="R152" s="1" t="s">
        <v>1072</v>
      </c>
      <c r="S152" s="7">
        <f>622-87846148024</f>
        <v>-87846147402</v>
      </c>
      <c r="T152" s="1" t="s">
        <v>1073</v>
      </c>
      <c r="U152" s="1" t="s">
        <v>1074</v>
      </c>
      <c r="V152" s="4">
        <v>1127512</v>
      </c>
      <c r="W152" s="4">
        <v>-72467</v>
      </c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 t="s">
        <v>160</v>
      </c>
      <c r="AI152" s="1" t="s">
        <v>1001</v>
      </c>
      <c r="AJ152" s="1" t="s">
        <v>179</v>
      </c>
      <c r="AK152" s="3">
        <v>43859.669560185182</v>
      </c>
      <c r="AL152" s="1" t="s">
        <v>163</v>
      </c>
      <c r="AM152" s="1"/>
      <c r="AN152" s="1" t="s">
        <v>88</v>
      </c>
    </row>
    <row r="153" spans="1:40">
      <c r="A153" s="1">
        <v>152</v>
      </c>
      <c r="B153" s="1">
        <v>5</v>
      </c>
      <c r="C153" s="1" t="s">
        <v>40</v>
      </c>
      <c r="D153" s="1" t="s">
        <v>40</v>
      </c>
      <c r="E153" s="1" t="s">
        <v>107</v>
      </c>
      <c r="F153" s="1">
        <v>501957003</v>
      </c>
      <c r="G153" s="1" t="s">
        <v>42</v>
      </c>
      <c r="H153" s="1" t="s">
        <v>43</v>
      </c>
      <c r="I153" s="1" t="s">
        <v>793</v>
      </c>
      <c r="J153" s="1">
        <v>50937777</v>
      </c>
      <c r="K153" s="7">
        <v>317456776</v>
      </c>
      <c r="L153" s="7">
        <v>152412231757</v>
      </c>
      <c r="M153" s="1" t="s">
        <v>45</v>
      </c>
      <c r="N153" s="1" t="s">
        <v>1075</v>
      </c>
      <c r="O153" s="3">
        <v>43859.590752314813</v>
      </c>
      <c r="P153" s="3">
        <v>43859.641226851854</v>
      </c>
      <c r="Q153" s="1" t="s">
        <v>1076</v>
      </c>
      <c r="R153" s="1" t="s">
        <v>796</v>
      </c>
      <c r="S153" s="7">
        <f>62-82131694382</f>
        <v>-82131694320</v>
      </c>
      <c r="T153" s="1" t="s">
        <v>1077</v>
      </c>
      <c r="U153" s="1" t="s">
        <v>798</v>
      </c>
      <c r="V153" s="4">
        <v>1126066287481510</v>
      </c>
      <c r="W153" s="4">
        <v>-723292751731473</v>
      </c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 t="s">
        <v>160</v>
      </c>
      <c r="AI153" s="1" t="s">
        <v>1078</v>
      </c>
      <c r="AJ153" s="1" t="s">
        <v>115</v>
      </c>
      <c r="AK153" s="3">
        <v>43860.324895833335</v>
      </c>
      <c r="AL153" s="1" t="s">
        <v>116</v>
      </c>
      <c r="AM153" s="1"/>
      <c r="AN153" s="1" t="s">
        <v>117</v>
      </c>
    </row>
    <row r="154" spans="1:40">
      <c r="A154" s="1">
        <v>153</v>
      </c>
      <c r="B154" s="1">
        <v>5</v>
      </c>
      <c r="C154" s="1" t="s">
        <v>40</v>
      </c>
      <c r="D154" s="1" t="s">
        <v>40</v>
      </c>
      <c r="E154" s="1" t="s">
        <v>118</v>
      </c>
      <c r="F154" s="1">
        <v>501957663</v>
      </c>
      <c r="G154" s="1" t="s">
        <v>42</v>
      </c>
      <c r="H154" s="1" t="s">
        <v>77</v>
      </c>
      <c r="I154" s="1" t="s">
        <v>1079</v>
      </c>
      <c r="J154" s="1">
        <v>50935475</v>
      </c>
      <c r="K154" s="7">
        <v>3137396939</v>
      </c>
      <c r="L154" s="7">
        <v>152404279925</v>
      </c>
      <c r="M154" s="1" t="s">
        <v>620</v>
      </c>
      <c r="N154" s="1" t="s">
        <v>621</v>
      </c>
      <c r="O154" s="3">
        <v>43859.600960648146</v>
      </c>
      <c r="P154" s="3">
        <v>43860.523356481484</v>
      </c>
      <c r="Q154" s="1" t="s">
        <v>1080</v>
      </c>
      <c r="R154" s="1" t="s">
        <v>1081</v>
      </c>
      <c r="S154" s="7">
        <f>622-85733600631</f>
        <v>-85733600009</v>
      </c>
      <c r="T154" s="1" t="s">
        <v>1082</v>
      </c>
      <c r="U154" s="1" t="s">
        <v>1083</v>
      </c>
      <c r="V154" s="4">
        <v>1127709</v>
      </c>
      <c r="W154" s="4">
        <v>-7221</v>
      </c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 t="s">
        <v>160</v>
      </c>
      <c r="AI154" s="1" t="s">
        <v>1001</v>
      </c>
      <c r="AJ154" s="1" t="s">
        <v>179</v>
      </c>
      <c r="AK154" s="3">
        <v>43859.66982638889</v>
      </c>
      <c r="AL154" s="1" t="s">
        <v>701</v>
      </c>
      <c r="AM154" s="1"/>
      <c r="AN154" s="1" t="s">
        <v>88</v>
      </c>
    </row>
    <row r="155" spans="1:40">
      <c r="A155" s="1">
        <v>154</v>
      </c>
      <c r="B155" s="1">
        <v>5</v>
      </c>
      <c r="C155" s="1" t="s">
        <v>40</v>
      </c>
      <c r="D155" s="1" t="s">
        <v>40</v>
      </c>
      <c r="E155" s="1" t="s">
        <v>784</v>
      </c>
      <c r="F155" s="1">
        <v>501958102</v>
      </c>
      <c r="G155" s="1" t="s">
        <v>42</v>
      </c>
      <c r="H155" s="1" t="s">
        <v>77</v>
      </c>
      <c r="I155" s="1" t="s">
        <v>1084</v>
      </c>
      <c r="J155" s="1">
        <v>50957919</v>
      </c>
      <c r="K155" s="7">
        <v>3199018188</v>
      </c>
      <c r="L155" s="7">
        <v>152401201822</v>
      </c>
      <c r="M155" s="1" t="s">
        <v>620</v>
      </c>
      <c r="N155" s="1" t="s">
        <v>621</v>
      </c>
      <c r="O155" s="3">
        <v>43859.607766203706</v>
      </c>
      <c r="P155" s="3">
        <v>43860.586863425924</v>
      </c>
      <c r="Q155" s="1" t="s">
        <v>1085</v>
      </c>
      <c r="R155" s="1" t="s">
        <v>1086</v>
      </c>
      <c r="S155" s="7">
        <f>622-85330043192</f>
        <v>-85330042570</v>
      </c>
      <c r="T155" s="1" t="s">
        <v>1087</v>
      </c>
      <c r="U155" s="1" t="s">
        <v>1088</v>
      </c>
      <c r="V155" s="4">
        <v>11272580749</v>
      </c>
      <c r="W155" s="4">
        <v>-7236224931</v>
      </c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 t="s">
        <v>177</v>
      </c>
      <c r="AI155" s="5">
        <v>43860</v>
      </c>
      <c r="AJ155" s="1" t="s">
        <v>481</v>
      </c>
      <c r="AK155" s="3">
        <v>43859.812511574077</v>
      </c>
      <c r="AL155" s="1" t="s">
        <v>701</v>
      </c>
      <c r="AM155" s="1"/>
      <c r="AN155" s="1" t="s">
        <v>88</v>
      </c>
    </row>
    <row r="156" spans="1:40">
      <c r="A156" s="1">
        <v>155</v>
      </c>
      <c r="B156" s="1">
        <v>5</v>
      </c>
      <c r="C156" s="1" t="s">
        <v>40</v>
      </c>
      <c r="D156" s="1" t="s">
        <v>40</v>
      </c>
      <c r="E156" s="1" t="s">
        <v>784</v>
      </c>
      <c r="F156" s="1">
        <v>501958175</v>
      </c>
      <c r="G156" s="1" t="s">
        <v>42</v>
      </c>
      <c r="H156" s="1" t="s">
        <v>77</v>
      </c>
      <c r="I156" s="1" t="s">
        <v>1089</v>
      </c>
      <c r="J156" s="1">
        <v>50944574</v>
      </c>
      <c r="K156" s="7">
        <v>3199018575</v>
      </c>
      <c r="L156" s="7">
        <v>152401200184</v>
      </c>
      <c r="M156" s="1" t="s">
        <v>620</v>
      </c>
      <c r="N156" s="1" t="s">
        <v>621</v>
      </c>
      <c r="O156" s="3">
        <v>43859.608541666668</v>
      </c>
      <c r="P156" s="3">
        <v>43860.382395833331</v>
      </c>
      <c r="Q156" s="1" t="s">
        <v>1090</v>
      </c>
      <c r="R156" s="1" t="s">
        <v>1091</v>
      </c>
      <c r="S156" s="7">
        <f>622-82230959634</f>
        <v>-82230959012</v>
      </c>
      <c r="T156" s="1" t="s">
        <v>1092</v>
      </c>
      <c r="U156" s="1" t="s">
        <v>1093</v>
      </c>
      <c r="V156" s="4">
        <v>11272101768</v>
      </c>
      <c r="W156" s="4">
        <v>-7243466462</v>
      </c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 t="s">
        <v>177</v>
      </c>
      <c r="AI156" s="5">
        <v>43860</v>
      </c>
      <c r="AJ156" s="1" t="s">
        <v>481</v>
      </c>
      <c r="AK156" s="3">
        <v>43859.812557870369</v>
      </c>
      <c r="AL156" s="1" t="s">
        <v>293</v>
      </c>
      <c r="AM156" s="1"/>
      <c r="AN156" s="1" t="s">
        <v>88</v>
      </c>
    </row>
    <row r="157" spans="1:40">
      <c r="A157" s="1">
        <v>156</v>
      </c>
      <c r="B157" s="1">
        <v>5</v>
      </c>
      <c r="C157" s="1" t="s">
        <v>40</v>
      </c>
      <c r="D157" s="1" t="s">
        <v>152</v>
      </c>
      <c r="E157" s="1" t="s">
        <v>153</v>
      </c>
      <c r="F157" s="1">
        <v>501958218</v>
      </c>
      <c r="G157" s="1" t="s">
        <v>42</v>
      </c>
      <c r="H157" s="1" t="s">
        <v>77</v>
      </c>
      <c r="I157" s="1" t="s">
        <v>1094</v>
      </c>
      <c r="J157" s="1">
        <v>50960740</v>
      </c>
      <c r="K157" s="7">
        <v>3199170631</v>
      </c>
      <c r="L157" s="7">
        <v>152442214342</v>
      </c>
      <c r="M157" s="1" t="s">
        <v>620</v>
      </c>
      <c r="N157" s="1" t="s">
        <v>621</v>
      </c>
      <c r="O157" s="3">
        <v>43859.609479166669</v>
      </c>
      <c r="P157" s="3">
        <v>43860.367847222224</v>
      </c>
      <c r="Q157" s="1" t="s">
        <v>1095</v>
      </c>
      <c r="R157" s="1" t="s">
        <v>1096</v>
      </c>
      <c r="S157" s="7">
        <f>622-85258949148</f>
        <v>-85258948526</v>
      </c>
      <c r="T157" s="1" t="s">
        <v>1097</v>
      </c>
      <c r="U157" s="1" t="s">
        <v>1098</v>
      </c>
      <c r="V157" s="4">
        <v>112602095200721</v>
      </c>
      <c r="W157" s="4">
        <v>-729682017058249</v>
      </c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 t="s">
        <v>143</v>
      </c>
      <c r="AI157" s="5">
        <v>43860</v>
      </c>
      <c r="AJ157" s="1" t="s">
        <v>144</v>
      </c>
      <c r="AK157" s="3">
        <v>43859.616932870369</v>
      </c>
      <c r="AL157" s="1" t="s">
        <v>293</v>
      </c>
      <c r="AM157" s="1"/>
      <c r="AN157" s="1" t="s">
        <v>88</v>
      </c>
    </row>
    <row r="158" spans="1:40">
      <c r="A158" s="1">
        <v>157</v>
      </c>
      <c r="B158" s="1">
        <v>5</v>
      </c>
      <c r="C158" s="1" t="s">
        <v>40</v>
      </c>
      <c r="D158" s="1" t="s">
        <v>40</v>
      </c>
      <c r="E158" s="1" t="s">
        <v>208</v>
      </c>
      <c r="F158" s="1">
        <v>501958181</v>
      </c>
      <c r="G158" s="1" t="s">
        <v>42</v>
      </c>
      <c r="H158" s="1" t="s">
        <v>43</v>
      </c>
      <c r="I158" s="1" t="s">
        <v>1099</v>
      </c>
      <c r="J158" s="1">
        <v>50962111</v>
      </c>
      <c r="K158" s="7"/>
      <c r="L158" s="7">
        <v>152407253603</v>
      </c>
      <c r="M158" s="1" t="s">
        <v>45</v>
      </c>
      <c r="N158" s="1" t="s">
        <v>1100</v>
      </c>
      <c r="O158" s="3">
        <v>43859.610717592594</v>
      </c>
      <c r="P158" s="3">
        <v>43859.65828703704</v>
      </c>
      <c r="Q158" s="1" t="s">
        <v>1101</v>
      </c>
      <c r="R158" s="1" t="s">
        <v>1102</v>
      </c>
      <c r="S158" s="7">
        <f>62-87750158885</f>
        <v>-87750158823</v>
      </c>
      <c r="T158" s="1" t="s">
        <v>1103</v>
      </c>
      <c r="U158" s="1" t="s">
        <v>1104</v>
      </c>
      <c r="V158" s="4">
        <v>1127839248230320</v>
      </c>
      <c r="W158" s="4">
        <v>-723489076295321</v>
      </c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 t="s">
        <v>160</v>
      </c>
      <c r="AI158" s="1" t="s">
        <v>1105</v>
      </c>
      <c r="AJ158" s="1" t="s">
        <v>216</v>
      </c>
      <c r="AK158" s="3">
        <v>43859.754120370373</v>
      </c>
      <c r="AL158" s="1" t="s">
        <v>1106</v>
      </c>
      <c r="AM158" s="1"/>
      <c r="AN158" s="1" t="s">
        <v>88</v>
      </c>
    </row>
    <row r="159" spans="1:40">
      <c r="A159" s="1">
        <v>158</v>
      </c>
      <c r="B159" s="1">
        <v>5</v>
      </c>
      <c r="C159" s="1" t="s">
        <v>40</v>
      </c>
      <c r="D159" s="1" t="s">
        <v>40</v>
      </c>
      <c r="E159" s="1" t="s">
        <v>250</v>
      </c>
      <c r="F159" s="1">
        <v>501958512</v>
      </c>
      <c r="G159" s="1" t="s">
        <v>42</v>
      </c>
      <c r="H159" s="1" t="s">
        <v>43</v>
      </c>
      <c r="I159" s="1" t="s">
        <v>1107</v>
      </c>
      <c r="J159" s="1">
        <v>50958375</v>
      </c>
      <c r="K159" s="7">
        <v>3199340945</v>
      </c>
      <c r="L159" s="7">
        <v>152418218740</v>
      </c>
      <c r="M159" s="1" t="s">
        <v>620</v>
      </c>
      <c r="N159" s="1" t="s">
        <v>621</v>
      </c>
      <c r="O159" s="3">
        <v>43859.61378472222</v>
      </c>
      <c r="P159" s="3">
        <v>43860.603483796294</v>
      </c>
      <c r="Q159" s="1" t="s">
        <v>1108</v>
      </c>
      <c r="R159" s="1" t="s">
        <v>1109</v>
      </c>
      <c r="S159" s="7">
        <f>62-82143154525</f>
        <v>-82143154463</v>
      </c>
      <c r="T159" s="1" t="s">
        <v>1110</v>
      </c>
      <c r="U159" s="1" t="s">
        <v>1111</v>
      </c>
      <c r="V159" s="4">
        <v>1126840963675320</v>
      </c>
      <c r="W159" s="4">
        <v>-725661301888774</v>
      </c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 t="s">
        <v>51</v>
      </c>
      <c r="AI159" s="1" t="s">
        <v>1112</v>
      </c>
      <c r="AJ159" s="1" t="s">
        <v>257</v>
      </c>
      <c r="AK159" s="3">
        <v>43859.685879629629</v>
      </c>
      <c r="AL159" s="1" t="s">
        <v>359</v>
      </c>
      <c r="AM159" s="1"/>
      <c r="AN159" s="1" t="s">
        <v>117</v>
      </c>
    </row>
    <row r="160" spans="1:40">
      <c r="A160" s="1">
        <v>159</v>
      </c>
      <c r="B160" s="1">
        <v>5</v>
      </c>
      <c r="C160" s="1" t="s">
        <v>40</v>
      </c>
      <c r="D160" s="1" t="s">
        <v>40</v>
      </c>
      <c r="E160" s="1" t="s">
        <v>118</v>
      </c>
      <c r="F160" s="1">
        <v>501958315</v>
      </c>
      <c r="G160" s="1" t="s">
        <v>42</v>
      </c>
      <c r="H160" s="1" t="s">
        <v>43</v>
      </c>
      <c r="I160" s="1" t="s">
        <v>1113</v>
      </c>
      <c r="J160" s="1">
        <v>50962145</v>
      </c>
      <c r="K160" s="7">
        <v>3137397132</v>
      </c>
      <c r="L160" s="7">
        <v>152404270580</v>
      </c>
      <c r="M160" s="1" t="s">
        <v>45</v>
      </c>
      <c r="N160" s="1" t="s">
        <v>1114</v>
      </c>
      <c r="O160" s="3">
        <v>43859.614004629628</v>
      </c>
      <c r="P160" s="3">
        <v>43860.410092592596</v>
      </c>
      <c r="Q160" s="1" t="s">
        <v>1115</v>
      </c>
      <c r="R160" s="1" t="s">
        <v>1116</v>
      </c>
      <c r="S160" s="7">
        <f>62-81553980999</f>
        <v>-81553980937</v>
      </c>
      <c r="T160" s="1" t="s">
        <v>1117</v>
      </c>
      <c r="U160" s="1" t="s">
        <v>1118</v>
      </c>
      <c r="V160" s="4">
        <v>1127593776583670</v>
      </c>
      <c r="W160" s="4">
        <v>-722956601393935</v>
      </c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 t="s">
        <v>143</v>
      </c>
      <c r="AI160" s="5">
        <v>43859</v>
      </c>
      <c r="AJ160" s="1" t="s">
        <v>144</v>
      </c>
      <c r="AK160" s="3">
        <v>43859.627592592595</v>
      </c>
      <c r="AL160" s="1" t="s">
        <v>1119</v>
      </c>
      <c r="AM160" s="1"/>
      <c r="AN160" s="1" t="s">
        <v>88</v>
      </c>
    </row>
    <row r="161" spans="1:40">
      <c r="A161" s="1">
        <v>160</v>
      </c>
      <c r="B161" s="1">
        <v>5</v>
      </c>
      <c r="C161" s="1" t="s">
        <v>40</v>
      </c>
      <c r="D161" s="1" t="s">
        <v>40</v>
      </c>
      <c r="E161" s="1" t="s">
        <v>1036</v>
      </c>
      <c r="F161" s="1">
        <v>501960200</v>
      </c>
      <c r="G161" s="1" t="s">
        <v>42</v>
      </c>
      <c r="H161" s="1" t="s">
        <v>77</v>
      </c>
      <c r="I161" s="1" t="s">
        <v>1120</v>
      </c>
      <c r="J161" s="1">
        <v>50950010</v>
      </c>
      <c r="K161" s="7">
        <v>3199052310</v>
      </c>
      <c r="L161" s="7">
        <v>152417209000</v>
      </c>
      <c r="M161" s="1" t="s">
        <v>620</v>
      </c>
      <c r="N161" s="1" t="s">
        <v>621</v>
      </c>
      <c r="O161" s="3">
        <v>43859.640405092592</v>
      </c>
      <c r="P161" s="3">
        <v>43860.63789351852</v>
      </c>
      <c r="Q161" s="1" t="s">
        <v>1121</v>
      </c>
      <c r="R161" s="1" t="s">
        <v>1122</v>
      </c>
      <c r="S161" s="7">
        <f>622-89601590590</f>
        <v>-89601589968</v>
      </c>
      <c r="T161" s="1" t="s">
        <v>1123</v>
      </c>
      <c r="U161" s="1" t="s">
        <v>1124</v>
      </c>
      <c r="V161" s="4">
        <v>112628021</v>
      </c>
      <c r="W161" s="4">
        <v>-7357691</v>
      </c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 t="s">
        <v>177</v>
      </c>
      <c r="AI161" s="5">
        <v>43860</v>
      </c>
      <c r="AJ161" s="1" t="s">
        <v>481</v>
      </c>
      <c r="AK161" s="3">
        <v>43859.813136574077</v>
      </c>
      <c r="AL161" s="1" t="s">
        <v>1125</v>
      </c>
      <c r="AM161" s="1"/>
      <c r="AN161" s="1" t="s">
        <v>88</v>
      </c>
    </row>
    <row r="162" spans="1:40">
      <c r="A162" s="1">
        <v>161</v>
      </c>
      <c r="B162" s="1">
        <v>5</v>
      </c>
      <c r="C162" s="1" t="s">
        <v>40</v>
      </c>
      <c r="D162" s="1" t="s">
        <v>40</v>
      </c>
      <c r="E162" s="1" t="s">
        <v>250</v>
      </c>
      <c r="F162" s="1">
        <v>501960201</v>
      </c>
      <c r="G162" s="1" t="s">
        <v>42</v>
      </c>
      <c r="H162" s="1" t="s">
        <v>77</v>
      </c>
      <c r="I162" s="1" t="s">
        <v>1126</v>
      </c>
      <c r="J162" s="1">
        <v>50921581</v>
      </c>
      <c r="K162" s="7">
        <v>3199340279</v>
      </c>
      <c r="L162" s="7">
        <v>152418214540</v>
      </c>
      <c r="M162" s="1" t="s">
        <v>620</v>
      </c>
      <c r="N162" s="1" t="s">
        <v>621</v>
      </c>
      <c r="O162" s="3">
        <v>43859.640428240738</v>
      </c>
      <c r="P162" s="3">
        <v>43860.634282407409</v>
      </c>
      <c r="Q162" s="1" t="s">
        <v>1127</v>
      </c>
      <c r="R162" s="1" t="s">
        <v>1128</v>
      </c>
      <c r="S162" s="7">
        <f>622-81216202287</f>
        <v>-81216201665</v>
      </c>
      <c r="T162" s="1" t="s">
        <v>1129</v>
      </c>
      <c r="U162" s="1" t="s">
        <v>1130</v>
      </c>
      <c r="V162" s="4">
        <v>11271444866</v>
      </c>
      <c r="W162" s="4">
        <v>-7230035081</v>
      </c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 t="s">
        <v>51</v>
      </c>
      <c r="AI162" s="1" t="s">
        <v>1112</v>
      </c>
      <c r="AJ162" s="1" t="s">
        <v>257</v>
      </c>
      <c r="AK162" s="3">
        <v>43859.683796296296</v>
      </c>
      <c r="AL162" s="1" t="s">
        <v>97</v>
      </c>
      <c r="AM162" s="1"/>
      <c r="AN162" s="1" t="s">
        <v>88</v>
      </c>
    </row>
    <row r="163" spans="1:40">
      <c r="A163" s="1">
        <v>162</v>
      </c>
      <c r="B163" s="1">
        <v>5</v>
      </c>
      <c r="C163" s="1" t="s">
        <v>40</v>
      </c>
      <c r="D163" s="1" t="s">
        <v>40</v>
      </c>
      <c r="E163" s="1" t="s">
        <v>41</v>
      </c>
      <c r="F163" s="1">
        <v>501961550</v>
      </c>
      <c r="G163" s="1" t="s">
        <v>42</v>
      </c>
      <c r="H163" s="1" t="s">
        <v>77</v>
      </c>
      <c r="I163" s="1" t="s">
        <v>1131</v>
      </c>
      <c r="J163" s="1">
        <v>50960725</v>
      </c>
      <c r="K163" s="7"/>
      <c r="L163" s="7">
        <v>152413113615</v>
      </c>
      <c r="M163" s="1" t="s">
        <v>620</v>
      </c>
      <c r="N163" s="1" t="s">
        <v>621</v>
      </c>
      <c r="O163" s="3">
        <v>43859.662546296298</v>
      </c>
      <c r="P163" s="3">
        <v>43860.604826388888</v>
      </c>
      <c r="Q163" s="1" t="s">
        <v>1132</v>
      </c>
      <c r="R163" s="1" t="s">
        <v>1133</v>
      </c>
      <c r="S163" s="7">
        <f>622-82231444813</f>
        <v>-82231444191</v>
      </c>
      <c r="T163" s="1" t="s">
        <v>1134</v>
      </c>
      <c r="U163" s="1" t="s">
        <v>1135</v>
      </c>
      <c r="V163" s="4">
        <v>1127181885010660</v>
      </c>
      <c r="W163" s="4">
        <v>-7245598934883850</v>
      </c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 t="s">
        <v>177</v>
      </c>
      <c r="AI163" s="5">
        <v>43860</v>
      </c>
      <c r="AJ163" s="1" t="s">
        <v>481</v>
      </c>
      <c r="AK163" s="3">
        <v>43859.812615740739</v>
      </c>
      <c r="AL163" s="1" t="s">
        <v>180</v>
      </c>
      <c r="AM163" s="1"/>
      <c r="AN163" s="1" t="s">
        <v>88</v>
      </c>
    </row>
    <row r="164" spans="1:40">
      <c r="A164" s="1">
        <v>163</v>
      </c>
      <c r="B164" s="1">
        <v>5</v>
      </c>
      <c r="C164" s="1" t="s">
        <v>40</v>
      </c>
      <c r="D164" s="1" t="s">
        <v>40</v>
      </c>
      <c r="E164" s="1" t="s">
        <v>118</v>
      </c>
      <c r="F164" s="1">
        <v>501961763</v>
      </c>
      <c r="G164" s="1" t="s">
        <v>42</v>
      </c>
      <c r="H164" s="1" t="s">
        <v>77</v>
      </c>
      <c r="I164" s="1" t="s">
        <v>1136</v>
      </c>
      <c r="J164" s="1">
        <v>50915651</v>
      </c>
      <c r="K164" s="7">
        <v>3137397753</v>
      </c>
      <c r="L164" s="7">
        <v>152404273998</v>
      </c>
      <c r="M164" s="1" t="s">
        <v>620</v>
      </c>
      <c r="N164" s="1" t="s">
        <v>621</v>
      </c>
      <c r="O164" s="3">
        <v>43859.666944444441</v>
      </c>
      <c r="P164" s="3">
        <v>43860.635972222219</v>
      </c>
      <c r="Q164" s="1" t="s">
        <v>1137</v>
      </c>
      <c r="R164" s="1" t="s">
        <v>1138</v>
      </c>
      <c r="S164" s="7">
        <f>622-85955164960</f>
        <v>-85955164338</v>
      </c>
      <c r="T164" s="1" t="s">
        <v>1139</v>
      </c>
      <c r="U164" s="1" t="s">
        <v>1140</v>
      </c>
      <c r="V164" s="4">
        <v>112771686</v>
      </c>
      <c r="W164" s="4">
        <v>-7220045</v>
      </c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 t="s">
        <v>177</v>
      </c>
      <c r="AI164" s="5">
        <v>43860</v>
      </c>
      <c r="AJ164" s="1" t="s">
        <v>481</v>
      </c>
      <c r="AK164" s="3">
        <v>43859.812673611108</v>
      </c>
      <c r="AL164" s="1" t="s">
        <v>701</v>
      </c>
      <c r="AM164" s="1"/>
      <c r="AN164" s="1" t="s">
        <v>88</v>
      </c>
    </row>
    <row r="165" spans="1:40">
      <c r="A165" s="1">
        <v>164</v>
      </c>
      <c r="B165" s="1">
        <v>5</v>
      </c>
      <c r="C165" s="1" t="s">
        <v>40</v>
      </c>
      <c r="D165" s="1" t="s">
        <v>40</v>
      </c>
      <c r="E165" s="1" t="s">
        <v>118</v>
      </c>
      <c r="F165" s="1">
        <v>501961992</v>
      </c>
      <c r="G165" s="1" t="s">
        <v>42</v>
      </c>
      <c r="H165" s="1" t="s">
        <v>77</v>
      </c>
      <c r="I165" s="1" t="s">
        <v>1141</v>
      </c>
      <c r="J165" s="1">
        <v>50890884</v>
      </c>
      <c r="K165" s="7"/>
      <c r="L165" s="7">
        <v>152404277591</v>
      </c>
      <c r="M165" s="1" t="s">
        <v>725</v>
      </c>
      <c r="N165" s="1" t="s">
        <v>1142</v>
      </c>
      <c r="O165" s="3">
        <v>43859.670300925929</v>
      </c>
      <c r="P165" s="3">
        <v>43860.585636574076</v>
      </c>
      <c r="Q165" s="1" t="s">
        <v>1143</v>
      </c>
      <c r="R165" s="1" t="s">
        <v>1144</v>
      </c>
      <c r="S165" s="7">
        <f>622-85648564878</f>
        <v>-85648564256</v>
      </c>
      <c r="T165" s="1" t="s">
        <v>1145</v>
      </c>
      <c r="U165" s="1" t="s">
        <v>1146</v>
      </c>
      <c r="V165" s="4">
        <v>112766947</v>
      </c>
      <c r="W165" s="4">
        <v>-7239978</v>
      </c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 t="s">
        <v>177</v>
      </c>
      <c r="AI165" s="5">
        <v>43860</v>
      </c>
      <c r="AJ165" s="1" t="s">
        <v>481</v>
      </c>
      <c r="AK165" s="3">
        <v>43859.812719907408</v>
      </c>
      <c r="AL165" s="1" t="s">
        <v>413</v>
      </c>
      <c r="AM165" s="1"/>
      <c r="AN165" s="1" t="s">
        <v>88</v>
      </c>
    </row>
    <row r="166" spans="1:40">
      <c r="A166" s="1">
        <v>165</v>
      </c>
      <c r="B166" s="1">
        <v>5</v>
      </c>
      <c r="C166" s="1" t="s">
        <v>40</v>
      </c>
      <c r="D166" s="1" t="s">
        <v>40</v>
      </c>
      <c r="E166" s="1" t="s">
        <v>107</v>
      </c>
      <c r="F166" s="1">
        <v>501962066</v>
      </c>
      <c r="G166" s="1" t="s">
        <v>42</v>
      </c>
      <c r="H166" s="1" t="s">
        <v>77</v>
      </c>
      <c r="I166" s="1" t="s">
        <v>1147</v>
      </c>
      <c r="J166" s="1">
        <v>50954478</v>
      </c>
      <c r="K166" s="7">
        <v>317422866</v>
      </c>
      <c r="L166" s="7">
        <v>152412232834</v>
      </c>
      <c r="M166" s="1" t="s">
        <v>45</v>
      </c>
      <c r="N166" s="1" t="s">
        <v>1148</v>
      </c>
      <c r="O166" s="3">
        <v>43859.671793981484</v>
      </c>
      <c r="P166" s="3">
        <v>43860.566192129627</v>
      </c>
      <c r="Q166" s="1" t="s">
        <v>1149</v>
      </c>
      <c r="R166" s="1" t="s">
        <v>1150</v>
      </c>
      <c r="S166" s="7">
        <f>622-85645941179</f>
        <v>-85645940557</v>
      </c>
      <c r="T166" s="1" t="s">
        <v>1151</v>
      </c>
      <c r="U166" s="1" t="s">
        <v>1152</v>
      </c>
      <c r="V166" s="4">
        <v>1126644</v>
      </c>
      <c r="W166" s="4">
        <v>-72619</v>
      </c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 t="s">
        <v>95</v>
      </c>
      <c r="AI166" s="1" t="s">
        <v>1153</v>
      </c>
      <c r="AJ166" s="1" t="s">
        <v>115</v>
      </c>
      <c r="AK166" s="3">
        <v>43860.611666666664</v>
      </c>
      <c r="AL166" s="1" t="s">
        <v>701</v>
      </c>
      <c r="AM166" s="1"/>
      <c r="AN166" s="1" t="s">
        <v>88</v>
      </c>
    </row>
    <row r="167" spans="1:40">
      <c r="A167" s="1">
        <v>166</v>
      </c>
      <c r="B167" s="1">
        <v>5</v>
      </c>
      <c r="C167" s="1" t="s">
        <v>40</v>
      </c>
      <c r="D167" s="1" t="s">
        <v>152</v>
      </c>
      <c r="E167" s="1" t="s">
        <v>181</v>
      </c>
      <c r="F167" s="1">
        <v>501962745</v>
      </c>
      <c r="G167" s="1" t="s">
        <v>42</v>
      </c>
      <c r="H167" s="1" t="s">
        <v>77</v>
      </c>
      <c r="I167" s="1" t="s">
        <v>1154</v>
      </c>
      <c r="J167" s="1">
        <v>50960231</v>
      </c>
      <c r="K167" s="7">
        <v>3179971107</v>
      </c>
      <c r="L167" s="7">
        <v>152446213971</v>
      </c>
      <c r="M167" s="1" t="s">
        <v>1069</v>
      </c>
      <c r="N167" s="1" t="s">
        <v>1070</v>
      </c>
      <c r="O167" s="3">
        <v>43859.682928240742</v>
      </c>
      <c r="P167" s="3">
        <v>43860.683993055558</v>
      </c>
      <c r="Q167" s="1" t="s">
        <v>1155</v>
      </c>
      <c r="R167" s="1" t="s">
        <v>1156</v>
      </c>
      <c r="S167" s="7">
        <f>622-85708699670</f>
        <v>-85708699048</v>
      </c>
      <c r="T167" s="1" t="s">
        <v>1157</v>
      </c>
      <c r="U167" s="1" t="s">
        <v>1158</v>
      </c>
      <c r="V167" s="4">
        <v>11259186392</v>
      </c>
      <c r="W167" s="4">
        <v>-725302541</v>
      </c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 t="s">
        <v>143</v>
      </c>
      <c r="AI167" s="5">
        <v>43860</v>
      </c>
      <c r="AJ167" s="1" t="s">
        <v>144</v>
      </c>
      <c r="AK167" s="3">
        <v>43859.700266203705</v>
      </c>
      <c r="AL167" s="1" t="s">
        <v>97</v>
      </c>
      <c r="AM167" s="1"/>
      <c r="AN167" s="1" t="s">
        <v>88</v>
      </c>
    </row>
    <row r="168" spans="1:40">
      <c r="A168" s="1">
        <v>167</v>
      </c>
      <c r="B168" s="1">
        <v>5</v>
      </c>
      <c r="C168" s="1" t="s">
        <v>40</v>
      </c>
      <c r="D168" s="1" t="s">
        <v>40</v>
      </c>
      <c r="E168" s="1" t="s">
        <v>208</v>
      </c>
      <c r="F168" s="1">
        <v>501962819</v>
      </c>
      <c r="G168" s="1" t="s">
        <v>42</v>
      </c>
      <c r="H168" s="1" t="s">
        <v>56</v>
      </c>
      <c r="I168" s="1" t="s">
        <v>1159</v>
      </c>
      <c r="J168" s="1">
        <v>50963711</v>
      </c>
      <c r="K168" s="7"/>
      <c r="L168" s="7">
        <v>152407250775</v>
      </c>
      <c r="M168" s="1" t="s">
        <v>45</v>
      </c>
      <c r="N168" s="1" t="s">
        <v>1160</v>
      </c>
      <c r="O168" s="3">
        <v>43859.684293981481</v>
      </c>
      <c r="P168" s="3">
        <v>43859.757175925923</v>
      </c>
      <c r="Q168" s="1" t="s">
        <v>1161</v>
      </c>
      <c r="R168" s="1" t="s">
        <v>1162</v>
      </c>
      <c r="S168" s="7">
        <f>62-81312288800</f>
        <v>-81312288738</v>
      </c>
      <c r="T168" s="1" t="s">
        <v>1163</v>
      </c>
      <c r="U168" s="1" t="s">
        <v>1164</v>
      </c>
      <c r="V168" s="4">
        <v>1127828872203820</v>
      </c>
      <c r="W168" s="4">
        <v>-72425017218393</v>
      </c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 t="s">
        <v>51</v>
      </c>
      <c r="AI168" s="1" t="s">
        <v>1165</v>
      </c>
      <c r="AJ168" s="1" t="s">
        <v>216</v>
      </c>
      <c r="AK168" s="3">
        <v>43860.63585648148</v>
      </c>
      <c r="AL168" s="1" t="s">
        <v>1166</v>
      </c>
      <c r="AM168" s="1"/>
      <c r="AN168" s="1" t="s">
        <v>117</v>
      </c>
    </row>
    <row r="169" spans="1:40">
      <c r="A169" s="1">
        <v>168</v>
      </c>
      <c r="B169" s="1">
        <v>5</v>
      </c>
      <c r="C169" s="1" t="s">
        <v>40</v>
      </c>
      <c r="D169" s="1" t="s">
        <v>283</v>
      </c>
      <c r="E169" s="1" t="s">
        <v>806</v>
      </c>
      <c r="F169" s="1">
        <v>501963050</v>
      </c>
      <c r="G169" s="1" t="s">
        <v>42</v>
      </c>
      <c r="H169" s="1" t="s">
        <v>77</v>
      </c>
      <c r="I169" s="1" t="s">
        <v>1167</v>
      </c>
      <c r="J169" s="1">
        <v>50956047</v>
      </c>
      <c r="K169" s="7">
        <v>3223103457</v>
      </c>
      <c r="L169" s="7">
        <v>152433208694</v>
      </c>
      <c r="M169" s="1" t="s">
        <v>620</v>
      </c>
      <c r="N169" s="1" t="s">
        <v>621</v>
      </c>
      <c r="O169" s="3">
        <v>43859.688726851855</v>
      </c>
      <c r="P169" s="3">
        <v>43860.642685185187</v>
      </c>
      <c r="Q169" s="1" t="s">
        <v>1168</v>
      </c>
      <c r="R169" s="1" t="s">
        <v>1169</v>
      </c>
      <c r="S169" s="7">
        <f>622-81330331090</f>
        <v>-81330330468</v>
      </c>
      <c r="T169" s="1" t="s">
        <v>1170</v>
      </c>
      <c r="U169" s="1" t="s">
        <v>1171</v>
      </c>
      <c r="V169" s="4">
        <v>112401131</v>
      </c>
      <c r="W169" s="4">
        <v>-7121903</v>
      </c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 t="s">
        <v>143</v>
      </c>
      <c r="AI169" s="5">
        <v>43860</v>
      </c>
      <c r="AJ169" s="1" t="s">
        <v>144</v>
      </c>
      <c r="AK169" s="3">
        <v>43859.700266203705</v>
      </c>
      <c r="AL169" s="1" t="s">
        <v>293</v>
      </c>
      <c r="AM169" s="1"/>
      <c r="AN169" s="1" t="s">
        <v>88</v>
      </c>
    </row>
    <row r="170" spans="1:40">
      <c r="A170" s="1">
        <v>169</v>
      </c>
      <c r="B170" s="1">
        <v>5</v>
      </c>
      <c r="C170" s="1" t="s">
        <v>40</v>
      </c>
      <c r="D170" s="1" t="s">
        <v>152</v>
      </c>
      <c r="E170" s="1" t="s">
        <v>200</v>
      </c>
      <c r="F170" s="1">
        <v>501963734</v>
      </c>
      <c r="G170" s="1" t="s">
        <v>42</v>
      </c>
      <c r="H170" s="1" t="s">
        <v>77</v>
      </c>
      <c r="I170" s="1" t="s">
        <v>1172</v>
      </c>
      <c r="J170" s="1">
        <v>50960989</v>
      </c>
      <c r="K170" s="7">
        <v>3199101253</v>
      </c>
      <c r="L170" s="7">
        <v>152412201218</v>
      </c>
      <c r="M170" s="1" t="s">
        <v>620</v>
      </c>
      <c r="N170" s="1" t="s">
        <v>621</v>
      </c>
      <c r="O170" s="3">
        <v>43859.701412037037</v>
      </c>
      <c r="P170" s="3">
        <v>43860.473379629628</v>
      </c>
      <c r="Q170" s="1" t="s">
        <v>1173</v>
      </c>
      <c r="R170" s="1" t="s">
        <v>1174</v>
      </c>
      <c r="S170" s="7">
        <f>622-81231811745</f>
        <v>-81231811123</v>
      </c>
      <c r="T170" s="1" t="s">
        <v>1175</v>
      </c>
      <c r="U170" s="1" t="s">
        <v>1176</v>
      </c>
      <c r="V170" s="4">
        <v>112610929</v>
      </c>
      <c r="W170" s="4">
        <v>-717573</v>
      </c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 t="s">
        <v>177</v>
      </c>
      <c r="AI170" s="5">
        <v>43860</v>
      </c>
      <c r="AJ170" s="1" t="s">
        <v>481</v>
      </c>
      <c r="AK170" s="3">
        <v>43859.812777777777</v>
      </c>
      <c r="AL170" s="1" t="s">
        <v>1177</v>
      </c>
      <c r="AM170" s="1"/>
      <c r="AN170" s="1" t="s">
        <v>88</v>
      </c>
    </row>
    <row r="171" spans="1:40">
      <c r="A171" s="1">
        <v>170</v>
      </c>
      <c r="B171" s="1">
        <v>5</v>
      </c>
      <c r="C171" s="1" t="s">
        <v>40</v>
      </c>
      <c r="D171" s="1" t="s">
        <v>152</v>
      </c>
      <c r="E171" s="1" t="s">
        <v>230</v>
      </c>
      <c r="F171" s="1">
        <v>501964149</v>
      </c>
      <c r="G171" s="1" t="s">
        <v>42</v>
      </c>
      <c r="H171" s="1" t="s">
        <v>77</v>
      </c>
      <c r="I171" s="1" t="s">
        <v>1178</v>
      </c>
      <c r="J171" s="1">
        <v>50963936</v>
      </c>
      <c r="K171" s="7">
        <v>3199115904</v>
      </c>
      <c r="L171" s="7">
        <v>152451206807</v>
      </c>
      <c r="M171" s="1" t="s">
        <v>620</v>
      </c>
      <c r="N171" s="1" t="s">
        <v>621</v>
      </c>
      <c r="O171" s="3">
        <v>43859.709513888891</v>
      </c>
      <c r="P171" s="3">
        <v>43860.619768518518</v>
      </c>
      <c r="Q171" s="1" t="s">
        <v>1179</v>
      </c>
      <c r="R171" s="1" t="s">
        <v>1180</v>
      </c>
      <c r="S171" s="7">
        <f>622-83839915179</f>
        <v>-83839914557</v>
      </c>
      <c r="T171" s="1" t="s">
        <v>1181</v>
      </c>
      <c r="U171" s="1" t="s">
        <v>1182</v>
      </c>
      <c r="V171" s="4">
        <v>11256456655</v>
      </c>
      <c r="W171" s="4">
        <v>-6989296839</v>
      </c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 t="s">
        <v>177</v>
      </c>
      <c r="AI171" s="5">
        <v>43860</v>
      </c>
      <c r="AJ171" s="1" t="s">
        <v>481</v>
      </c>
      <c r="AK171" s="3">
        <v>43859.812835648147</v>
      </c>
      <c r="AL171" s="1" t="s">
        <v>293</v>
      </c>
      <c r="AM171" s="1"/>
      <c r="AN171" s="1" t="s">
        <v>88</v>
      </c>
    </row>
    <row r="172" spans="1:40">
      <c r="A172" s="1">
        <v>171</v>
      </c>
      <c r="B172" s="1">
        <v>5</v>
      </c>
      <c r="C172" s="1" t="s">
        <v>40</v>
      </c>
      <c r="D172" s="1" t="s">
        <v>283</v>
      </c>
      <c r="E172" s="1" t="s">
        <v>440</v>
      </c>
      <c r="F172" s="1">
        <v>501964152</v>
      </c>
      <c r="G172" s="1" t="s">
        <v>42</v>
      </c>
      <c r="H172" s="1" t="s">
        <v>43</v>
      </c>
      <c r="I172" s="1" t="s">
        <v>739</v>
      </c>
      <c r="J172" s="1">
        <v>50964337</v>
      </c>
      <c r="K172" s="7">
        <v>3223391967</v>
      </c>
      <c r="L172" s="7">
        <v>152441212945</v>
      </c>
      <c r="M172" s="1" t="s">
        <v>620</v>
      </c>
      <c r="N172" s="1" t="s">
        <v>621</v>
      </c>
      <c r="O172" s="3">
        <v>43859.709780092591</v>
      </c>
      <c r="P172" s="3">
        <v>43860.603472222225</v>
      </c>
      <c r="Q172" s="1" t="s">
        <v>1183</v>
      </c>
      <c r="R172" s="1" t="s">
        <v>742</v>
      </c>
      <c r="S172" s="7">
        <f>62-81330896509</f>
        <v>-81330896447</v>
      </c>
      <c r="T172" s="1" t="s">
        <v>743</v>
      </c>
      <c r="U172" s="1" t="s">
        <v>1184</v>
      </c>
      <c r="V172" s="4">
        <v>1121811679912280</v>
      </c>
      <c r="W172" s="4">
        <v>-710001439112888</v>
      </c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 t="s">
        <v>177</v>
      </c>
      <c r="AI172" s="5">
        <v>43859</v>
      </c>
      <c r="AJ172" s="1" t="s">
        <v>805</v>
      </c>
      <c r="AK172" s="3">
        <v>43859.879664351851</v>
      </c>
      <c r="AL172" s="1" t="s">
        <v>1185</v>
      </c>
      <c r="AM172" s="1"/>
      <c r="AN172" s="1" t="s">
        <v>117</v>
      </c>
    </row>
    <row r="173" spans="1:40">
      <c r="A173" s="1">
        <v>172</v>
      </c>
      <c r="B173" s="1">
        <v>5</v>
      </c>
      <c r="C173" s="1" t="s">
        <v>40</v>
      </c>
      <c r="D173" s="1" t="s">
        <v>40</v>
      </c>
      <c r="E173" s="1" t="s">
        <v>250</v>
      </c>
      <c r="F173" s="1">
        <v>501966248</v>
      </c>
      <c r="G173" s="1" t="s">
        <v>42</v>
      </c>
      <c r="H173" s="1"/>
      <c r="I173" s="1" t="s">
        <v>1186</v>
      </c>
      <c r="J173" s="1">
        <v>50928364</v>
      </c>
      <c r="K173" s="7">
        <v>3199340448</v>
      </c>
      <c r="L173" s="7">
        <v>152418901161</v>
      </c>
      <c r="M173" s="1" t="s">
        <v>620</v>
      </c>
      <c r="N173" s="1" t="s">
        <v>621</v>
      </c>
      <c r="O173" s="3">
        <v>43859.867384259262</v>
      </c>
      <c r="P173" s="3">
        <v>43860.643171296295</v>
      </c>
      <c r="Q173" s="1" t="s">
        <v>1187</v>
      </c>
      <c r="R173" s="1" t="s">
        <v>1188</v>
      </c>
      <c r="S173" s="7">
        <f>622-85732157946</f>
        <v>-85732157324</v>
      </c>
      <c r="T173" s="1" t="s">
        <v>1189</v>
      </c>
      <c r="U173" s="1" t="s">
        <v>1190</v>
      </c>
      <c r="V173" s="4">
        <v>1127126</v>
      </c>
      <c r="W173" s="4">
        <v>-72314</v>
      </c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 t="s">
        <v>95</v>
      </c>
      <c r="AI173" s="1" t="s">
        <v>1191</v>
      </c>
      <c r="AJ173" s="1" t="s">
        <v>257</v>
      </c>
      <c r="AK173" s="3">
        <v>43860.207106481481</v>
      </c>
      <c r="AL173" s="1" t="s">
        <v>97</v>
      </c>
      <c r="AM173" s="1"/>
      <c r="AN173" s="1" t="s">
        <v>88</v>
      </c>
    </row>
    <row r="174" spans="1:40">
      <c r="A174" s="1">
        <v>173</v>
      </c>
      <c r="B174" s="1">
        <v>5</v>
      </c>
      <c r="C174" s="1" t="s">
        <v>40</v>
      </c>
      <c r="D174" s="1" t="s">
        <v>152</v>
      </c>
      <c r="E174" s="1" t="s">
        <v>200</v>
      </c>
      <c r="F174" s="1">
        <v>501966603</v>
      </c>
      <c r="G174" s="1" t="s">
        <v>42</v>
      </c>
      <c r="H174" s="1" t="s">
        <v>43</v>
      </c>
      <c r="I174" s="1" t="s">
        <v>1192</v>
      </c>
      <c r="J174" s="1">
        <v>50966459</v>
      </c>
      <c r="K174" s="7"/>
      <c r="L174" s="7">
        <v>152412201914</v>
      </c>
      <c r="M174" s="1" t="s">
        <v>1069</v>
      </c>
      <c r="N174" s="1" t="s">
        <v>1070</v>
      </c>
      <c r="O174" s="3">
        <v>43860.326979166668</v>
      </c>
      <c r="P174" s="3">
        <v>43860.676111111112</v>
      </c>
      <c r="Q174" s="1" t="s">
        <v>1193</v>
      </c>
      <c r="R174" s="1" t="s">
        <v>1194</v>
      </c>
      <c r="S174" s="7">
        <f>62-82230802030</f>
        <v>-82230801968</v>
      </c>
      <c r="T174" s="1" t="s">
        <v>1195</v>
      </c>
      <c r="U174" s="1" t="s">
        <v>1196</v>
      </c>
      <c r="V174" s="4">
        <v>1126141519846550</v>
      </c>
      <c r="W174" s="4">
        <v>-715373743683929</v>
      </c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 t="s">
        <v>143</v>
      </c>
      <c r="AI174" s="5">
        <v>43860</v>
      </c>
      <c r="AJ174" s="1" t="s">
        <v>144</v>
      </c>
      <c r="AK174" s="3">
        <v>43860.335960648146</v>
      </c>
      <c r="AL174" s="1" t="s">
        <v>309</v>
      </c>
      <c r="AM174" s="1"/>
      <c r="AN174" s="1" t="s">
        <v>88</v>
      </c>
    </row>
    <row r="175" spans="1:40">
      <c r="A175" s="1">
        <v>174</v>
      </c>
      <c r="B175" s="1">
        <v>5</v>
      </c>
      <c r="C175" s="1" t="s">
        <v>40</v>
      </c>
      <c r="D175" s="1" t="s">
        <v>40</v>
      </c>
      <c r="E175" s="1" t="s">
        <v>784</v>
      </c>
      <c r="F175" s="1">
        <v>501966785</v>
      </c>
      <c r="G175" s="1" t="s">
        <v>42</v>
      </c>
      <c r="H175" s="1" t="s">
        <v>43</v>
      </c>
      <c r="I175" s="1" t="s">
        <v>1197</v>
      </c>
      <c r="J175" s="1">
        <v>50961609</v>
      </c>
      <c r="K175" s="7">
        <v>3199221677</v>
      </c>
      <c r="L175" s="7">
        <v>152401202043</v>
      </c>
      <c r="M175" s="1" t="s">
        <v>1069</v>
      </c>
      <c r="N175" s="1" t="s">
        <v>1070</v>
      </c>
      <c r="O175" s="3">
        <v>43860.334421296298</v>
      </c>
      <c r="P175" s="3">
        <v>43860.649953703702</v>
      </c>
      <c r="Q175" s="1" t="s">
        <v>1198</v>
      </c>
      <c r="R175" s="1" t="s">
        <v>1199</v>
      </c>
      <c r="S175" s="7">
        <f>62-81133330380</f>
        <v>-81133330318</v>
      </c>
      <c r="T175" s="1" t="s">
        <v>1200</v>
      </c>
      <c r="U175" s="1" t="s">
        <v>1201</v>
      </c>
      <c r="V175" s="4">
        <v>1127452255270540</v>
      </c>
      <c r="W175" s="4">
        <v>-724417377810473</v>
      </c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 t="s">
        <v>143</v>
      </c>
      <c r="AI175" s="5">
        <v>43860</v>
      </c>
      <c r="AJ175" s="1" t="s">
        <v>144</v>
      </c>
      <c r="AK175" s="3">
        <v>43860.356678240743</v>
      </c>
      <c r="AL175" s="1" t="s">
        <v>1202</v>
      </c>
      <c r="AM175" s="1"/>
      <c r="AN175" s="1" t="s">
        <v>117</v>
      </c>
    </row>
    <row r="176" spans="1:40">
      <c r="A176" s="1">
        <v>175</v>
      </c>
      <c r="B176" s="1">
        <v>5</v>
      </c>
      <c r="C176" s="1" t="s">
        <v>40</v>
      </c>
      <c r="D176" s="1" t="s">
        <v>40</v>
      </c>
      <c r="E176" s="1" t="s">
        <v>376</v>
      </c>
      <c r="F176" s="1">
        <v>501966900</v>
      </c>
      <c r="G176" s="1" t="s">
        <v>42</v>
      </c>
      <c r="H176" s="1" t="s">
        <v>77</v>
      </c>
      <c r="I176" s="1" t="s">
        <v>1203</v>
      </c>
      <c r="J176" s="1">
        <v>50945608</v>
      </c>
      <c r="K176" s="7">
        <v>3199426641</v>
      </c>
      <c r="L176" s="7">
        <v>152424242694</v>
      </c>
      <c r="M176" s="1" t="s">
        <v>361</v>
      </c>
      <c r="N176" s="1" t="s">
        <v>1204</v>
      </c>
      <c r="O176" s="3">
        <v>43860.340671296297</v>
      </c>
      <c r="P176" s="3">
        <v>43860.630324074074</v>
      </c>
      <c r="Q176" s="1" t="s">
        <v>1205</v>
      </c>
      <c r="R176" s="1" t="s">
        <v>1206</v>
      </c>
      <c r="S176" s="7">
        <f>622-8113665669</f>
        <v>-8113665047</v>
      </c>
      <c r="T176" s="1" t="s">
        <v>1207</v>
      </c>
      <c r="U176" s="1" t="s">
        <v>1208</v>
      </c>
      <c r="V176" s="4">
        <v>1.12677340307396E+16</v>
      </c>
      <c r="W176" s="4">
        <v>-7.3124037472496896E+16</v>
      </c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 t="s">
        <v>143</v>
      </c>
      <c r="AI176" s="5">
        <v>43860</v>
      </c>
      <c r="AJ176" s="1" t="s">
        <v>144</v>
      </c>
      <c r="AK176" s="3">
        <v>43860.356678240743</v>
      </c>
      <c r="AL176" s="1" t="s">
        <v>701</v>
      </c>
      <c r="AM176" s="1"/>
      <c r="AN176" s="1" t="s">
        <v>88</v>
      </c>
    </row>
    <row r="177" spans="1:40">
      <c r="A177" s="1">
        <v>176</v>
      </c>
      <c r="B177" s="1">
        <v>5</v>
      </c>
      <c r="C177" s="1" t="s">
        <v>40</v>
      </c>
      <c r="D177" s="1" t="s">
        <v>40</v>
      </c>
      <c r="E177" s="1" t="s">
        <v>376</v>
      </c>
      <c r="F177" s="1">
        <v>501967029</v>
      </c>
      <c r="G177" s="1" t="s">
        <v>42</v>
      </c>
      <c r="H177" s="1" t="s">
        <v>77</v>
      </c>
      <c r="I177" s="1" t="s">
        <v>1209</v>
      </c>
      <c r="J177" s="1">
        <v>50958828</v>
      </c>
      <c r="K177" s="7"/>
      <c r="L177" s="7">
        <v>152424247087</v>
      </c>
      <c r="M177" s="1" t="s">
        <v>620</v>
      </c>
      <c r="N177" s="1" t="s">
        <v>621</v>
      </c>
      <c r="O177" s="3">
        <v>43860.343969907408</v>
      </c>
      <c r="P177" s="3">
        <v>43860.610150462962</v>
      </c>
      <c r="Q177" s="1" t="s">
        <v>1210</v>
      </c>
      <c r="R177" s="1" t="s">
        <v>1211</v>
      </c>
      <c r="S177" s="7">
        <f>622-83857028946</f>
        <v>-83857028324</v>
      </c>
      <c r="T177" s="1" t="s">
        <v>1212</v>
      </c>
      <c r="U177" s="1" t="s">
        <v>1213</v>
      </c>
      <c r="V177" s="4">
        <v>1.12677340307396E+16</v>
      </c>
      <c r="W177" s="4">
        <v>-7.3124037472496896E+16</v>
      </c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 t="s">
        <v>143</v>
      </c>
      <c r="AI177" s="5">
        <v>43860</v>
      </c>
      <c r="AJ177" s="1" t="s">
        <v>144</v>
      </c>
      <c r="AK177" s="3">
        <v>43860.356678240743</v>
      </c>
      <c r="AL177" s="1" t="s">
        <v>413</v>
      </c>
      <c r="AM177" s="1"/>
      <c r="AN177" s="1" t="s">
        <v>88</v>
      </c>
    </row>
    <row r="178" spans="1:40">
      <c r="A178" s="1">
        <v>177</v>
      </c>
      <c r="B178" s="1">
        <v>5</v>
      </c>
      <c r="C178" s="1" t="s">
        <v>40</v>
      </c>
      <c r="D178" s="1" t="s">
        <v>40</v>
      </c>
      <c r="E178" s="1" t="s">
        <v>107</v>
      </c>
      <c r="F178" s="1">
        <v>501967031</v>
      </c>
      <c r="G178" s="1" t="s">
        <v>42</v>
      </c>
      <c r="H178" s="1" t="s">
        <v>43</v>
      </c>
      <c r="I178" s="1" t="s">
        <v>793</v>
      </c>
      <c r="J178" s="1">
        <v>50937777</v>
      </c>
      <c r="K178" s="7">
        <v>317449398</v>
      </c>
      <c r="L178" s="7">
        <v>152412234329</v>
      </c>
      <c r="M178" s="1" t="s">
        <v>45</v>
      </c>
      <c r="N178" s="1" t="s">
        <v>1214</v>
      </c>
      <c r="O178" s="3">
        <v>43860.344097222223</v>
      </c>
      <c r="P178" s="3">
        <v>43860.406574074077</v>
      </c>
      <c r="Q178" s="1" t="s">
        <v>1215</v>
      </c>
      <c r="R178" s="1" t="s">
        <v>796</v>
      </c>
      <c r="S178" s="7">
        <f>62-82131694382</f>
        <v>-82131694320</v>
      </c>
      <c r="T178" s="1" t="s">
        <v>1077</v>
      </c>
      <c r="U178" s="1" t="s">
        <v>798</v>
      </c>
      <c r="V178" s="4">
        <v>1126063163219430</v>
      </c>
      <c r="W178" s="4">
        <v>-723228715734625</v>
      </c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 t="s">
        <v>160</v>
      </c>
      <c r="AI178" s="1" t="s">
        <v>1078</v>
      </c>
      <c r="AJ178" s="1" t="s">
        <v>115</v>
      </c>
      <c r="AK178" s="3">
        <v>43860.404641203706</v>
      </c>
      <c r="AL178" s="1" t="s">
        <v>116</v>
      </c>
      <c r="AM178" s="1"/>
      <c r="AN178" s="1" t="s">
        <v>117</v>
      </c>
    </row>
    <row r="179" spans="1:40">
      <c r="A179" s="1">
        <v>178</v>
      </c>
      <c r="B179" s="1">
        <v>5</v>
      </c>
      <c r="C179" s="1" t="s">
        <v>40</v>
      </c>
      <c r="D179" s="1" t="s">
        <v>40</v>
      </c>
      <c r="E179" s="1" t="s">
        <v>376</v>
      </c>
      <c r="F179" s="1">
        <v>501967235</v>
      </c>
      <c r="G179" s="1" t="s">
        <v>42</v>
      </c>
      <c r="H179" s="1" t="s">
        <v>77</v>
      </c>
      <c r="I179" s="1" t="s">
        <v>1216</v>
      </c>
      <c r="J179" s="1">
        <v>50927366</v>
      </c>
      <c r="K179" s="7"/>
      <c r="L179" s="7">
        <v>152424245334</v>
      </c>
      <c r="M179" s="1" t="s">
        <v>620</v>
      </c>
      <c r="N179" s="1" t="s">
        <v>621</v>
      </c>
      <c r="O179" s="3">
        <v>43860.350578703707</v>
      </c>
      <c r="P179" s="3">
        <v>43860.635706018518</v>
      </c>
      <c r="Q179" s="1" t="s">
        <v>1217</v>
      </c>
      <c r="R179" s="1" t="s">
        <v>1218</v>
      </c>
      <c r="S179" s="7">
        <f>622-81907869195</f>
        <v>-81907868573</v>
      </c>
      <c r="T179" s="1" t="s">
        <v>1219</v>
      </c>
      <c r="U179" s="1" t="s">
        <v>1220</v>
      </c>
      <c r="V179" s="4">
        <v>1.12677340307396E+16</v>
      </c>
      <c r="W179" s="4">
        <v>-7.3124037472496896E+16</v>
      </c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 t="s">
        <v>143</v>
      </c>
      <c r="AI179" s="5">
        <v>43860</v>
      </c>
      <c r="AJ179" s="1" t="s">
        <v>144</v>
      </c>
      <c r="AK179" s="3">
        <v>43860.367002314815</v>
      </c>
      <c r="AL179" s="1" t="s">
        <v>413</v>
      </c>
      <c r="AM179" s="1"/>
      <c r="AN179" s="1" t="s">
        <v>88</v>
      </c>
    </row>
    <row r="180" spans="1:40">
      <c r="A180" s="1">
        <v>179</v>
      </c>
      <c r="B180" s="1">
        <v>5</v>
      </c>
      <c r="C180" s="1" t="s">
        <v>40</v>
      </c>
      <c r="D180" s="1" t="s">
        <v>40</v>
      </c>
      <c r="E180" s="1" t="s">
        <v>414</v>
      </c>
      <c r="F180" s="1">
        <v>501967418</v>
      </c>
      <c r="G180" s="1" t="s">
        <v>42</v>
      </c>
      <c r="H180" s="1" t="s">
        <v>77</v>
      </c>
      <c r="I180" s="1" t="s">
        <v>1221</v>
      </c>
      <c r="J180" s="1">
        <v>50958001</v>
      </c>
      <c r="K180" s="7">
        <v>3199750230</v>
      </c>
      <c r="L180" s="7">
        <v>152415216885</v>
      </c>
      <c r="M180" s="1" t="s">
        <v>620</v>
      </c>
      <c r="N180" s="1" t="s">
        <v>621</v>
      </c>
      <c r="O180" s="3">
        <v>43860.356782407405</v>
      </c>
      <c r="P180" s="3">
        <v>43860.580150462964</v>
      </c>
      <c r="Q180" s="1" t="s">
        <v>1222</v>
      </c>
      <c r="R180" s="1" t="s">
        <v>1223</v>
      </c>
      <c r="S180" s="7">
        <f>622-8121339370901</f>
        <v>-8121339370279</v>
      </c>
      <c r="T180" s="1" t="s">
        <v>1224</v>
      </c>
      <c r="U180" s="1" t="s">
        <v>1225</v>
      </c>
      <c r="V180" s="4">
        <v>1126823</v>
      </c>
      <c r="W180" s="4">
        <v>-73325</v>
      </c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 t="s">
        <v>143</v>
      </c>
      <c r="AI180" s="5">
        <v>43860</v>
      </c>
      <c r="AJ180" s="1" t="s">
        <v>144</v>
      </c>
      <c r="AK180" s="3">
        <v>43860.367002314815</v>
      </c>
      <c r="AL180" s="1" t="s">
        <v>1226</v>
      </c>
      <c r="AM180" s="1"/>
      <c r="AN180" s="1" t="s">
        <v>88</v>
      </c>
    </row>
    <row r="181" spans="1:40">
      <c r="A181" s="1">
        <v>180</v>
      </c>
      <c r="B181" s="1">
        <v>5</v>
      </c>
      <c r="C181" s="1" t="s">
        <v>40</v>
      </c>
      <c r="D181" s="1" t="s">
        <v>40</v>
      </c>
      <c r="E181" s="1" t="s">
        <v>76</v>
      </c>
      <c r="F181" s="1">
        <v>501967422</v>
      </c>
      <c r="G181" s="1" t="s">
        <v>42</v>
      </c>
      <c r="H181" s="1" t="s">
        <v>77</v>
      </c>
      <c r="I181" s="1" t="s">
        <v>1227</v>
      </c>
      <c r="J181" s="1">
        <v>50943884</v>
      </c>
      <c r="K181" s="7">
        <v>3199900301</v>
      </c>
      <c r="L181" s="7">
        <v>152409252825</v>
      </c>
      <c r="M181" s="1" t="s">
        <v>45</v>
      </c>
      <c r="N181" s="1" t="s">
        <v>1228</v>
      </c>
      <c r="O181" s="3">
        <v>43860.357268518521</v>
      </c>
      <c r="P181" s="3">
        <v>43860.42596064815</v>
      </c>
      <c r="Q181" s="1" t="s">
        <v>1229</v>
      </c>
      <c r="R181" s="1" t="s">
        <v>1230</v>
      </c>
      <c r="S181" s="7">
        <f>622-81333343035</f>
        <v>-81333342413</v>
      </c>
      <c r="T181" s="1" t="s">
        <v>1231</v>
      </c>
      <c r="U181" s="1" t="s">
        <v>1232</v>
      </c>
      <c r="V181" s="4">
        <v>1127076</v>
      </c>
      <c r="W181" s="4">
        <v>-72702</v>
      </c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 t="s">
        <v>143</v>
      </c>
      <c r="AI181" s="5">
        <v>43860</v>
      </c>
      <c r="AJ181" s="1" t="s">
        <v>144</v>
      </c>
      <c r="AK181" s="3">
        <v>43860.367002314815</v>
      </c>
      <c r="AL181" s="1" t="s">
        <v>180</v>
      </c>
      <c r="AM181" s="1"/>
      <c r="AN181" s="1" t="s">
        <v>88</v>
      </c>
    </row>
    <row r="182" spans="1:40">
      <c r="A182" s="1">
        <v>181</v>
      </c>
      <c r="B182" s="1">
        <v>5</v>
      </c>
      <c r="C182" s="1" t="s">
        <v>40</v>
      </c>
      <c r="D182" s="1" t="s">
        <v>40</v>
      </c>
      <c r="E182" s="1" t="s">
        <v>1036</v>
      </c>
      <c r="F182" s="1">
        <v>501967486</v>
      </c>
      <c r="G182" s="1" t="s">
        <v>42</v>
      </c>
      <c r="H182" s="1" t="s">
        <v>77</v>
      </c>
      <c r="I182" s="1" t="s">
        <v>1233</v>
      </c>
      <c r="J182" s="1">
        <v>50955198</v>
      </c>
      <c r="K182" s="7">
        <v>3199051310</v>
      </c>
      <c r="L182" s="7">
        <v>152417206483</v>
      </c>
      <c r="M182" s="1" t="s">
        <v>620</v>
      </c>
      <c r="N182" s="1" t="s">
        <v>621</v>
      </c>
      <c r="O182" s="3">
        <v>43860.358668981484</v>
      </c>
      <c r="P182" s="3">
        <v>43860.417164351849</v>
      </c>
      <c r="Q182" s="1" t="s">
        <v>1234</v>
      </c>
      <c r="R182" s="1" t="s">
        <v>1235</v>
      </c>
      <c r="S182" s="7">
        <f>622-85100598079</f>
        <v>-85100597457</v>
      </c>
      <c r="T182" s="1" t="s">
        <v>1236</v>
      </c>
      <c r="U182" s="1" t="s">
        <v>1237</v>
      </c>
      <c r="V182" s="4">
        <v>11264236568</v>
      </c>
      <c r="W182" s="4">
        <v>-7333204647</v>
      </c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 t="s">
        <v>143</v>
      </c>
      <c r="AI182" s="5">
        <v>43860</v>
      </c>
      <c r="AJ182" s="1" t="s">
        <v>144</v>
      </c>
      <c r="AK182" s="3">
        <v>43860.367002314815</v>
      </c>
      <c r="AL182" s="1" t="s">
        <v>701</v>
      </c>
      <c r="AM182" s="1"/>
      <c r="AN182" s="1" t="s">
        <v>88</v>
      </c>
    </row>
    <row r="183" spans="1:40">
      <c r="A183" s="1">
        <v>182</v>
      </c>
      <c r="B183" s="1">
        <v>5</v>
      </c>
      <c r="C183" s="1" t="s">
        <v>40</v>
      </c>
      <c r="D183" s="1" t="s">
        <v>40</v>
      </c>
      <c r="E183" s="1" t="s">
        <v>1036</v>
      </c>
      <c r="F183" s="1">
        <v>501967533</v>
      </c>
      <c r="G183" s="1" t="s">
        <v>42</v>
      </c>
      <c r="H183" s="1" t="s">
        <v>77</v>
      </c>
      <c r="I183" s="1" t="s">
        <v>1238</v>
      </c>
      <c r="J183" s="1">
        <v>50958813</v>
      </c>
      <c r="K183" s="7">
        <v>3199051551</v>
      </c>
      <c r="L183" s="7">
        <v>152417209864</v>
      </c>
      <c r="M183" s="1" t="s">
        <v>620</v>
      </c>
      <c r="N183" s="1" t="s">
        <v>621</v>
      </c>
      <c r="O183" s="3">
        <v>43860.359548611108</v>
      </c>
      <c r="P183" s="3">
        <v>43860.428969907407</v>
      </c>
      <c r="Q183" s="1" t="s">
        <v>1239</v>
      </c>
      <c r="R183" s="1" t="s">
        <v>1240</v>
      </c>
      <c r="S183" s="7">
        <f>622-82233784920</f>
        <v>-82233784298</v>
      </c>
      <c r="T183" s="1" t="s">
        <v>1241</v>
      </c>
      <c r="U183" s="1" t="s">
        <v>1242</v>
      </c>
      <c r="V183" s="4">
        <v>1126311</v>
      </c>
      <c r="W183" s="4">
        <v>-73221</v>
      </c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 t="s">
        <v>143</v>
      </c>
      <c r="AI183" s="5">
        <v>43860</v>
      </c>
      <c r="AJ183" s="1" t="s">
        <v>144</v>
      </c>
      <c r="AK183" s="3">
        <v>43860.367002314815</v>
      </c>
      <c r="AL183" s="1" t="s">
        <v>701</v>
      </c>
      <c r="AM183" s="1"/>
      <c r="AN183" s="1" t="s">
        <v>88</v>
      </c>
    </row>
    <row r="184" spans="1:40">
      <c r="A184" s="1">
        <v>183</v>
      </c>
      <c r="B184" s="1">
        <v>5</v>
      </c>
      <c r="C184" s="1" t="s">
        <v>40</v>
      </c>
      <c r="D184" s="1" t="s">
        <v>40</v>
      </c>
      <c r="E184" s="1" t="s">
        <v>414</v>
      </c>
      <c r="F184" s="1">
        <v>501967535</v>
      </c>
      <c r="G184" s="1" t="s">
        <v>42</v>
      </c>
      <c r="H184" s="1" t="s">
        <v>77</v>
      </c>
      <c r="I184" s="1" t="s">
        <v>1243</v>
      </c>
      <c r="J184" s="1">
        <v>50942204</v>
      </c>
      <c r="K184" s="7"/>
      <c r="L184" s="7">
        <v>152415216471</v>
      </c>
      <c r="M184" s="1" t="s">
        <v>620</v>
      </c>
      <c r="N184" s="1" t="s">
        <v>621</v>
      </c>
      <c r="O184" s="3">
        <v>43860.3596875</v>
      </c>
      <c r="P184" s="3">
        <v>43860.616747685184</v>
      </c>
      <c r="Q184" s="1" t="s">
        <v>1244</v>
      </c>
      <c r="R184" s="1" t="s">
        <v>1245</v>
      </c>
      <c r="S184" s="7">
        <f>622-82244400479</f>
        <v>-82244399857</v>
      </c>
      <c r="T184" s="1" t="s">
        <v>1246</v>
      </c>
      <c r="U184" s="1" t="s">
        <v>1247</v>
      </c>
      <c r="V184" s="4">
        <v>11266077468</v>
      </c>
      <c r="W184" s="4">
        <v>-734700552</v>
      </c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 t="s">
        <v>143</v>
      </c>
      <c r="AI184" s="5">
        <v>43861</v>
      </c>
      <c r="AJ184" s="1" t="s">
        <v>144</v>
      </c>
      <c r="AK184" s="3">
        <v>43860.367002314815</v>
      </c>
      <c r="AL184" s="1" t="s">
        <v>413</v>
      </c>
      <c r="AM184" s="1"/>
      <c r="AN184" s="1" t="s">
        <v>88</v>
      </c>
    </row>
    <row r="185" spans="1:40">
      <c r="A185" s="1">
        <v>184</v>
      </c>
      <c r="B185" s="1">
        <v>5</v>
      </c>
      <c r="C185" s="1" t="s">
        <v>40</v>
      </c>
      <c r="D185" s="1" t="s">
        <v>40</v>
      </c>
      <c r="E185" s="1" t="s">
        <v>107</v>
      </c>
      <c r="F185" s="1">
        <v>501967540</v>
      </c>
      <c r="G185" s="1" t="s">
        <v>42</v>
      </c>
      <c r="H185" s="1" t="s">
        <v>77</v>
      </c>
      <c r="I185" s="1" t="s">
        <v>1248</v>
      </c>
      <c r="J185" s="1">
        <v>50940581</v>
      </c>
      <c r="K185" s="7">
        <v>317411792</v>
      </c>
      <c r="L185" s="7">
        <v>152412238734</v>
      </c>
      <c r="M185" s="1" t="s">
        <v>620</v>
      </c>
      <c r="N185" s="1" t="s">
        <v>621</v>
      </c>
      <c r="O185" s="3">
        <v>43860.360243055555</v>
      </c>
      <c r="P185" s="3">
        <v>43860.379155092596</v>
      </c>
      <c r="Q185" s="1" t="s">
        <v>1249</v>
      </c>
      <c r="R185" s="1" t="s">
        <v>1250</v>
      </c>
      <c r="S185" s="7">
        <f>622-82132241024</f>
        <v>-82132240402</v>
      </c>
      <c r="T185" s="1" t="s">
        <v>1251</v>
      </c>
      <c r="U185" s="1" t="s">
        <v>1252</v>
      </c>
      <c r="V185" s="4">
        <v>11264731899</v>
      </c>
      <c r="W185" s="4">
        <v>-7259783097</v>
      </c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 t="s">
        <v>143</v>
      </c>
      <c r="AI185" s="5">
        <v>43860</v>
      </c>
      <c r="AJ185" s="1" t="s">
        <v>144</v>
      </c>
      <c r="AK185" s="3">
        <v>43860.367002314815</v>
      </c>
      <c r="AL185" s="1" t="s">
        <v>97</v>
      </c>
      <c r="AM185" s="1"/>
      <c r="AN185" s="1" t="s">
        <v>88</v>
      </c>
    </row>
    <row r="186" spans="1:40">
      <c r="A186" s="1">
        <v>185</v>
      </c>
      <c r="B186" s="1">
        <v>5</v>
      </c>
      <c r="C186" s="1" t="s">
        <v>40</v>
      </c>
      <c r="D186" s="1" t="s">
        <v>40</v>
      </c>
      <c r="E186" s="1" t="s">
        <v>107</v>
      </c>
      <c r="F186" s="1">
        <v>501967565</v>
      </c>
      <c r="G186" s="1" t="s">
        <v>42</v>
      </c>
      <c r="H186" s="1" t="s">
        <v>77</v>
      </c>
      <c r="I186" s="1" t="s">
        <v>1253</v>
      </c>
      <c r="J186" s="1">
        <v>50961879</v>
      </c>
      <c r="K186" s="7">
        <v>3199019110</v>
      </c>
      <c r="L186" s="7">
        <v>152412236647</v>
      </c>
      <c r="M186" s="1" t="s">
        <v>620</v>
      </c>
      <c r="N186" s="1" t="s">
        <v>621</v>
      </c>
      <c r="O186" s="3">
        <v>43860.360868055555</v>
      </c>
      <c r="P186" s="3">
        <v>43860.406736111108</v>
      </c>
      <c r="Q186" s="1" t="s">
        <v>1254</v>
      </c>
      <c r="R186" s="1" t="s">
        <v>1255</v>
      </c>
      <c r="S186" s="7">
        <f>622-8510031444500</f>
        <v>-8510031443878</v>
      </c>
      <c r="T186" s="1" t="s">
        <v>1256</v>
      </c>
      <c r="U186" s="1" t="s">
        <v>1257</v>
      </c>
      <c r="V186" s="4">
        <v>1126351</v>
      </c>
      <c r="W186" s="4">
        <v>-72389</v>
      </c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 t="s">
        <v>143</v>
      </c>
      <c r="AI186" s="5">
        <v>43861</v>
      </c>
      <c r="AJ186" s="1" t="s">
        <v>144</v>
      </c>
      <c r="AK186" s="3">
        <v>43860.367002314815</v>
      </c>
      <c r="AL186" s="1" t="s">
        <v>701</v>
      </c>
      <c r="AM186" s="1"/>
      <c r="AN186" s="1" t="s">
        <v>88</v>
      </c>
    </row>
    <row r="187" spans="1:40">
      <c r="A187" s="1">
        <v>186</v>
      </c>
      <c r="B187" s="1">
        <v>5</v>
      </c>
      <c r="C187" s="1" t="s">
        <v>40</v>
      </c>
      <c r="D187" s="1" t="s">
        <v>40</v>
      </c>
      <c r="E187" s="1" t="s">
        <v>76</v>
      </c>
      <c r="F187" s="1">
        <v>501967587</v>
      </c>
      <c r="G187" s="1" t="s">
        <v>42</v>
      </c>
      <c r="H187" s="1" t="s">
        <v>77</v>
      </c>
      <c r="I187" s="1" t="s">
        <v>1258</v>
      </c>
      <c r="J187" s="1">
        <v>50938346</v>
      </c>
      <c r="K187" s="7">
        <v>3199143511</v>
      </c>
      <c r="L187" s="7">
        <v>152409258405</v>
      </c>
      <c r="M187" s="1" t="s">
        <v>361</v>
      </c>
      <c r="N187" s="1" t="s">
        <v>1259</v>
      </c>
      <c r="O187" s="3">
        <v>43860.361793981479</v>
      </c>
      <c r="P187" s="3">
        <v>43860.434849537036</v>
      </c>
      <c r="Q187" s="1" t="s">
        <v>1260</v>
      </c>
      <c r="R187" s="1" t="s">
        <v>1261</v>
      </c>
      <c r="S187" s="7">
        <f>622-8124846217</f>
        <v>-8124845595</v>
      </c>
      <c r="T187" s="1" t="s">
        <v>1262</v>
      </c>
      <c r="U187" s="1" t="s">
        <v>1263</v>
      </c>
      <c r="V187" s="4">
        <v>1127007</v>
      </c>
      <c r="W187" s="4">
        <v>-72856</v>
      </c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 t="s">
        <v>143</v>
      </c>
      <c r="AI187" s="5">
        <v>43861</v>
      </c>
      <c r="AJ187" s="1" t="s">
        <v>144</v>
      </c>
      <c r="AK187" s="3">
        <v>43860.377581018518</v>
      </c>
      <c r="AL187" s="1" t="s">
        <v>199</v>
      </c>
      <c r="AM187" s="1"/>
      <c r="AN187" s="1" t="s">
        <v>88</v>
      </c>
    </row>
    <row r="188" spans="1:40">
      <c r="A188" s="1">
        <v>187</v>
      </c>
      <c r="B188" s="1">
        <v>5</v>
      </c>
      <c r="C188" s="1" t="s">
        <v>40</v>
      </c>
      <c r="D188" s="1" t="s">
        <v>40</v>
      </c>
      <c r="E188" s="1" t="s">
        <v>107</v>
      </c>
      <c r="F188" s="1">
        <v>501967670</v>
      </c>
      <c r="G188" s="1" t="s">
        <v>42</v>
      </c>
      <c r="H188" s="1" t="s">
        <v>77</v>
      </c>
      <c r="I188" s="1" t="s">
        <v>1264</v>
      </c>
      <c r="J188" s="1">
        <v>50954478</v>
      </c>
      <c r="K188" s="7">
        <v>3199167825</v>
      </c>
      <c r="L188" s="7">
        <v>152412230640</v>
      </c>
      <c r="M188" s="1" t="s">
        <v>620</v>
      </c>
      <c r="N188" s="1" t="s">
        <v>621</v>
      </c>
      <c r="O188" s="3">
        <v>43860.363449074073</v>
      </c>
      <c r="P188" s="3">
        <v>43860.38658564815</v>
      </c>
      <c r="Q188" s="1" t="s">
        <v>1265</v>
      </c>
      <c r="R188" s="1" t="s">
        <v>1150</v>
      </c>
      <c r="S188" s="7">
        <f>622-85645941179</f>
        <v>-85645940557</v>
      </c>
      <c r="T188" s="1" t="s">
        <v>1151</v>
      </c>
      <c r="U188" s="1" t="s">
        <v>1152</v>
      </c>
      <c r="V188" s="4">
        <v>1126644</v>
      </c>
      <c r="W188" s="4">
        <v>-72619</v>
      </c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 t="s">
        <v>143</v>
      </c>
      <c r="AI188" s="5">
        <v>43860</v>
      </c>
      <c r="AJ188" s="1" t="s">
        <v>144</v>
      </c>
      <c r="AK188" s="3">
        <v>43860.377581018518</v>
      </c>
      <c r="AL188" s="1" t="s">
        <v>701</v>
      </c>
      <c r="AM188" s="1"/>
      <c r="AN188" s="1" t="s">
        <v>88</v>
      </c>
    </row>
    <row r="189" spans="1:40">
      <c r="A189" s="1">
        <v>188</v>
      </c>
      <c r="B189" s="1">
        <v>5</v>
      </c>
      <c r="C189" s="1" t="s">
        <v>40</v>
      </c>
      <c r="D189" s="1" t="s">
        <v>152</v>
      </c>
      <c r="E189" s="1" t="s">
        <v>200</v>
      </c>
      <c r="F189" s="1">
        <v>501967664</v>
      </c>
      <c r="G189" s="1" t="s">
        <v>42</v>
      </c>
      <c r="H189" s="1" t="s">
        <v>77</v>
      </c>
      <c r="I189" s="1" t="s">
        <v>1266</v>
      </c>
      <c r="J189" s="1">
        <v>50964806</v>
      </c>
      <c r="K189" s="7">
        <v>3139927450</v>
      </c>
      <c r="L189" s="7">
        <v>152412200642</v>
      </c>
      <c r="M189" s="1" t="s">
        <v>620</v>
      </c>
      <c r="N189" s="1" t="s">
        <v>621</v>
      </c>
      <c r="O189" s="3">
        <v>43860.363576388889</v>
      </c>
      <c r="P189" s="3">
        <v>43860.647418981483</v>
      </c>
      <c r="Q189" s="1" t="s">
        <v>1267</v>
      </c>
      <c r="R189" s="1" t="s">
        <v>1268</v>
      </c>
      <c r="S189" s="7">
        <f>622-85796000337</f>
        <v>-85795999715</v>
      </c>
      <c r="T189" s="1" t="s">
        <v>1269</v>
      </c>
      <c r="U189" s="1" t="s">
        <v>1270</v>
      </c>
      <c r="V189" s="4">
        <v>1126042659796050</v>
      </c>
      <c r="W189" s="4">
        <v>-7115226013991150</v>
      </c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 t="s">
        <v>177</v>
      </c>
      <c r="AI189" s="5">
        <v>43860</v>
      </c>
      <c r="AJ189" s="1" t="s">
        <v>1271</v>
      </c>
      <c r="AK189" s="3">
        <v>43860.552569444444</v>
      </c>
      <c r="AL189" s="1" t="s">
        <v>97</v>
      </c>
      <c r="AM189" s="1"/>
      <c r="AN189" s="1" t="s">
        <v>88</v>
      </c>
    </row>
    <row r="190" spans="1:40">
      <c r="A190" s="1">
        <v>189</v>
      </c>
      <c r="B190" s="1">
        <v>5</v>
      </c>
      <c r="C190" s="1" t="s">
        <v>40</v>
      </c>
      <c r="D190" s="1" t="s">
        <v>152</v>
      </c>
      <c r="E190" s="1" t="s">
        <v>153</v>
      </c>
      <c r="F190" s="1">
        <v>501967701</v>
      </c>
      <c r="G190" s="1" t="s">
        <v>42</v>
      </c>
      <c r="H190" s="1" t="s">
        <v>77</v>
      </c>
      <c r="I190" s="1" t="s">
        <v>1272</v>
      </c>
      <c r="J190" s="1">
        <v>50961211</v>
      </c>
      <c r="K190" s="7">
        <v>3199170267</v>
      </c>
      <c r="L190" s="7">
        <v>152442214358</v>
      </c>
      <c r="M190" s="1" t="s">
        <v>620</v>
      </c>
      <c r="N190" s="1" t="s">
        <v>621</v>
      </c>
      <c r="O190" s="3">
        <v>43860.364340277774</v>
      </c>
      <c r="P190" s="3">
        <v>43860.474641203706</v>
      </c>
      <c r="Q190" s="1" t="s">
        <v>1273</v>
      </c>
      <c r="R190" s="1" t="s">
        <v>1274</v>
      </c>
      <c r="S190" s="7">
        <f>622-82296362678</f>
        <v>-82296362056</v>
      </c>
      <c r="T190" s="1" t="s">
        <v>1275</v>
      </c>
      <c r="U190" s="1" t="s">
        <v>1276</v>
      </c>
      <c r="V190" s="4">
        <v>11258732581</v>
      </c>
      <c r="W190" s="4">
        <v>-728498823</v>
      </c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 t="s">
        <v>143</v>
      </c>
      <c r="AI190" s="5">
        <v>43860</v>
      </c>
      <c r="AJ190" s="1" t="s">
        <v>144</v>
      </c>
      <c r="AK190" s="3">
        <v>43860.377581018518</v>
      </c>
      <c r="AL190" s="1" t="s">
        <v>163</v>
      </c>
      <c r="AM190" s="1"/>
      <c r="AN190" s="1" t="s">
        <v>88</v>
      </c>
    </row>
    <row r="191" spans="1:40">
      <c r="A191" s="1">
        <v>190</v>
      </c>
      <c r="B191" s="1">
        <v>5</v>
      </c>
      <c r="C191" s="1" t="s">
        <v>40</v>
      </c>
      <c r="D191" s="1" t="s">
        <v>152</v>
      </c>
      <c r="E191" s="1" t="s">
        <v>200</v>
      </c>
      <c r="F191" s="1">
        <v>501967754</v>
      </c>
      <c r="G191" s="1" t="s">
        <v>42</v>
      </c>
      <c r="H191" s="1" t="s">
        <v>77</v>
      </c>
      <c r="I191" s="1" t="s">
        <v>1277</v>
      </c>
      <c r="J191" s="1">
        <v>50960834</v>
      </c>
      <c r="K191" s="7">
        <v>3199101957</v>
      </c>
      <c r="L191" s="7">
        <v>152412202593</v>
      </c>
      <c r="M191" s="1" t="s">
        <v>620</v>
      </c>
      <c r="N191" s="1" t="s">
        <v>621</v>
      </c>
      <c r="O191" s="3">
        <v>43860.366064814814</v>
      </c>
      <c r="P191" s="3">
        <v>43860.468391203707</v>
      </c>
      <c r="Q191" s="1" t="s">
        <v>1278</v>
      </c>
      <c r="R191" s="1" t="s">
        <v>1279</v>
      </c>
      <c r="S191" s="7">
        <f>622-82330832255</f>
        <v>-82330831633</v>
      </c>
      <c r="T191" s="1" t="s">
        <v>1280</v>
      </c>
      <c r="U191" s="1" t="s">
        <v>1281</v>
      </c>
      <c r="V191" s="4">
        <v>1126306</v>
      </c>
      <c r="W191" s="4">
        <v>-71608</v>
      </c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 t="s">
        <v>143</v>
      </c>
      <c r="AI191" s="5">
        <v>43860</v>
      </c>
      <c r="AJ191" s="1" t="s">
        <v>144</v>
      </c>
      <c r="AK191" s="3">
        <v>43860.377581018518</v>
      </c>
      <c r="AL191" s="1" t="s">
        <v>97</v>
      </c>
      <c r="AM191" s="1"/>
      <c r="AN191" s="1" t="s">
        <v>88</v>
      </c>
    </row>
    <row r="192" spans="1:40">
      <c r="A192" s="1">
        <v>191</v>
      </c>
      <c r="B192" s="1">
        <v>5</v>
      </c>
      <c r="C192" s="1" t="s">
        <v>40</v>
      </c>
      <c r="D192" s="1" t="s">
        <v>40</v>
      </c>
      <c r="E192" s="1" t="s">
        <v>414</v>
      </c>
      <c r="F192" s="1">
        <v>501967763</v>
      </c>
      <c r="G192" s="1" t="s">
        <v>42</v>
      </c>
      <c r="H192" s="1" t="s">
        <v>77</v>
      </c>
      <c r="I192" s="1" t="s">
        <v>1282</v>
      </c>
      <c r="J192" s="1">
        <v>50955349</v>
      </c>
      <c r="K192" s="7">
        <v>3199752492</v>
      </c>
      <c r="L192" s="7">
        <v>152415216123</v>
      </c>
      <c r="M192" s="1" t="s">
        <v>620</v>
      </c>
      <c r="N192" s="1" t="s">
        <v>621</v>
      </c>
      <c r="O192" s="3">
        <v>43860.366863425923</v>
      </c>
      <c r="P192" s="3">
        <v>43860.3983912037</v>
      </c>
      <c r="Q192" s="1" t="s">
        <v>1283</v>
      </c>
      <c r="R192" s="1" t="s">
        <v>1284</v>
      </c>
      <c r="S192" s="7">
        <f>622-81235012712</f>
        <v>-81235012090</v>
      </c>
      <c r="T192" s="1" t="s">
        <v>1285</v>
      </c>
      <c r="U192" s="1" t="s">
        <v>1286</v>
      </c>
      <c r="V192" s="4">
        <v>112689</v>
      </c>
      <c r="W192" s="4">
        <v>-73274</v>
      </c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 t="s">
        <v>143</v>
      </c>
      <c r="AI192" s="5">
        <v>43860</v>
      </c>
      <c r="AJ192" s="1" t="s">
        <v>144</v>
      </c>
      <c r="AK192" s="3">
        <v>43860.377581018518</v>
      </c>
      <c r="AL192" s="1" t="s">
        <v>701</v>
      </c>
      <c r="AM192" s="1"/>
      <c r="AN192" s="1" t="s">
        <v>88</v>
      </c>
    </row>
    <row r="193" spans="1:40">
      <c r="A193" s="1">
        <v>192</v>
      </c>
      <c r="B193" s="1">
        <v>5</v>
      </c>
      <c r="C193" s="1" t="s">
        <v>40</v>
      </c>
      <c r="D193" s="1" t="s">
        <v>152</v>
      </c>
      <c r="E193" s="1" t="s">
        <v>153</v>
      </c>
      <c r="F193" s="1">
        <v>501967879</v>
      </c>
      <c r="G193" s="1" t="s">
        <v>42</v>
      </c>
      <c r="H193" s="1" t="s">
        <v>77</v>
      </c>
      <c r="I193" s="1" t="s">
        <v>1287</v>
      </c>
      <c r="J193" s="1">
        <v>50966688</v>
      </c>
      <c r="K193" s="7">
        <v>3199171557</v>
      </c>
      <c r="L193" s="7">
        <v>152442214538</v>
      </c>
      <c r="M193" s="1" t="s">
        <v>620</v>
      </c>
      <c r="N193" s="1" t="s">
        <v>621</v>
      </c>
      <c r="O193" s="3">
        <v>43860.369363425925</v>
      </c>
      <c r="P193" s="3">
        <v>43860.478043981479</v>
      </c>
      <c r="Q193" s="1" t="s">
        <v>1288</v>
      </c>
      <c r="R193" s="1" t="s">
        <v>1289</v>
      </c>
      <c r="S193" s="7">
        <f>622-822492436871</f>
        <v>-822492436249</v>
      </c>
      <c r="T193" s="1" t="s">
        <v>1290</v>
      </c>
      <c r="U193" s="1" t="s">
        <v>1291</v>
      </c>
      <c r="V193" s="4">
        <v>11257679118</v>
      </c>
      <c r="W193" s="4">
        <v>-7282851368</v>
      </c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 t="s">
        <v>143</v>
      </c>
      <c r="AI193" s="5">
        <v>43861</v>
      </c>
      <c r="AJ193" s="1" t="s">
        <v>144</v>
      </c>
      <c r="AK193" s="3">
        <v>43860.377581018518</v>
      </c>
      <c r="AL193" s="1" t="s">
        <v>97</v>
      </c>
      <c r="AM193" s="1"/>
      <c r="AN193" s="1" t="s">
        <v>88</v>
      </c>
    </row>
    <row r="194" spans="1:40">
      <c r="A194" s="1">
        <v>193</v>
      </c>
      <c r="B194" s="1">
        <v>5</v>
      </c>
      <c r="C194" s="1" t="s">
        <v>40</v>
      </c>
      <c r="D194" s="1" t="s">
        <v>152</v>
      </c>
      <c r="E194" s="1" t="s">
        <v>230</v>
      </c>
      <c r="F194" s="1">
        <v>501968003</v>
      </c>
      <c r="G194" s="1" t="s">
        <v>42</v>
      </c>
      <c r="H194" s="1" t="s">
        <v>77</v>
      </c>
      <c r="I194" s="1" t="s">
        <v>1292</v>
      </c>
      <c r="J194" s="1">
        <v>50964363</v>
      </c>
      <c r="K194" s="7">
        <v>3199115087</v>
      </c>
      <c r="L194" s="7">
        <v>152451208275</v>
      </c>
      <c r="M194" s="1" t="s">
        <v>1293</v>
      </c>
      <c r="N194" s="1" t="s">
        <v>1294</v>
      </c>
      <c r="O194" s="3">
        <v>43860.372083333335</v>
      </c>
      <c r="P194" s="3">
        <v>43860.390138888892</v>
      </c>
      <c r="Q194" s="1" t="s">
        <v>1295</v>
      </c>
      <c r="R194" s="1" t="s">
        <v>1296</v>
      </c>
      <c r="S194" s="7">
        <f>622-82123412346</f>
        <v>-82123411724</v>
      </c>
      <c r="T194" s="1" t="s">
        <v>1297</v>
      </c>
      <c r="U194" s="1" t="s">
        <v>1298</v>
      </c>
      <c r="V194" s="4">
        <v>1125753254</v>
      </c>
      <c r="W194" s="4">
        <v>-7064923784</v>
      </c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 t="s">
        <v>143</v>
      </c>
      <c r="AI194" s="5">
        <v>43860</v>
      </c>
      <c r="AJ194" s="1" t="s">
        <v>144</v>
      </c>
      <c r="AK194" s="3">
        <v>43860.377581018518</v>
      </c>
      <c r="AL194" s="1" t="s">
        <v>293</v>
      </c>
      <c r="AM194" s="1"/>
      <c r="AN194" s="1" t="s">
        <v>88</v>
      </c>
    </row>
    <row r="195" spans="1:40">
      <c r="A195" s="1">
        <v>194</v>
      </c>
      <c r="B195" s="1">
        <v>5</v>
      </c>
      <c r="C195" s="1" t="s">
        <v>40</v>
      </c>
      <c r="D195" s="1" t="s">
        <v>40</v>
      </c>
      <c r="E195" s="1" t="s">
        <v>208</v>
      </c>
      <c r="F195" s="1">
        <v>501968045</v>
      </c>
      <c r="G195" s="1" t="s">
        <v>42</v>
      </c>
      <c r="H195" s="1" t="s">
        <v>77</v>
      </c>
      <c r="I195" s="1" t="s">
        <v>1299</v>
      </c>
      <c r="J195" s="1">
        <v>50956142</v>
      </c>
      <c r="K195" s="7">
        <v>3199929697</v>
      </c>
      <c r="L195" s="7">
        <v>152407305349</v>
      </c>
      <c r="M195" s="1" t="s">
        <v>620</v>
      </c>
      <c r="N195" s="1" t="s">
        <v>621</v>
      </c>
      <c r="O195" s="3">
        <v>43860.37300925926</v>
      </c>
      <c r="P195" s="3">
        <v>43860.521944444445</v>
      </c>
      <c r="Q195" s="1" t="s">
        <v>1300</v>
      </c>
      <c r="R195" s="1" t="s">
        <v>1301</v>
      </c>
      <c r="S195" s="7">
        <f>622-821313883330</f>
        <v>-821313882708</v>
      </c>
      <c r="T195" s="1" t="s">
        <v>1302</v>
      </c>
      <c r="U195" s="1" t="s">
        <v>1303</v>
      </c>
      <c r="V195" s="4">
        <v>1127813</v>
      </c>
      <c r="W195" s="4">
        <v>-72391</v>
      </c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 t="s">
        <v>143</v>
      </c>
      <c r="AI195" s="5">
        <v>43860</v>
      </c>
      <c r="AJ195" s="1" t="s">
        <v>144</v>
      </c>
      <c r="AK195" s="3">
        <v>43860.377581018518</v>
      </c>
      <c r="AL195" s="1" t="s">
        <v>701</v>
      </c>
      <c r="AM195" s="1"/>
      <c r="AN195" s="1" t="s">
        <v>88</v>
      </c>
    </row>
    <row r="196" spans="1:40">
      <c r="A196" s="1">
        <v>195</v>
      </c>
      <c r="B196" s="1">
        <v>5</v>
      </c>
      <c r="C196" s="1" t="s">
        <v>40</v>
      </c>
      <c r="D196" s="1" t="s">
        <v>40</v>
      </c>
      <c r="E196" s="1" t="s">
        <v>208</v>
      </c>
      <c r="F196" s="1">
        <v>501968086</v>
      </c>
      <c r="G196" s="1" t="s">
        <v>42</v>
      </c>
      <c r="H196" s="1" t="s">
        <v>77</v>
      </c>
      <c r="I196" s="1" t="s">
        <v>1304</v>
      </c>
      <c r="J196" s="1">
        <v>50941171</v>
      </c>
      <c r="K196" s="7">
        <v>3199929169</v>
      </c>
      <c r="L196" s="7">
        <v>152407259392</v>
      </c>
      <c r="M196" s="1" t="s">
        <v>45</v>
      </c>
      <c r="N196" s="1" t="s">
        <v>1305</v>
      </c>
      <c r="O196" s="3">
        <v>43860.373993055553</v>
      </c>
      <c r="P196" s="3">
        <v>43860.420428240737</v>
      </c>
      <c r="Q196" s="1" t="s">
        <v>1306</v>
      </c>
      <c r="R196" s="1" t="s">
        <v>1307</v>
      </c>
      <c r="S196" s="7">
        <f>622-81259144141</f>
        <v>-81259143519</v>
      </c>
      <c r="T196" s="1" t="s">
        <v>1308</v>
      </c>
      <c r="U196" s="1" t="s">
        <v>1309</v>
      </c>
      <c r="V196" s="4">
        <v>1127791667</v>
      </c>
      <c r="W196" s="4">
        <v>-7233642392</v>
      </c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 t="s">
        <v>160</v>
      </c>
      <c r="AI196" s="1" t="s">
        <v>1310</v>
      </c>
      <c r="AJ196" s="1" t="s">
        <v>216</v>
      </c>
      <c r="AK196" s="3">
        <v>43860.636863425927</v>
      </c>
      <c r="AL196" s="1" t="s">
        <v>701</v>
      </c>
      <c r="AM196" s="1"/>
      <c r="AN196" s="1" t="s">
        <v>88</v>
      </c>
    </row>
    <row r="197" spans="1:40">
      <c r="A197" s="1">
        <v>196</v>
      </c>
      <c r="B197" s="1">
        <v>5</v>
      </c>
      <c r="C197" s="1" t="s">
        <v>40</v>
      </c>
      <c r="D197" s="1" t="s">
        <v>152</v>
      </c>
      <c r="E197" s="1" t="s">
        <v>200</v>
      </c>
      <c r="F197" s="1">
        <v>501968131</v>
      </c>
      <c r="G197" s="1" t="s">
        <v>42</v>
      </c>
      <c r="H197" s="1" t="s">
        <v>77</v>
      </c>
      <c r="I197" s="1" t="s">
        <v>1311</v>
      </c>
      <c r="J197" s="1">
        <v>50963292</v>
      </c>
      <c r="K197" s="7">
        <v>3139924962</v>
      </c>
      <c r="L197" s="7">
        <v>152412202431</v>
      </c>
      <c r="M197" s="1" t="s">
        <v>620</v>
      </c>
      <c r="N197" s="1" t="s">
        <v>621</v>
      </c>
      <c r="O197" s="3">
        <v>43860.374745370369</v>
      </c>
      <c r="P197" s="3">
        <v>43860.478067129632</v>
      </c>
      <c r="Q197" s="1" t="s">
        <v>1312</v>
      </c>
      <c r="R197" s="1" t="s">
        <v>1313</v>
      </c>
      <c r="S197" s="7">
        <f>622-85608700057</f>
        <v>-85608699435</v>
      </c>
      <c r="T197" s="1" t="s">
        <v>1314</v>
      </c>
      <c r="U197" s="1" t="s">
        <v>1315</v>
      </c>
      <c r="V197" s="4">
        <v>11265318751</v>
      </c>
      <c r="W197" s="4">
        <v>-716176994</v>
      </c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 t="s">
        <v>143</v>
      </c>
      <c r="AI197" s="5">
        <v>43861</v>
      </c>
      <c r="AJ197" s="1" t="s">
        <v>144</v>
      </c>
      <c r="AK197" s="3">
        <v>43860.377581018518</v>
      </c>
      <c r="AL197" s="1" t="s">
        <v>293</v>
      </c>
      <c r="AM197" s="1"/>
      <c r="AN197" s="1" t="s">
        <v>88</v>
      </c>
    </row>
    <row r="198" spans="1:40">
      <c r="A198" s="1">
        <v>197</v>
      </c>
      <c r="B198" s="1">
        <v>5</v>
      </c>
      <c r="C198" s="1" t="s">
        <v>40</v>
      </c>
      <c r="D198" s="1" t="s">
        <v>152</v>
      </c>
      <c r="E198" s="1" t="s">
        <v>200</v>
      </c>
      <c r="F198" s="1">
        <v>501968222</v>
      </c>
      <c r="G198" s="1" t="s">
        <v>42</v>
      </c>
      <c r="H198" s="1" t="s">
        <v>77</v>
      </c>
      <c r="I198" s="1" t="s">
        <v>1316</v>
      </c>
      <c r="J198" s="1">
        <v>50965151</v>
      </c>
      <c r="K198" s="7">
        <v>3199101467</v>
      </c>
      <c r="L198" s="7">
        <v>152412201893</v>
      </c>
      <c r="M198" s="1" t="s">
        <v>620</v>
      </c>
      <c r="N198" s="1" t="s">
        <v>621</v>
      </c>
      <c r="O198" s="3">
        <v>43860.377129629633</v>
      </c>
      <c r="P198" s="3">
        <v>43860.468541666669</v>
      </c>
      <c r="Q198" s="1" t="s">
        <v>1317</v>
      </c>
      <c r="R198" s="1" t="s">
        <v>1318</v>
      </c>
      <c r="S198" s="7">
        <f>622-81327723973</f>
        <v>-81327723351</v>
      </c>
      <c r="T198" s="1" t="s">
        <v>1319</v>
      </c>
      <c r="U198" s="1" t="s">
        <v>1320</v>
      </c>
      <c r="V198" s="4">
        <v>1126257</v>
      </c>
      <c r="W198" s="4">
        <v>-71605</v>
      </c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 t="s">
        <v>143</v>
      </c>
      <c r="AI198" s="5">
        <v>43860</v>
      </c>
      <c r="AJ198" s="1" t="s">
        <v>144</v>
      </c>
      <c r="AK198" s="3">
        <v>43860.408692129633</v>
      </c>
      <c r="AL198" s="1" t="s">
        <v>97</v>
      </c>
      <c r="AM198" s="1"/>
      <c r="AN198" s="1" t="s">
        <v>88</v>
      </c>
    </row>
    <row r="199" spans="1:40">
      <c r="A199" s="1">
        <v>198</v>
      </c>
      <c r="B199" s="1">
        <v>5</v>
      </c>
      <c r="C199" s="1" t="s">
        <v>40</v>
      </c>
      <c r="D199" s="1" t="s">
        <v>152</v>
      </c>
      <c r="E199" s="1" t="s">
        <v>181</v>
      </c>
      <c r="F199" s="1">
        <v>501968333</v>
      </c>
      <c r="G199" s="1" t="s">
        <v>42</v>
      </c>
      <c r="H199" s="1" t="s">
        <v>77</v>
      </c>
      <c r="I199" s="1" t="s">
        <v>1321</v>
      </c>
      <c r="J199" s="1">
        <v>50964360</v>
      </c>
      <c r="K199" s="7">
        <v>3179972591</v>
      </c>
      <c r="L199" s="7">
        <v>152446213972</v>
      </c>
      <c r="M199" s="1" t="s">
        <v>620</v>
      </c>
      <c r="N199" s="1" t="s">
        <v>621</v>
      </c>
      <c r="O199" s="3">
        <v>43860.379282407404</v>
      </c>
      <c r="P199" s="3">
        <v>43860.618877314817</v>
      </c>
      <c r="Q199" s="1" t="s">
        <v>1322</v>
      </c>
      <c r="R199" s="1" t="s">
        <v>1323</v>
      </c>
      <c r="S199" s="7">
        <f>622-82234905808</f>
        <v>-82234905186</v>
      </c>
      <c r="T199" s="1" t="s">
        <v>1324</v>
      </c>
      <c r="U199" s="1" t="s">
        <v>1325</v>
      </c>
      <c r="V199" s="4">
        <v>11256120496</v>
      </c>
      <c r="W199" s="4">
        <v>-7222941506</v>
      </c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 t="s">
        <v>143</v>
      </c>
      <c r="AI199" s="5">
        <v>43860</v>
      </c>
      <c r="AJ199" s="1" t="s">
        <v>144</v>
      </c>
      <c r="AK199" s="3">
        <v>43860.408692129633</v>
      </c>
      <c r="AL199" s="1" t="s">
        <v>97</v>
      </c>
      <c r="AM199" s="1"/>
      <c r="AN199" s="1" t="s">
        <v>88</v>
      </c>
    </row>
    <row r="200" spans="1:40">
      <c r="A200" s="1">
        <v>199</v>
      </c>
      <c r="B200" s="1">
        <v>5</v>
      </c>
      <c r="C200" s="1" t="s">
        <v>40</v>
      </c>
      <c r="D200" s="1" t="s">
        <v>40</v>
      </c>
      <c r="E200" s="1" t="s">
        <v>250</v>
      </c>
      <c r="F200" s="1">
        <v>501968396</v>
      </c>
      <c r="G200" s="1" t="s">
        <v>42</v>
      </c>
      <c r="H200" s="1" t="s">
        <v>77</v>
      </c>
      <c r="I200" s="1" t="s">
        <v>1326</v>
      </c>
      <c r="J200" s="1">
        <v>50962639</v>
      </c>
      <c r="K200" s="7">
        <v>3199340432</v>
      </c>
      <c r="L200" s="7">
        <v>152418219110</v>
      </c>
      <c r="M200" s="1" t="s">
        <v>45</v>
      </c>
      <c r="N200" s="1" t="s">
        <v>1327</v>
      </c>
      <c r="O200" s="3">
        <v>43860.380752314813</v>
      </c>
      <c r="P200" s="3">
        <v>43860.487013888887</v>
      </c>
      <c r="Q200" s="1" t="s">
        <v>1328</v>
      </c>
      <c r="R200" s="1" t="s">
        <v>1329</v>
      </c>
      <c r="S200" s="7">
        <f>622-82233221483</f>
        <v>-82233220861</v>
      </c>
      <c r="T200" s="1" t="s">
        <v>1330</v>
      </c>
      <c r="U200" s="1" t="s">
        <v>1331</v>
      </c>
      <c r="V200" s="4">
        <v>11271693169</v>
      </c>
      <c r="W200" s="4">
        <v>-7231526466</v>
      </c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 t="s">
        <v>143</v>
      </c>
      <c r="AI200" s="5">
        <v>43860</v>
      </c>
      <c r="AJ200" s="1" t="s">
        <v>144</v>
      </c>
      <c r="AK200" s="3">
        <v>43860.408692129633</v>
      </c>
      <c r="AL200" s="1" t="s">
        <v>293</v>
      </c>
      <c r="AM200" s="1"/>
      <c r="AN200" s="1" t="s">
        <v>88</v>
      </c>
    </row>
    <row r="201" spans="1:40">
      <c r="A201" s="1">
        <v>200</v>
      </c>
      <c r="B201" s="1">
        <v>5</v>
      </c>
      <c r="C201" s="1" t="s">
        <v>40</v>
      </c>
      <c r="D201" s="1" t="s">
        <v>40</v>
      </c>
      <c r="E201" s="1" t="s">
        <v>208</v>
      </c>
      <c r="F201" s="1">
        <v>501968438</v>
      </c>
      <c r="G201" s="1" t="s">
        <v>42</v>
      </c>
      <c r="H201" s="1" t="s">
        <v>77</v>
      </c>
      <c r="I201" s="1" t="s">
        <v>1332</v>
      </c>
      <c r="J201" s="1">
        <v>50963197</v>
      </c>
      <c r="K201" s="7">
        <v>3199929377</v>
      </c>
      <c r="L201" s="7">
        <v>152407254178</v>
      </c>
      <c r="M201" s="1" t="s">
        <v>45</v>
      </c>
      <c r="N201" s="1" t="s">
        <v>1333</v>
      </c>
      <c r="O201" s="3">
        <v>43860.381516203706</v>
      </c>
      <c r="P201" s="3">
        <v>43860.483530092592</v>
      </c>
      <c r="Q201" s="1" t="s">
        <v>1334</v>
      </c>
      <c r="R201" s="1" t="s">
        <v>1335</v>
      </c>
      <c r="S201" s="7">
        <f>622-81252930000</f>
        <v>-81252929378</v>
      </c>
      <c r="T201" s="1" t="s">
        <v>1336</v>
      </c>
      <c r="U201" s="1" t="s">
        <v>1337</v>
      </c>
      <c r="V201" s="4">
        <v>112779005</v>
      </c>
      <c r="W201" s="4">
        <v>-7257478</v>
      </c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 t="s">
        <v>143</v>
      </c>
      <c r="AI201" s="5">
        <v>43860</v>
      </c>
      <c r="AJ201" s="1" t="s">
        <v>144</v>
      </c>
      <c r="AK201" s="3">
        <v>43860.408692129633</v>
      </c>
      <c r="AL201" s="1" t="s">
        <v>97</v>
      </c>
      <c r="AM201" s="1"/>
      <c r="AN201" s="1" t="s">
        <v>88</v>
      </c>
    </row>
    <row r="202" spans="1:40">
      <c r="A202" s="1">
        <v>201</v>
      </c>
      <c r="B202" s="1">
        <v>5</v>
      </c>
      <c r="C202" s="1" t="s">
        <v>40</v>
      </c>
      <c r="D202" s="1" t="s">
        <v>40</v>
      </c>
      <c r="E202" s="1" t="s">
        <v>784</v>
      </c>
      <c r="F202" s="1">
        <v>501968445</v>
      </c>
      <c r="G202" s="1" t="s">
        <v>42</v>
      </c>
      <c r="H202" s="1"/>
      <c r="I202" s="1" t="s">
        <v>1338</v>
      </c>
      <c r="J202" s="1">
        <v>50921023</v>
      </c>
      <c r="K202" s="7">
        <v>3199018533</v>
      </c>
      <c r="L202" s="7">
        <v>152401200988</v>
      </c>
      <c r="M202" s="1" t="s">
        <v>45</v>
      </c>
      <c r="N202" s="1" t="s">
        <v>1339</v>
      </c>
      <c r="O202" s="3">
        <v>43860.381898148145</v>
      </c>
      <c r="P202" s="3">
        <v>43860.633518518516</v>
      </c>
      <c r="Q202" s="1" t="s">
        <v>1340</v>
      </c>
      <c r="R202" s="1" t="s">
        <v>1341</v>
      </c>
      <c r="S202" s="7">
        <f>622-83857882480</f>
        <v>-83857881858</v>
      </c>
      <c r="T202" s="1" t="s">
        <v>1342</v>
      </c>
      <c r="U202" s="1" t="s">
        <v>1343</v>
      </c>
      <c r="V202" s="4">
        <v>112736350306395</v>
      </c>
      <c r="W202" s="4">
        <v>-7221758000258050</v>
      </c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 t="s">
        <v>160</v>
      </c>
      <c r="AI202" s="1" t="s">
        <v>1344</v>
      </c>
      <c r="AJ202" s="1" t="s">
        <v>792</v>
      </c>
      <c r="AK202" s="3">
        <v>43860.633773148147</v>
      </c>
      <c r="AL202" s="1" t="s">
        <v>180</v>
      </c>
      <c r="AM202" s="1"/>
      <c r="AN202" s="1" t="s">
        <v>88</v>
      </c>
    </row>
    <row r="203" spans="1:40">
      <c r="A203" s="1">
        <v>202</v>
      </c>
      <c r="B203" s="1">
        <v>5</v>
      </c>
      <c r="C203" s="1" t="s">
        <v>40</v>
      </c>
      <c r="D203" s="1" t="s">
        <v>283</v>
      </c>
      <c r="E203" s="1" t="s">
        <v>284</v>
      </c>
      <c r="F203" s="1">
        <v>501968467</v>
      </c>
      <c r="G203" s="1" t="s">
        <v>42</v>
      </c>
      <c r="H203" s="1"/>
      <c r="I203" s="1" t="s">
        <v>1345</v>
      </c>
      <c r="J203" s="1">
        <v>50919507</v>
      </c>
      <c r="K203" s="7">
        <v>3224661627</v>
      </c>
      <c r="L203" s="7">
        <v>152448210449</v>
      </c>
      <c r="M203" s="1" t="s">
        <v>45</v>
      </c>
      <c r="N203" s="1" t="s">
        <v>1346</v>
      </c>
      <c r="O203" s="3">
        <v>43860.381898148145</v>
      </c>
      <c r="P203" s="3">
        <v>43860.468229166669</v>
      </c>
      <c r="Q203" s="1" t="s">
        <v>1347</v>
      </c>
      <c r="R203" s="1" t="s">
        <v>1348</v>
      </c>
      <c r="S203" s="7">
        <f>622-81515503102</f>
        <v>-81515502480</v>
      </c>
      <c r="T203" s="1" t="s">
        <v>1349</v>
      </c>
      <c r="U203" s="1" t="s">
        <v>1350</v>
      </c>
      <c r="V203" s="4">
        <v>112375261</v>
      </c>
      <c r="W203" s="4">
        <v>-6874829</v>
      </c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 t="s">
        <v>143</v>
      </c>
      <c r="AI203" s="5">
        <v>43858</v>
      </c>
      <c r="AJ203" s="1" t="s">
        <v>144</v>
      </c>
      <c r="AK203" s="3">
        <v>43860.408692129633</v>
      </c>
      <c r="AL203" s="1" t="s">
        <v>293</v>
      </c>
      <c r="AM203" s="1"/>
      <c r="AN203" s="1" t="s">
        <v>88</v>
      </c>
    </row>
    <row r="204" spans="1:40">
      <c r="A204" s="1">
        <v>203</v>
      </c>
      <c r="B204" s="1">
        <v>5</v>
      </c>
      <c r="C204" s="1" t="s">
        <v>40</v>
      </c>
      <c r="D204" s="1" t="s">
        <v>40</v>
      </c>
      <c r="E204" s="1" t="s">
        <v>1036</v>
      </c>
      <c r="F204" s="1">
        <v>501969324</v>
      </c>
      <c r="G204" s="1" t="s">
        <v>42</v>
      </c>
      <c r="H204" s="1" t="s">
        <v>77</v>
      </c>
      <c r="I204" s="1" t="s">
        <v>1351</v>
      </c>
      <c r="J204" s="1">
        <v>50913429</v>
      </c>
      <c r="K204" s="7">
        <v>3199051262</v>
      </c>
      <c r="L204" s="7">
        <v>152417201686</v>
      </c>
      <c r="M204" s="1" t="s">
        <v>620</v>
      </c>
      <c r="N204" s="1" t="s">
        <v>621</v>
      </c>
      <c r="O204" s="3">
        <v>43860.39912037037</v>
      </c>
      <c r="P204" s="3">
        <v>43860.479733796295</v>
      </c>
      <c r="Q204" s="1" t="s">
        <v>1352</v>
      </c>
      <c r="R204" s="1" t="s">
        <v>1353</v>
      </c>
      <c r="S204" s="7">
        <f>622-895340601276</f>
        <v>-895340600654</v>
      </c>
      <c r="T204" s="1" t="s">
        <v>1354</v>
      </c>
      <c r="U204" s="1" t="s">
        <v>1355</v>
      </c>
      <c r="V204" s="4">
        <v>1125749906</v>
      </c>
      <c r="W204" s="4">
        <v>-7357569315</v>
      </c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 t="s">
        <v>143</v>
      </c>
      <c r="AI204" s="5">
        <v>43861</v>
      </c>
      <c r="AJ204" s="1" t="s">
        <v>144</v>
      </c>
      <c r="AK204" s="3">
        <v>43860.408692129633</v>
      </c>
      <c r="AL204" s="1" t="s">
        <v>97</v>
      </c>
      <c r="AM204" s="1"/>
      <c r="AN204" s="1" t="s">
        <v>88</v>
      </c>
    </row>
    <row r="205" spans="1:40">
      <c r="A205" s="1">
        <v>204</v>
      </c>
      <c r="B205" s="1">
        <v>5</v>
      </c>
      <c r="C205" s="1" t="s">
        <v>40</v>
      </c>
      <c r="D205" s="1" t="s">
        <v>40</v>
      </c>
      <c r="E205" s="1" t="s">
        <v>107</v>
      </c>
      <c r="F205" s="1">
        <v>501969396</v>
      </c>
      <c r="G205" s="1" t="s">
        <v>42</v>
      </c>
      <c r="H205" s="1" t="s">
        <v>43</v>
      </c>
      <c r="I205" s="1" t="s">
        <v>1356</v>
      </c>
      <c r="J205" s="1">
        <v>50967446</v>
      </c>
      <c r="K205" s="7"/>
      <c r="L205" s="7">
        <v>152412232682</v>
      </c>
      <c r="M205" s="1" t="s">
        <v>45</v>
      </c>
      <c r="N205" s="1" t="s">
        <v>1357</v>
      </c>
      <c r="O205" s="3">
        <v>43860.400462962964</v>
      </c>
      <c r="P205" s="3">
        <v>43860.52239583333</v>
      </c>
      <c r="Q205" s="1" t="s">
        <v>1358</v>
      </c>
      <c r="R205" s="1" t="s">
        <v>1359</v>
      </c>
      <c r="S205" s="7">
        <f>62-82233428861</f>
        <v>-82233428799</v>
      </c>
      <c r="T205" s="1" t="s">
        <v>1360</v>
      </c>
      <c r="U205" s="1" t="s">
        <v>1361</v>
      </c>
      <c r="V205" s="4">
        <v>1126324442346720</v>
      </c>
      <c r="W205" s="4">
        <v>-726145014692375</v>
      </c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 t="s">
        <v>160</v>
      </c>
      <c r="AI205" s="1" t="s">
        <v>1362</v>
      </c>
      <c r="AJ205" s="1" t="s">
        <v>115</v>
      </c>
      <c r="AK205" s="3">
        <v>43860.609965277778</v>
      </c>
      <c r="AL205" s="1" t="s">
        <v>384</v>
      </c>
      <c r="AM205" s="1"/>
      <c r="AN205" s="1" t="s">
        <v>117</v>
      </c>
    </row>
    <row r="206" spans="1:40">
      <c r="A206" s="1">
        <v>205</v>
      </c>
      <c r="B206" s="1">
        <v>5</v>
      </c>
      <c r="C206" s="1" t="s">
        <v>40</v>
      </c>
      <c r="D206" s="1" t="s">
        <v>283</v>
      </c>
      <c r="E206" s="1" t="s">
        <v>284</v>
      </c>
      <c r="F206" s="1">
        <v>501969944</v>
      </c>
      <c r="G206" s="1" t="s">
        <v>42</v>
      </c>
      <c r="H206" s="1" t="s">
        <v>77</v>
      </c>
      <c r="I206" s="1" t="s">
        <v>1363</v>
      </c>
      <c r="J206" s="1">
        <v>50955035</v>
      </c>
      <c r="K206" s="7">
        <v>3224661806</v>
      </c>
      <c r="L206" s="7">
        <v>152448210491</v>
      </c>
      <c r="M206" s="1" t="s">
        <v>1069</v>
      </c>
      <c r="N206" s="1" t="s">
        <v>1070</v>
      </c>
      <c r="O206" s="3">
        <v>43860.410821759258</v>
      </c>
      <c r="P206" s="3">
        <v>43860.654965277776</v>
      </c>
      <c r="Q206" s="1" t="s">
        <v>1364</v>
      </c>
      <c r="R206" s="1" t="s">
        <v>1365</v>
      </c>
      <c r="S206" s="7">
        <f>622-81364376119</f>
        <v>-81364375497</v>
      </c>
      <c r="T206" s="1" t="s">
        <v>1366</v>
      </c>
      <c r="U206" s="1" t="s">
        <v>1367</v>
      </c>
      <c r="V206" s="4">
        <v>1124063609241380</v>
      </c>
      <c r="W206" s="4">
        <v>-6876122201840460</v>
      </c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 t="s">
        <v>143</v>
      </c>
      <c r="AI206" s="5">
        <v>43860</v>
      </c>
      <c r="AJ206" s="1" t="s">
        <v>144</v>
      </c>
      <c r="AK206" s="3">
        <v>43860.450462962966</v>
      </c>
      <c r="AL206" s="1" t="s">
        <v>293</v>
      </c>
      <c r="AM206" s="1"/>
      <c r="AN206" s="1" t="s">
        <v>88</v>
      </c>
    </row>
    <row r="207" spans="1:40">
      <c r="A207" s="1">
        <v>206</v>
      </c>
      <c r="B207" s="1">
        <v>5</v>
      </c>
      <c r="C207" s="1" t="s">
        <v>40</v>
      </c>
      <c r="D207" s="1" t="s">
        <v>40</v>
      </c>
      <c r="E207" s="1" t="s">
        <v>784</v>
      </c>
      <c r="F207" s="1">
        <v>501970032</v>
      </c>
      <c r="G207" s="1" t="s">
        <v>42</v>
      </c>
      <c r="H207" s="1" t="s">
        <v>77</v>
      </c>
      <c r="I207" s="1" t="s">
        <v>1368</v>
      </c>
      <c r="J207" s="1">
        <v>50959807</v>
      </c>
      <c r="K207" s="7">
        <v>3199018314</v>
      </c>
      <c r="L207" s="7">
        <v>152401200204</v>
      </c>
      <c r="M207" s="1" t="s">
        <v>620</v>
      </c>
      <c r="N207" s="1" t="s">
        <v>621</v>
      </c>
      <c r="O207" s="3">
        <v>43860.41196759259</v>
      </c>
      <c r="P207" s="3">
        <v>43860.596782407411</v>
      </c>
      <c r="Q207" s="1" t="s">
        <v>1369</v>
      </c>
      <c r="R207" s="1" t="s">
        <v>1370</v>
      </c>
      <c r="S207" s="7">
        <f>622-87852436686</f>
        <v>-87852436064</v>
      </c>
      <c r="T207" s="1" t="s">
        <v>1371</v>
      </c>
      <c r="U207" s="1" t="s">
        <v>1372</v>
      </c>
      <c r="V207" s="4">
        <v>11272974481</v>
      </c>
      <c r="W207" s="4">
        <v>-7215749635</v>
      </c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 t="s">
        <v>143</v>
      </c>
      <c r="AI207" s="5">
        <v>43860</v>
      </c>
      <c r="AJ207" s="1" t="s">
        <v>144</v>
      </c>
      <c r="AK207" s="3">
        <v>43860.450462962966</v>
      </c>
      <c r="AL207" s="1" t="s">
        <v>97</v>
      </c>
      <c r="AM207" s="1"/>
      <c r="AN207" s="1" t="s">
        <v>88</v>
      </c>
    </row>
    <row r="208" spans="1:40">
      <c r="A208" s="1">
        <v>207</v>
      </c>
      <c r="B208" s="1">
        <v>5</v>
      </c>
      <c r="C208" s="1" t="s">
        <v>40</v>
      </c>
      <c r="D208" s="1" t="s">
        <v>283</v>
      </c>
      <c r="E208" s="1" t="s">
        <v>440</v>
      </c>
      <c r="F208" s="1">
        <v>501970544</v>
      </c>
      <c r="G208" s="1" t="s">
        <v>42</v>
      </c>
      <c r="H208" s="1" t="s">
        <v>77</v>
      </c>
      <c r="I208" s="1" t="s">
        <v>1373</v>
      </c>
      <c r="J208" s="1">
        <v>50958349</v>
      </c>
      <c r="K208" s="7">
        <v>3224652452</v>
      </c>
      <c r="L208" s="7">
        <v>152441212674</v>
      </c>
      <c r="M208" s="1" t="s">
        <v>1293</v>
      </c>
      <c r="N208" s="1" t="s">
        <v>1294</v>
      </c>
      <c r="O208" s="3">
        <v>43860.421979166669</v>
      </c>
      <c r="P208" s="3">
        <v>43860.431458333333</v>
      </c>
      <c r="Q208" s="1" t="s">
        <v>1374</v>
      </c>
      <c r="R208" s="1" t="s">
        <v>1375</v>
      </c>
      <c r="S208" s="7">
        <f>622-85733730523</f>
        <v>-85733729901</v>
      </c>
      <c r="T208" s="1" t="s">
        <v>1376</v>
      </c>
      <c r="U208" s="1" t="s">
        <v>1377</v>
      </c>
      <c r="V208" s="4">
        <v>11222545091</v>
      </c>
      <c r="W208" s="4">
        <v>-7194194054</v>
      </c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 t="s">
        <v>143</v>
      </c>
      <c r="AI208" s="5">
        <v>43861</v>
      </c>
      <c r="AJ208" s="1" t="s">
        <v>144</v>
      </c>
      <c r="AK208" s="3">
        <v>43860.450462962966</v>
      </c>
      <c r="AL208" s="1" t="s">
        <v>97</v>
      </c>
      <c r="AM208" s="1"/>
      <c r="AN208" s="1" t="s">
        <v>88</v>
      </c>
    </row>
    <row r="209" spans="1:40">
      <c r="A209" s="1">
        <v>208</v>
      </c>
      <c r="B209" s="1">
        <v>5</v>
      </c>
      <c r="C209" s="1" t="s">
        <v>40</v>
      </c>
      <c r="D209" s="1" t="s">
        <v>152</v>
      </c>
      <c r="E209" s="1" t="s">
        <v>200</v>
      </c>
      <c r="F209" s="1">
        <v>501970649</v>
      </c>
      <c r="G209" s="1" t="s">
        <v>42</v>
      </c>
      <c r="H209" s="1"/>
      <c r="I209" s="1" t="s">
        <v>1378</v>
      </c>
      <c r="J209" s="1">
        <v>50932424</v>
      </c>
      <c r="K209" s="7">
        <v>3139925516</v>
      </c>
      <c r="L209" s="7">
        <v>152412200819</v>
      </c>
      <c r="M209" s="1" t="s">
        <v>361</v>
      </c>
      <c r="N209" s="1" t="s">
        <v>1379</v>
      </c>
      <c r="O209" s="3">
        <v>43860.423576388886</v>
      </c>
      <c r="P209" s="3">
        <v>43860.425046296295</v>
      </c>
      <c r="Q209" s="1" t="s">
        <v>1380</v>
      </c>
      <c r="R209" s="1" t="s">
        <v>1381</v>
      </c>
      <c r="S209" s="7">
        <f>622-85736888735</f>
        <v>-85736888113</v>
      </c>
      <c r="T209" s="1" t="s">
        <v>1382</v>
      </c>
      <c r="U209" s="1" t="s">
        <v>1383</v>
      </c>
      <c r="V209" s="4">
        <v>11261374518</v>
      </c>
      <c r="W209" s="4">
        <v>-7156023857</v>
      </c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 t="s">
        <v>143</v>
      </c>
      <c r="AI209" s="5">
        <v>43858</v>
      </c>
      <c r="AJ209" s="1" t="s">
        <v>144</v>
      </c>
      <c r="AK209" s="3">
        <v>43860.450462962966</v>
      </c>
      <c r="AL209" s="1" t="s">
        <v>293</v>
      </c>
      <c r="AM209" s="1"/>
      <c r="AN209" s="1" t="s">
        <v>88</v>
      </c>
    </row>
    <row r="210" spans="1:40">
      <c r="A210" s="1">
        <v>209</v>
      </c>
      <c r="B210" s="1">
        <v>5</v>
      </c>
      <c r="C210" s="1" t="s">
        <v>40</v>
      </c>
      <c r="D210" s="1" t="s">
        <v>40</v>
      </c>
      <c r="E210" s="1" t="s">
        <v>208</v>
      </c>
      <c r="F210" s="1">
        <v>501970650</v>
      </c>
      <c r="G210" s="1" t="s">
        <v>42</v>
      </c>
      <c r="H210" s="1"/>
      <c r="I210" s="1" t="s">
        <v>1384</v>
      </c>
      <c r="J210" s="1">
        <v>50933792</v>
      </c>
      <c r="K210" s="7">
        <v>3199924962</v>
      </c>
      <c r="L210" s="7">
        <v>152407900018</v>
      </c>
      <c r="M210" s="1" t="s">
        <v>361</v>
      </c>
      <c r="N210" s="1" t="s">
        <v>1385</v>
      </c>
      <c r="O210" s="3">
        <v>43860.423576388886</v>
      </c>
      <c r="P210" s="3">
        <v>43860.425023148149</v>
      </c>
      <c r="Q210" s="1" t="s">
        <v>1386</v>
      </c>
      <c r="R210" s="1" t="s">
        <v>1387</v>
      </c>
      <c r="S210" s="7">
        <f>622-823385287350</f>
        <v>-823385286728</v>
      </c>
      <c r="T210" s="1" t="s">
        <v>1388</v>
      </c>
      <c r="U210" s="1" t="s">
        <v>1389</v>
      </c>
      <c r="V210" s="4">
        <v>112776019</v>
      </c>
      <c r="W210" s="4">
        <v>-7260661</v>
      </c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 t="s">
        <v>95</v>
      </c>
      <c r="AI210" s="1" t="s">
        <v>1390</v>
      </c>
      <c r="AJ210" s="1" t="s">
        <v>216</v>
      </c>
      <c r="AK210" s="3">
        <v>43860.64434027778</v>
      </c>
      <c r="AL210" s="1" t="s">
        <v>163</v>
      </c>
      <c r="AM210" s="1"/>
      <c r="AN210" s="1" t="s">
        <v>88</v>
      </c>
    </row>
    <row r="211" spans="1:40">
      <c r="A211" s="1">
        <v>210</v>
      </c>
      <c r="B211" s="1">
        <v>5</v>
      </c>
      <c r="C211" s="1" t="s">
        <v>40</v>
      </c>
      <c r="D211" s="1" t="s">
        <v>40</v>
      </c>
      <c r="E211" s="1" t="s">
        <v>376</v>
      </c>
      <c r="F211" s="1">
        <v>501970786</v>
      </c>
      <c r="G211" s="1" t="s">
        <v>42</v>
      </c>
      <c r="H211" s="1" t="s">
        <v>77</v>
      </c>
      <c r="I211" s="1" t="s">
        <v>1209</v>
      </c>
      <c r="J211" s="1">
        <v>50897215</v>
      </c>
      <c r="K211" s="7">
        <v>3199429156</v>
      </c>
      <c r="L211" s="7">
        <v>152424240483</v>
      </c>
      <c r="M211" s="1" t="s">
        <v>620</v>
      </c>
      <c r="N211" s="1" t="s">
        <v>621</v>
      </c>
      <c r="O211" s="3">
        <v>43860.426157407404</v>
      </c>
      <c r="P211" s="3">
        <v>43860.637673611112</v>
      </c>
      <c r="Q211" s="1" t="s">
        <v>1391</v>
      </c>
      <c r="R211" s="1" t="s">
        <v>1392</v>
      </c>
      <c r="S211" s="7">
        <f>622-87859404639</f>
        <v>-87859404017</v>
      </c>
      <c r="T211" s="1" t="s">
        <v>1393</v>
      </c>
      <c r="U211" s="1" t="s">
        <v>1394</v>
      </c>
      <c r="V211" s="4">
        <v>1.12677340307396E+16</v>
      </c>
      <c r="W211" s="4">
        <v>-7.3124037472496896E+16</v>
      </c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 t="s">
        <v>143</v>
      </c>
      <c r="AI211" s="5">
        <v>43861</v>
      </c>
      <c r="AJ211" s="1" t="s">
        <v>144</v>
      </c>
      <c r="AK211" s="3">
        <v>43860.450462962966</v>
      </c>
      <c r="AL211" s="1" t="s">
        <v>701</v>
      </c>
      <c r="AM211" s="1"/>
      <c r="AN211" s="1" t="s">
        <v>88</v>
      </c>
    </row>
    <row r="212" spans="1:40">
      <c r="A212" s="1">
        <v>211</v>
      </c>
      <c r="B212" s="1">
        <v>5</v>
      </c>
      <c r="C212" s="1" t="s">
        <v>40</v>
      </c>
      <c r="D212" s="1" t="s">
        <v>40</v>
      </c>
      <c r="E212" s="1" t="s">
        <v>118</v>
      </c>
      <c r="F212" s="1">
        <v>501970870</v>
      </c>
      <c r="G212" s="1" t="s">
        <v>42</v>
      </c>
      <c r="H212" s="1"/>
      <c r="I212" s="1" t="s">
        <v>1395</v>
      </c>
      <c r="J212" s="1">
        <v>50924047</v>
      </c>
      <c r="K212" s="7">
        <v>3137397471</v>
      </c>
      <c r="L212" s="7">
        <v>152404273716</v>
      </c>
      <c r="M212" s="1" t="s">
        <v>45</v>
      </c>
      <c r="N212" s="1" t="s">
        <v>1396</v>
      </c>
      <c r="O212" s="3">
        <v>43860.427754629629</v>
      </c>
      <c r="P212" s="3">
        <v>43860.490486111114</v>
      </c>
      <c r="Q212" s="1" t="s">
        <v>1397</v>
      </c>
      <c r="R212" s="1" t="s">
        <v>1398</v>
      </c>
      <c r="S212" s="7">
        <f>622-8082213253236</f>
        <v>-8082213252614</v>
      </c>
      <c r="T212" s="1" t="s">
        <v>1399</v>
      </c>
      <c r="U212" s="1" t="s">
        <v>1400</v>
      </c>
      <c r="V212" s="4">
        <v>112768</v>
      </c>
      <c r="W212" s="4">
        <v>-72242</v>
      </c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 t="s">
        <v>143</v>
      </c>
      <c r="AI212" s="5">
        <v>43858</v>
      </c>
      <c r="AJ212" s="1" t="s">
        <v>144</v>
      </c>
      <c r="AK212" s="3">
        <v>43860.450462962966</v>
      </c>
      <c r="AL212" s="1" t="s">
        <v>701</v>
      </c>
      <c r="AM212" s="1"/>
      <c r="AN212" s="1" t="s">
        <v>88</v>
      </c>
    </row>
    <row r="213" spans="1:40">
      <c r="A213" s="1">
        <v>212</v>
      </c>
      <c r="B213" s="1">
        <v>5</v>
      </c>
      <c r="C213" s="1" t="s">
        <v>40</v>
      </c>
      <c r="D213" s="1" t="s">
        <v>40</v>
      </c>
      <c r="E213" s="1" t="s">
        <v>414</v>
      </c>
      <c r="F213" s="1">
        <v>501971097</v>
      </c>
      <c r="G213" s="1" t="s">
        <v>42</v>
      </c>
      <c r="H213" s="1" t="s">
        <v>77</v>
      </c>
      <c r="I213" s="1" t="s">
        <v>1243</v>
      </c>
      <c r="J213" s="1">
        <v>50962482</v>
      </c>
      <c r="K213" s="7">
        <v>3199750375</v>
      </c>
      <c r="L213" s="7">
        <v>152415216472</v>
      </c>
      <c r="M213" s="1" t="s">
        <v>620</v>
      </c>
      <c r="N213" s="1" t="s">
        <v>621</v>
      </c>
      <c r="O213" s="3">
        <v>43860.432141203702</v>
      </c>
      <c r="P213" s="3">
        <v>43860.555254629631</v>
      </c>
      <c r="Q213" s="1" t="s">
        <v>1401</v>
      </c>
      <c r="R213" s="1" t="s">
        <v>1402</v>
      </c>
      <c r="S213" s="7">
        <f>622-82260227272</f>
        <v>-82260226650</v>
      </c>
      <c r="T213" s="1" t="s">
        <v>1403</v>
      </c>
      <c r="U213" s="1" t="s">
        <v>1404</v>
      </c>
      <c r="V213" s="4">
        <v>11266077468</v>
      </c>
      <c r="W213" s="4">
        <v>-734700552</v>
      </c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 t="s">
        <v>143</v>
      </c>
      <c r="AI213" s="5">
        <v>43861</v>
      </c>
      <c r="AJ213" s="1" t="s">
        <v>144</v>
      </c>
      <c r="AK213" s="3">
        <v>43860.450462962966</v>
      </c>
      <c r="AL213" s="1" t="s">
        <v>701</v>
      </c>
      <c r="AM213" s="1"/>
      <c r="AN213" s="1" t="s">
        <v>88</v>
      </c>
    </row>
    <row r="214" spans="1:40">
      <c r="A214" s="1">
        <v>213</v>
      </c>
      <c r="B214" s="1">
        <v>5</v>
      </c>
      <c r="C214" s="1" t="s">
        <v>40</v>
      </c>
      <c r="D214" s="1" t="s">
        <v>40</v>
      </c>
      <c r="E214" s="1" t="s">
        <v>107</v>
      </c>
      <c r="F214" s="1">
        <v>501971188</v>
      </c>
      <c r="G214" s="1" t="s">
        <v>42</v>
      </c>
      <c r="H214" s="1" t="s">
        <v>77</v>
      </c>
      <c r="I214" s="1" t="s">
        <v>1405</v>
      </c>
      <c r="J214" s="1">
        <v>50962591</v>
      </c>
      <c r="K214" s="7">
        <v>317451492</v>
      </c>
      <c r="L214" s="7">
        <v>152412232864</v>
      </c>
      <c r="M214" s="1" t="s">
        <v>620</v>
      </c>
      <c r="N214" s="1" t="s">
        <v>621</v>
      </c>
      <c r="O214" s="3">
        <v>43860.433923611112</v>
      </c>
      <c r="P214" s="3">
        <v>43860.583877314813</v>
      </c>
      <c r="Q214" s="1" t="s">
        <v>1406</v>
      </c>
      <c r="R214" s="1" t="s">
        <v>1407</v>
      </c>
      <c r="S214" s="7">
        <f>622-82133472798</f>
        <v>-82133472176</v>
      </c>
      <c r="T214" s="1" t="s">
        <v>1408</v>
      </c>
      <c r="U214" s="1" t="s">
        <v>1409</v>
      </c>
      <c r="V214" s="4">
        <v>1126717</v>
      </c>
      <c r="W214" s="4">
        <v>-72663</v>
      </c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 t="s">
        <v>143</v>
      </c>
      <c r="AI214" s="5">
        <v>43860</v>
      </c>
      <c r="AJ214" s="1" t="s">
        <v>144</v>
      </c>
      <c r="AK214" s="3">
        <v>43860.450462962966</v>
      </c>
      <c r="AL214" s="1" t="s">
        <v>701</v>
      </c>
      <c r="AM214" s="1"/>
      <c r="AN214" s="1" t="s">
        <v>88</v>
      </c>
    </row>
    <row r="215" spans="1:40">
      <c r="A215" s="1">
        <v>214</v>
      </c>
      <c r="B215" s="1">
        <v>5</v>
      </c>
      <c r="C215" s="1" t="s">
        <v>40</v>
      </c>
      <c r="D215" s="1" t="s">
        <v>40</v>
      </c>
      <c r="E215" s="1" t="s">
        <v>107</v>
      </c>
      <c r="F215" s="1">
        <v>501971412</v>
      </c>
      <c r="G215" s="1" t="s">
        <v>42</v>
      </c>
      <c r="H215" s="1" t="s">
        <v>77</v>
      </c>
      <c r="I215" s="1" t="s">
        <v>1410</v>
      </c>
      <c r="J215" s="1">
        <v>50963455</v>
      </c>
      <c r="K215" s="7">
        <v>317457101</v>
      </c>
      <c r="L215" s="7">
        <v>152412234929</v>
      </c>
      <c r="M215" s="1" t="s">
        <v>620</v>
      </c>
      <c r="N215" s="1" t="s">
        <v>621</v>
      </c>
      <c r="O215" s="3">
        <v>43860.437951388885</v>
      </c>
      <c r="P215" s="3">
        <v>43860.48232638889</v>
      </c>
      <c r="Q215" s="1" t="s">
        <v>1411</v>
      </c>
      <c r="R215" s="1" t="s">
        <v>1412</v>
      </c>
      <c r="S215" s="7">
        <f>622-8113444644</f>
        <v>-8113444022</v>
      </c>
      <c r="T215" s="1" t="s">
        <v>1413</v>
      </c>
      <c r="U215" s="1" t="s">
        <v>1414</v>
      </c>
      <c r="V215" s="4">
        <v>1126697</v>
      </c>
      <c r="W215" s="4">
        <v>-72605</v>
      </c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 t="s">
        <v>143</v>
      </c>
      <c r="AI215" s="5">
        <v>43861</v>
      </c>
      <c r="AJ215" s="1" t="s">
        <v>144</v>
      </c>
      <c r="AK215" s="3">
        <v>43860.450462962966</v>
      </c>
      <c r="AL215" s="1" t="s">
        <v>97</v>
      </c>
      <c r="AM215" s="1"/>
      <c r="AN215" s="1" t="s">
        <v>88</v>
      </c>
    </row>
    <row r="216" spans="1:40">
      <c r="A216" s="1">
        <v>215</v>
      </c>
      <c r="B216" s="1">
        <v>5</v>
      </c>
      <c r="C216" s="1" t="s">
        <v>40</v>
      </c>
      <c r="D216" s="1" t="s">
        <v>40</v>
      </c>
      <c r="E216" s="1" t="s">
        <v>208</v>
      </c>
      <c r="F216" s="1">
        <v>501971478</v>
      </c>
      <c r="G216" s="1" t="s">
        <v>42</v>
      </c>
      <c r="H216" s="1" t="s">
        <v>77</v>
      </c>
      <c r="I216" s="1" t="s">
        <v>1415</v>
      </c>
      <c r="J216" s="1">
        <v>50964762</v>
      </c>
      <c r="K216" s="7">
        <v>3199929119</v>
      </c>
      <c r="L216" s="7">
        <v>152407305483</v>
      </c>
      <c r="M216" s="1" t="s">
        <v>620</v>
      </c>
      <c r="N216" s="1" t="s">
        <v>621</v>
      </c>
      <c r="O216" s="3">
        <v>43860.439884259256</v>
      </c>
      <c r="P216" s="3">
        <v>43860.56559027778</v>
      </c>
      <c r="Q216" s="1" t="s">
        <v>1416</v>
      </c>
      <c r="R216" s="1" t="s">
        <v>1417</v>
      </c>
      <c r="S216" s="7">
        <f>622-82233296504</f>
        <v>-82233295882</v>
      </c>
      <c r="T216" s="1" t="s">
        <v>1418</v>
      </c>
      <c r="U216" s="1" t="s">
        <v>1419</v>
      </c>
      <c r="V216" s="4">
        <v>112772</v>
      </c>
      <c r="W216" s="4">
        <v>-7241</v>
      </c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 t="s">
        <v>177</v>
      </c>
      <c r="AI216" s="5">
        <v>43861</v>
      </c>
      <c r="AJ216" s="1" t="s">
        <v>1271</v>
      </c>
      <c r="AK216" s="3">
        <v>43860.552777777775</v>
      </c>
      <c r="AL216" s="1" t="s">
        <v>701</v>
      </c>
      <c r="AM216" s="1"/>
      <c r="AN216" s="1" t="s">
        <v>88</v>
      </c>
    </row>
    <row r="217" spans="1:40">
      <c r="A217" s="1">
        <v>216</v>
      </c>
      <c r="B217" s="1">
        <v>5</v>
      </c>
      <c r="C217" s="1" t="s">
        <v>40</v>
      </c>
      <c r="D217" s="1" t="s">
        <v>152</v>
      </c>
      <c r="E217" s="1" t="s">
        <v>224</v>
      </c>
      <c r="F217" s="1">
        <v>501971704</v>
      </c>
      <c r="G217" s="1" t="s">
        <v>42</v>
      </c>
      <c r="H217" s="1" t="s">
        <v>77</v>
      </c>
      <c r="I217" s="1" t="s">
        <v>1420</v>
      </c>
      <c r="J217" s="1">
        <v>50968354</v>
      </c>
      <c r="K217" s="7">
        <v>3136321449</v>
      </c>
      <c r="L217" s="7">
        <v>152443903779</v>
      </c>
      <c r="M217" s="1" t="s">
        <v>45</v>
      </c>
      <c r="N217" s="1" t="s">
        <v>1421</v>
      </c>
      <c r="O217" s="3">
        <v>43860.443715277775</v>
      </c>
      <c r="P217" s="3">
        <v>43860.600960648146</v>
      </c>
      <c r="Q217" s="1" t="s">
        <v>1422</v>
      </c>
      <c r="R217" s="1" t="s">
        <v>1423</v>
      </c>
      <c r="S217" s="7">
        <f>62-87758411972</f>
        <v>-87758411910</v>
      </c>
      <c r="T217" s="1" t="s">
        <v>1424</v>
      </c>
      <c r="U217" s="1" t="s">
        <v>1425</v>
      </c>
      <c r="V217" s="4">
        <v>1123617728426160</v>
      </c>
      <c r="W217" s="4">
        <v>-734043309576966</v>
      </c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 t="s">
        <v>143</v>
      </c>
      <c r="AI217" s="5">
        <v>43860</v>
      </c>
      <c r="AJ217" s="1" t="s">
        <v>144</v>
      </c>
      <c r="AK217" s="3">
        <v>43860.450462962966</v>
      </c>
      <c r="AL217" s="1" t="s">
        <v>1426</v>
      </c>
      <c r="AM217" s="1"/>
      <c r="AN217" s="1" t="s">
        <v>117</v>
      </c>
    </row>
    <row r="218" spans="1:40">
      <c r="A218" s="1">
        <v>217</v>
      </c>
      <c r="B218" s="1">
        <v>5</v>
      </c>
      <c r="C218" s="1" t="s">
        <v>40</v>
      </c>
      <c r="D218" s="1" t="s">
        <v>40</v>
      </c>
      <c r="E218" s="1" t="s">
        <v>41</v>
      </c>
      <c r="F218" s="1">
        <v>501971841</v>
      </c>
      <c r="G218" s="1" t="s">
        <v>42</v>
      </c>
      <c r="H218" s="1" t="s">
        <v>77</v>
      </c>
      <c r="I218" s="1" t="s">
        <v>1131</v>
      </c>
      <c r="J218" s="1">
        <v>50952307</v>
      </c>
      <c r="K218" s="7">
        <v>3199277951</v>
      </c>
      <c r="L218" s="7">
        <v>152413203067</v>
      </c>
      <c r="M218" s="1" t="s">
        <v>620</v>
      </c>
      <c r="N218" s="1" t="s">
        <v>621</v>
      </c>
      <c r="O218" s="3">
        <v>43860.446250000001</v>
      </c>
      <c r="P218" s="3">
        <v>43860.536481481482</v>
      </c>
      <c r="Q218" s="1" t="s">
        <v>1427</v>
      </c>
      <c r="R218" s="1" t="s">
        <v>1428</v>
      </c>
      <c r="S218" s="7">
        <f>622-81232553000</f>
        <v>-81232552378</v>
      </c>
      <c r="T218" s="1" t="s">
        <v>1429</v>
      </c>
      <c r="U218" s="1" t="s">
        <v>1430</v>
      </c>
      <c r="V218" s="4">
        <v>1127181885010660</v>
      </c>
      <c r="W218" s="4">
        <v>-7245598934883850</v>
      </c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 t="s">
        <v>143</v>
      </c>
      <c r="AI218" s="5">
        <v>43861</v>
      </c>
      <c r="AJ218" s="1" t="s">
        <v>144</v>
      </c>
      <c r="AK218" s="3">
        <v>43860.461087962962</v>
      </c>
      <c r="AL218" s="1" t="s">
        <v>97</v>
      </c>
      <c r="AM218" s="1"/>
      <c r="AN218" s="1" t="s">
        <v>88</v>
      </c>
    </row>
    <row r="219" spans="1:40">
      <c r="A219" s="1">
        <v>218</v>
      </c>
      <c r="B219" s="1">
        <v>5</v>
      </c>
      <c r="C219" s="1" t="s">
        <v>40</v>
      </c>
      <c r="D219" s="1" t="s">
        <v>40</v>
      </c>
      <c r="E219" s="1" t="s">
        <v>376</v>
      </c>
      <c r="F219" s="1">
        <v>501972120</v>
      </c>
      <c r="G219" s="1" t="s">
        <v>42</v>
      </c>
      <c r="H219" s="1" t="s">
        <v>77</v>
      </c>
      <c r="I219" s="1" t="s">
        <v>1209</v>
      </c>
      <c r="J219" s="1">
        <v>50961276</v>
      </c>
      <c r="K219" s="7">
        <v>3199429683</v>
      </c>
      <c r="L219" s="7">
        <v>152424246490</v>
      </c>
      <c r="M219" s="1" t="s">
        <v>620</v>
      </c>
      <c r="N219" s="1" t="s">
        <v>621</v>
      </c>
      <c r="O219" s="3">
        <v>43860.451678240737</v>
      </c>
      <c r="P219" s="3">
        <v>43860.597557870373</v>
      </c>
      <c r="Q219" s="1" t="s">
        <v>1431</v>
      </c>
      <c r="R219" s="1" t="s">
        <v>1432</v>
      </c>
      <c r="S219" s="7">
        <f>622-87850488386</f>
        <v>-87850487764</v>
      </c>
      <c r="T219" s="1" t="s">
        <v>1433</v>
      </c>
      <c r="U219" s="1" t="s">
        <v>1434</v>
      </c>
      <c r="V219" s="4">
        <v>1.12677340307396E+16</v>
      </c>
      <c r="W219" s="4">
        <v>-7.3124037472496896E+16</v>
      </c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 t="s">
        <v>143</v>
      </c>
      <c r="AI219" s="5">
        <v>43861</v>
      </c>
      <c r="AJ219" s="1" t="s">
        <v>144</v>
      </c>
      <c r="AK219" s="3">
        <v>43860.461087962962</v>
      </c>
      <c r="AL219" s="1" t="s">
        <v>293</v>
      </c>
      <c r="AM219" s="1"/>
      <c r="AN219" s="1" t="s">
        <v>88</v>
      </c>
    </row>
    <row r="220" spans="1:40">
      <c r="A220" s="1">
        <v>219</v>
      </c>
      <c r="B220" s="1">
        <v>5</v>
      </c>
      <c r="C220" s="1" t="s">
        <v>40</v>
      </c>
      <c r="D220" s="1" t="s">
        <v>283</v>
      </c>
      <c r="E220" s="1" t="s">
        <v>806</v>
      </c>
      <c r="F220" s="1">
        <v>501972240</v>
      </c>
      <c r="G220" s="1" t="s">
        <v>42</v>
      </c>
      <c r="H220" s="1" t="s">
        <v>77</v>
      </c>
      <c r="I220" s="1" t="s">
        <v>1435</v>
      </c>
      <c r="J220" s="1">
        <v>50958876</v>
      </c>
      <c r="K220" s="7">
        <v>3223103771</v>
      </c>
      <c r="L220" s="7">
        <v>152433205376</v>
      </c>
      <c r="M220" s="1" t="s">
        <v>1436</v>
      </c>
      <c r="N220" s="1" t="s">
        <v>1437</v>
      </c>
      <c r="O220" s="3">
        <v>43860.453599537039</v>
      </c>
      <c r="P220" s="3">
        <v>43860.634641203702</v>
      </c>
      <c r="Q220" s="1" t="s">
        <v>1438</v>
      </c>
      <c r="R220" s="1" t="s">
        <v>1439</v>
      </c>
      <c r="S220" s="7">
        <f>622-81259139394</f>
        <v>-81259138772</v>
      </c>
      <c r="T220" s="1" t="s">
        <v>1440</v>
      </c>
      <c r="U220" s="1" t="s">
        <v>1441</v>
      </c>
      <c r="V220" s="4">
        <v>11239386212</v>
      </c>
      <c r="W220" s="4">
        <v>-7120858545</v>
      </c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 t="s">
        <v>143</v>
      </c>
      <c r="AI220" s="5">
        <v>43860</v>
      </c>
      <c r="AJ220" s="1" t="s">
        <v>144</v>
      </c>
      <c r="AK220" s="3">
        <v>43860.461087962962</v>
      </c>
      <c r="AL220" s="1" t="s">
        <v>97</v>
      </c>
      <c r="AM220" s="1"/>
      <c r="AN220" s="1" t="s">
        <v>88</v>
      </c>
    </row>
    <row r="221" spans="1:40">
      <c r="A221" s="1">
        <v>220</v>
      </c>
      <c r="B221" s="1">
        <v>5</v>
      </c>
      <c r="C221" s="1" t="s">
        <v>40</v>
      </c>
      <c r="D221" s="1" t="s">
        <v>40</v>
      </c>
      <c r="E221" s="1" t="s">
        <v>376</v>
      </c>
      <c r="F221" s="1">
        <v>501972441</v>
      </c>
      <c r="G221" s="1" t="s">
        <v>42</v>
      </c>
      <c r="H221" s="1" t="s">
        <v>77</v>
      </c>
      <c r="I221" s="1" t="s">
        <v>1209</v>
      </c>
      <c r="J221" s="1">
        <v>50966144</v>
      </c>
      <c r="K221" s="7">
        <v>3199429908</v>
      </c>
      <c r="L221" s="7">
        <v>152424247845</v>
      </c>
      <c r="M221" s="1" t="s">
        <v>620</v>
      </c>
      <c r="N221" s="1" t="s">
        <v>621</v>
      </c>
      <c r="O221" s="3">
        <v>43860.456597222219</v>
      </c>
      <c r="P221" s="3">
        <v>43860.614340277774</v>
      </c>
      <c r="Q221" s="1" t="s">
        <v>1442</v>
      </c>
      <c r="R221" s="1" t="s">
        <v>1443</v>
      </c>
      <c r="S221" s="7">
        <f>622-856456037681</f>
        <v>-856456037059</v>
      </c>
      <c r="T221" s="1" t="s">
        <v>1444</v>
      </c>
      <c r="U221" s="1" t="s">
        <v>1445</v>
      </c>
      <c r="V221" s="4">
        <v>1.12677340307396E+16</v>
      </c>
      <c r="W221" s="4">
        <v>-7.3124037472496896E+16</v>
      </c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 t="s">
        <v>143</v>
      </c>
      <c r="AI221" s="5">
        <v>43861</v>
      </c>
      <c r="AJ221" s="1" t="s">
        <v>144</v>
      </c>
      <c r="AK221" s="3">
        <v>43860.461087962962</v>
      </c>
      <c r="AL221" s="1" t="s">
        <v>97</v>
      </c>
      <c r="AM221" s="1"/>
      <c r="AN221" s="1" t="s">
        <v>88</v>
      </c>
    </row>
    <row r="222" spans="1:40">
      <c r="A222" s="1">
        <v>221</v>
      </c>
      <c r="B222" s="1">
        <v>5</v>
      </c>
      <c r="C222" s="1" t="s">
        <v>40</v>
      </c>
      <c r="D222" s="1" t="s">
        <v>283</v>
      </c>
      <c r="E222" s="1" t="s">
        <v>806</v>
      </c>
      <c r="F222" s="1">
        <v>501972836</v>
      </c>
      <c r="G222" s="1" t="s">
        <v>42</v>
      </c>
      <c r="H222" s="1" t="s">
        <v>77</v>
      </c>
      <c r="I222" s="1" t="s">
        <v>1446</v>
      </c>
      <c r="J222" s="1">
        <v>50946426</v>
      </c>
      <c r="K222" s="7">
        <v>3223101971</v>
      </c>
      <c r="L222" s="7">
        <v>152433200123</v>
      </c>
      <c r="M222" s="1" t="s">
        <v>361</v>
      </c>
      <c r="N222" s="1" t="s">
        <v>1447</v>
      </c>
      <c r="O222" s="3">
        <v>43860.463634259257</v>
      </c>
      <c r="P222" s="3">
        <v>43860.564918981479</v>
      </c>
      <c r="Q222" s="1" t="s">
        <v>1448</v>
      </c>
      <c r="R222" s="1" t="s">
        <v>1449</v>
      </c>
      <c r="S222" s="7">
        <f>622-85843505175</f>
        <v>-85843504553</v>
      </c>
      <c r="T222" s="1" t="s">
        <v>1450</v>
      </c>
      <c r="U222" s="1" t="s">
        <v>1451</v>
      </c>
      <c r="V222" s="4">
        <v>1124228417756660</v>
      </c>
      <c r="W222" s="4">
        <v>-7092117622353600</v>
      </c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 t="s">
        <v>143</v>
      </c>
      <c r="AI222" s="5">
        <v>43861</v>
      </c>
      <c r="AJ222" s="1" t="s">
        <v>144</v>
      </c>
      <c r="AK222" s="3">
        <v>43860.481712962966</v>
      </c>
      <c r="AL222" s="1" t="s">
        <v>97</v>
      </c>
      <c r="AM222" s="1"/>
      <c r="AN222" s="1" t="s">
        <v>88</v>
      </c>
    </row>
    <row r="223" spans="1:40">
      <c r="A223" s="1">
        <v>222</v>
      </c>
      <c r="B223" s="1">
        <v>5</v>
      </c>
      <c r="C223" s="1" t="s">
        <v>40</v>
      </c>
      <c r="D223" s="1" t="s">
        <v>40</v>
      </c>
      <c r="E223" s="1" t="s">
        <v>107</v>
      </c>
      <c r="F223" s="1">
        <v>501972907</v>
      </c>
      <c r="G223" s="1" t="s">
        <v>42</v>
      </c>
      <c r="H223" s="1" t="s">
        <v>77</v>
      </c>
      <c r="I223" s="1" t="s">
        <v>1253</v>
      </c>
      <c r="J223" s="1">
        <v>50963140</v>
      </c>
      <c r="K223" s="7">
        <v>317434847</v>
      </c>
      <c r="L223" s="7">
        <v>152412230522</v>
      </c>
      <c r="M223" s="1" t="s">
        <v>620</v>
      </c>
      <c r="N223" s="1" t="s">
        <v>621</v>
      </c>
      <c r="O223" s="3">
        <v>43860.464895833335</v>
      </c>
      <c r="P223" s="3">
        <v>43860.571134259262</v>
      </c>
      <c r="Q223" s="1" t="s">
        <v>1452</v>
      </c>
      <c r="R223" s="1" t="s">
        <v>1453</v>
      </c>
      <c r="S223" s="7">
        <f>622-82233530583</f>
        <v>-82233529961</v>
      </c>
      <c r="T223" s="1" t="s">
        <v>1454</v>
      </c>
      <c r="U223" s="1" t="s">
        <v>1455</v>
      </c>
      <c r="V223" s="4">
        <v>1126351</v>
      </c>
      <c r="W223" s="4">
        <v>-72389</v>
      </c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 t="s">
        <v>143</v>
      </c>
      <c r="AI223" s="5">
        <v>43861</v>
      </c>
      <c r="AJ223" s="1" t="s">
        <v>144</v>
      </c>
      <c r="AK223" s="3">
        <v>43860.481712962966</v>
      </c>
      <c r="AL223" s="1" t="s">
        <v>701</v>
      </c>
      <c r="AM223" s="1"/>
      <c r="AN223" s="1" t="s">
        <v>88</v>
      </c>
    </row>
    <row r="224" spans="1:40">
      <c r="A224" s="1">
        <v>223</v>
      </c>
      <c r="B224" s="1">
        <v>5</v>
      </c>
      <c r="C224" s="1" t="s">
        <v>40</v>
      </c>
      <c r="D224" s="1" t="s">
        <v>40</v>
      </c>
      <c r="E224" s="1" t="s">
        <v>414</v>
      </c>
      <c r="F224" s="1">
        <v>501972984</v>
      </c>
      <c r="G224" s="1" t="s">
        <v>42</v>
      </c>
      <c r="H224" s="1" t="s">
        <v>77</v>
      </c>
      <c r="I224" s="1" t="s">
        <v>1456</v>
      </c>
      <c r="J224" s="1">
        <v>50965634</v>
      </c>
      <c r="K224" s="7">
        <v>3199752382</v>
      </c>
      <c r="L224" s="7">
        <v>152415216478</v>
      </c>
      <c r="M224" s="1" t="s">
        <v>620</v>
      </c>
      <c r="N224" s="1" t="s">
        <v>621</v>
      </c>
      <c r="O224" s="3">
        <v>43860.46607638889</v>
      </c>
      <c r="P224" s="3">
        <v>43860.647928240738</v>
      </c>
      <c r="Q224" s="1" t="s">
        <v>1457</v>
      </c>
      <c r="R224" s="1" t="s">
        <v>1458</v>
      </c>
      <c r="S224" s="7">
        <f>622-85646662142</f>
        <v>-85646661520</v>
      </c>
      <c r="T224" s="1" t="s">
        <v>1459</v>
      </c>
      <c r="U224" s="1" t="s">
        <v>1460</v>
      </c>
      <c r="V224" s="4">
        <v>1126828</v>
      </c>
      <c r="W224" s="4">
        <v>-73322</v>
      </c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 t="s">
        <v>143</v>
      </c>
      <c r="AI224" s="5">
        <v>43861</v>
      </c>
      <c r="AJ224" s="1" t="s">
        <v>144</v>
      </c>
      <c r="AK224" s="3">
        <v>43860.481712962966</v>
      </c>
      <c r="AL224" s="1" t="s">
        <v>701</v>
      </c>
      <c r="AM224" s="1"/>
      <c r="AN224" s="1" t="s">
        <v>88</v>
      </c>
    </row>
    <row r="225" spans="1:40">
      <c r="A225" s="1">
        <v>224</v>
      </c>
      <c r="B225" s="1">
        <v>5</v>
      </c>
      <c r="C225" s="1" t="s">
        <v>40</v>
      </c>
      <c r="D225" s="1" t="s">
        <v>40</v>
      </c>
      <c r="E225" s="1" t="s">
        <v>41</v>
      </c>
      <c r="F225" s="1">
        <v>501973142</v>
      </c>
      <c r="G225" s="1" t="s">
        <v>42</v>
      </c>
      <c r="H225" s="1" t="s">
        <v>77</v>
      </c>
      <c r="I225" s="1" t="s">
        <v>1461</v>
      </c>
      <c r="J225" s="1">
        <v>50964724</v>
      </c>
      <c r="K225" s="7"/>
      <c r="L225" s="7">
        <v>152413203132</v>
      </c>
      <c r="M225" s="1" t="s">
        <v>620</v>
      </c>
      <c r="N225" s="1" t="s">
        <v>621</v>
      </c>
      <c r="O225" s="3">
        <v>43860.468495370369</v>
      </c>
      <c r="P225" s="3">
        <v>43860.639641203707</v>
      </c>
      <c r="Q225" s="1" t="s">
        <v>1462</v>
      </c>
      <c r="R225" s="1" t="s">
        <v>1463</v>
      </c>
      <c r="S225" s="7">
        <f>622-82141006854</f>
        <v>-82141006232</v>
      </c>
      <c r="T225" s="1" t="s">
        <v>1464</v>
      </c>
      <c r="U225" s="1" t="s">
        <v>1465</v>
      </c>
      <c r="V225" s="4">
        <v>1127181885010660</v>
      </c>
      <c r="W225" s="4">
        <v>-7245598934883850</v>
      </c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 t="s">
        <v>177</v>
      </c>
      <c r="AI225" s="5">
        <v>43861</v>
      </c>
      <c r="AJ225" s="1" t="s">
        <v>1271</v>
      </c>
      <c r="AK225" s="3">
        <v>43860.552870370368</v>
      </c>
      <c r="AL225" s="1" t="s">
        <v>180</v>
      </c>
      <c r="AM225" s="1"/>
      <c r="AN225" s="1" t="s">
        <v>88</v>
      </c>
    </row>
    <row r="226" spans="1:40">
      <c r="A226" s="1">
        <v>225</v>
      </c>
      <c r="B226" s="1">
        <v>5</v>
      </c>
      <c r="C226" s="1" t="s">
        <v>40</v>
      </c>
      <c r="D226" s="1" t="s">
        <v>40</v>
      </c>
      <c r="E226" s="1" t="s">
        <v>414</v>
      </c>
      <c r="F226" s="1">
        <v>501973155</v>
      </c>
      <c r="G226" s="1" t="s">
        <v>42</v>
      </c>
      <c r="H226" s="1" t="s">
        <v>77</v>
      </c>
      <c r="I226" s="1" t="s">
        <v>1466</v>
      </c>
      <c r="J226" s="1">
        <v>50962104</v>
      </c>
      <c r="K226" s="7">
        <v>3199017625</v>
      </c>
      <c r="L226" s="7">
        <v>152415216128</v>
      </c>
      <c r="M226" s="1" t="s">
        <v>620</v>
      </c>
      <c r="N226" s="1" t="s">
        <v>621</v>
      </c>
      <c r="O226" s="3">
        <v>43860.468645833331</v>
      </c>
      <c r="P226" s="3">
        <v>43860.663611111115</v>
      </c>
      <c r="Q226" s="1" t="s">
        <v>1467</v>
      </c>
      <c r="R226" s="1" t="s">
        <v>1468</v>
      </c>
      <c r="S226" s="7">
        <f>622-823233331120</f>
        <v>-823233330498</v>
      </c>
      <c r="T226" s="1" t="s">
        <v>1469</v>
      </c>
      <c r="U226" s="1" t="s">
        <v>1470</v>
      </c>
      <c r="V226" s="4">
        <v>1126965</v>
      </c>
      <c r="W226" s="4">
        <v>-73313</v>
      </c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 t="s">
        <v>143</v>
      </c>
      <c r="AI226" s="5">
        <v>43861</v>
      </c>
      <c r="AJ226" s="1" t="s">
        <v>144</v>
      </c>
      <c r="AK226" s="3">
        <v>43860.481712962966</v>
      </c>
      <c r="AL226" s="1" t="s">
        <v>701</v>
      </c>
      <c r="AM226" s="1"/>
      <c r="AN226" s="1" t="s">
        <v>88</v>
      </c>
    </row>
    <row r="227" spans="1:40">
      <c r="A227" s="1">
        <v>226</v>
      </c>
      <c r="B227" s="1">
        <v>5</v>
      </c>
      <c r="C227" s="1" t="s">
        <v>40</v>
      </c>
      <c r="D227" s="1" t="s">
        <v>152</v>
      </c>
      <c r="E227" s="1" t="s">
        <v>181</v>
      </c>
      <c r="F227" s="1">
        <v>501973252</v>
      </c>
      <c r="G227" s="1" t="s">
        <v>42</v>
      </c>
      <c r="H227" s="1" t="s">
        <v>77</v>
      </c>
      <c r="I227" s="1" t="s">
        <v>1471</v>
      </c>
      <c r="J227" s="1">
        <v>50967467</v>
      </c>
      <c r="K227" s="7">
        <v>3179971640</v>
      </c>
      <c r="L227" s="7">
        <v>152446213973</v>
      </c>
      <c r="M227" s="1" t="s">
        <v>620</v>
      </c>
      <c r="N227" s="1" t="s">
        <v>621</v>
      </c>
      <c r="O227" s="3">
        <v>43860.470081018517</v>
      </c>
      <c r="P227" s="3">
        <v>43860.613229166665</v>
      </c>
      <c r="Q227" s="1" t="s">
        <v>1472</v>
      </c>
      <c r="R227" s="1" t="s">
        <v>1473</v>
      </c>
      <c r="S227" s="7">
        <f>622-85749430995</f>
        <v>-85749430373</v>
      </c>
      <c r="T227" s="1" t="s">
        <v>1474</v>
      </c>
      <c r="U227" s="1" t="s">
        <v>1475</v>
      </c>
      <c r="V227" s="4">
        <v>11256453403</v>
      </c>
      <c r="W227" s="4">
        <v>-7280639161</v>
      </c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 t="s">
        <v>143</v>
      </c>
      <c r="AI227" s="5">
        <v>43861</v>
      </c>
      <c r="AJ227" s="1" t="s">
        <v>144</v>
      </c>
      <c r="AK227" s="3">
        <v>43860.481712962966</v>
      </c>
      <c r="AL227" s="1" t="s">
        <v>180</v>
      </c>
      <c r="AM227" s="1"/>
      <c r="AN227" s="1" t="s">
        <v>88</v>
      </c>
    </row>
    <row r="228" spans="1:40">
      <c r="A228" s="1">
        <v>227</v>
      </c>
      <c r="B228" s="1">
        <v>5</v>
      </c>
      <c r="C228" s="1" t="s">
        <v>40</v>
      </c>
      <c r="D228" s="1" t="s">
        <v>40</v>
      </c>
      <c r="E228" s="1" t="s">
        <v>784</v>
      </c>
      <c r="F228" s="1">
        <v>501973259</v>
      </c>
      <c r="G228" s="1" t="s">
        <v>42</v>
      </c>
      <c r="H228" s="1" t="s">
        <v>77</v>
      </c>
      <c r="I228" s="1" t="s">
        <v>1476</v>
      </c>
      <c r="J228" s="1">
        <v>50958114</v>
      </c>
      <c r="K228" s="7">
        <v>3199018143</v>
      </c>
      <c r="L228" s="7">
        <v>152401201981</v>
      </c>
      <c r="M228" s="1" t="s">
        <v>361</v>
      </c>
      <c r="N228" s="1" t="s">
        <v>1477</v>
      </c>
      <c r="O228" s="3">
        <v>43860.470254629632</v>
      </c>
      <c r="P228" s="3">
        <v>43860.471018518518</v>
      </c>
      <c r="Q228" s="1" t="s">
        <v>1478</v>
      </c>
      <c r="R228" s="1" t="s">
        <v>1479</v>
      </c>
      <c r="S228" s="7">
        <f>622-83117633864</f>
        <v>-83117633242</v>
      </c>
      <c r="T228" s="1" t="s">
        <v>1480</v>
      </c>
      <c r="U228" s="1" t="s">
        <v>1481</v>
      </c>
      <c r="V228" s="4">
        <v>1127314</v>
      </c>
      <c r="W228" s="4">
        <v>-72162</v>
      </c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 t="s">
        <v>143</v>
      </c>
      <c r="AI228" s="5">
        <v>43861</v>
      </c>
      <c r="AJ228" s="1" t="s">
        <v>144</v>
      </c>
      <c r="AK228" s="3">
        <v>43860.481712962966</v>
      </c>
      <c r="AL228" s="1" t="s">
        <v>97</v>
      </c>
      <c r="AM228" s="1"/>
      <c r="AN228" s="1" t="s">
        <v>88</v>
      </c>
    </row>
    <row r="229" spans="1:40">
      <c r="A229" s="1">
        <v>228</v>
      </c>
      <c r="B229" s="1">
        <v>5</v>
      </c>
      <c r="C229" s="1" t="s">
        <v>40</v>
      </c>
      <c r="D229" s="1" t="s">
        <v>40</v>
      </c>
      <c r="E229" s="1" t="s">
        <v>76</v>
      </c>
      <c r="F229" s="1">
        <v>501973374</v>
      </c>
      <c r="G229" s="1" t="s">
        <v>42</v>
      </c>
      <c r="H229" s="1" t="s">
        <v>77</v>
      </c>
      <c r="I229" s="1" t="s">
        <v>1482</v>
      </c>
      <c r="J229" s="1">
        <v>50965744</v>
      </c>
      <c r="K229" s="7">
        <v>3199142320</v>
      </c>
      <c r="L229" s="7">
        <v>152409256969</v>
      </c>
      <c r="M229" s="1" t="s">
        <v>361</v>
      </c>
      <c r="N229" s="1" t="s">
        <v>1483</v>
      </c>
      <c r="O229" s="3">
        <v>43860.472187500003</v>
      </c>
      <c r="P229" s="3">
        <v>43860.654513888891</v>
      </c>
      <c r="Q229" s="1" t="s">
        <v>1484</v>
      </c>
      <c r="R229" s="1" t="s">
        <v>1485</v>
      </c>
      <c r="S229" s="7">
        <f>622-81269520311</f>
        <v>-81269519689</v>
      </c>
      <c r="T229" s="1" t="s">
        <v>1486</v>
      </c>
      <c r="U229" s="1" t="s">
        <v>1487</v>
      </c>
      <c r="V229" s="4">
        <v>11267328</v>
      </c>
      <c r="W229" s="4">
        <v>-7292361</v>
      </c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 t="s">
        <v>143</v>
      </c>
      <c r="AI229" s="5">
        <v>43861</v>
      </c>
      <c r="AJ229" s="1" t="s">
        <v>144</v>
      </c>
      <c r="AK229" s="3">
        <v>43860.481712962966</v>
      </c>
      <c r="AL229" s="1" t="s">
        <v>97</v>
      </c>
      <c r="AM229" s="1"/>
      <c r="AN229" s="1" t="s">
        <v>88</v>
      </c>
    </row>
    <row r="230" spans="1:40">
      <c r="A230" s="1">
        <v>229</v>
      </c>
      <c r="B230" s="1">
        <v>5</v>
      </c>
      <c r="C230" s="1" t="s">
        <v>40</v>
      </c>
      <c r="D230" s="1" t="s">
        <v>40</v>
      </c>
      <c r="E230" s="1" t="s">
        <v>1036</v>
      </c>
      <c r="F230" s="1">
        <v>501973494</v>
      </c>
      <c r="G230" s="1" t="s">
        <v>42</v>
      </c>
      <c r="H230" s="1" t="s">
        <v>77</v>
      </c>
      <c r="I230" s="1" t="s">
        <v>1488</v>
      </c>
      <c r="J230" s="1">
        <v>50948927</v>
      </c>
      <c r="K230" s="7">
        <v>3199052303</v>
      </c>
      <c r="L230" s="7">
        <v>152417202131</v>
      </c>
      <c r="M230" s="1" t="s">
        <v>620</v>
      </c>
      <c r="N230" s="1" t="s">
        <v>621</v>
      </c>
      <c r="O230" s="3">
        <v>43860.474710648145</v>
      </c>
      <c r="P230" s="3">
        <v>43860.60261574074</v>
      </c>
      <c r="Q230" s="1" t="s">
        <v>1489</v>
      </c>
      <c r="R230" s="1" t="s">
        <v>1490</v>
      </c>
      <c r="S230" s="7">
        <f>622-81330784007</f>
        <v>-81330783385</v>
      </c>
      <c r="T230" s="1" t="s">
        <v>1491</v>
      </c>
      <c r="U230" s="1" t="s">
        <v>1492</v>
      </c>
      <c r="V230" s="4">
        <v>11263983791</v>
      </c>
      <c r="W230" s="4">
        <v>-7332818071</v>
      </c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 t="s">
        <v>143</v>
      </c>
      <c r="AI230" s="5">
        <v>43861</v>
      </c>
      <c r="AJ230" s="1" t="s">
        <v>144</v>
      </c>
      <c r="AK230" s="3">
        <v>43860.492002314815</v>
      </c>
      <c r="AL230" s="1" t="s">
        <v>701</v>
      </c>
      <c r="AM230" s="1"/>
      <c r="AN230" s="1" t="s">
        <v>88</v>
      </c>
    </row>
    <row r="231" spans="1:40">
      <c r="A231" s="1">
        <v>230</v>
      </c>
      <c r="B231" s="1">
        <v>5</v>
      </c>
      <c r="C231" s="1" t="s">
        <v>40</v>
      </c>
      <c r="D231" s="1" t="s">
        <v>40</v>
      </c>
      <c r="E231" s="1" t="s">
        <v>107</v>
      </c>
      <c r="F231" s="1">
        <v>501973743</v>
      </c>
      <c r="G231" s="1" t="s">
        <v>42</v>
      </c>
      <c r="H231" s="1" t="s">
        <v>77</v>
      </c>
      <c r="I231" s="1" t="s">
        <v>1493</v>
      </c>
      <c r="J231" s="1">
        <v>50958737</v>
      </c>
      <c r="K231" s="7">
        <v>3199019638</v>
      </c>
      <c r="L231" s="7">
        <v>152412235169</v>
      </c>
      <c r="M231" s="1" t="s">
        <v>45</v>
      </c>
      <c r="N231" s="1" t="s">
        <v>1494</v>
      </c>
      <c r="O231" s="3">
        <v>43860.479629629626</v>
      </c>
      <c r="P231" s="3">
        <v>43860.511331018519</v>
      </c>
      <c r="Q231" s="1" t="s">
        <v>1495</v>
      </c>
      <c r="R231" s="1" t="s">
        <v>1496</v>
      </c>
      <c r="S231" s="7">
        <f>622-82140350770</f>
        <v>-82140350148</v>
      </c>
      <c r="T231" s="1" t="s">
        <v>1497</v>
      </c>
      <c r="U231" s="1" t="s">
        <v>1498</v>
      </c>
      <c r="V231" s="4">
        <v>1.12630089148879E+16</v>
      </c>
      <c r="W231" s="4">
        <v>-7241025303086770</v>
      </c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 t="s">
        <v>143</v>
      </c>
      <c r="AI231" s="5">
        <v>43861</v>
      </c>
      <c r="AJ231" s="1" t="s">
        <v>144</v>
      </c>
      <c r="AK231" s="3">
        <v>43860.492002314815</v>
      </c>
      <c r="AL231" s="1" t="s">
        <v>1177</v>
      </c>
      <c r="AM231" s="1"/>
      <c r="AN231" s="1" t="s">
        <v>88</v>
      </c>
    </row>
    <row r="232" spans="1:40">
      <c r="A232" s="1">
        <v>231</v>
      </c>
      <c r="B232" s="1">
        <v>5</v>
      </c>
      <c r="C232" s="1" t="s">
        <v>40</v>
      </c>
      <c r="D232" s="1" t="s">
        <v>283</v>
      </c>
      <c r="E232" s="1" t="s">
        <v>284</v>
      </c>
      <c r="F232" s="1">
        <v>501974040</v>
      </c>
      <c r="G232" s="1" t="s">
        <v>42</v>
      </c>
      <c r="H232" s="1" t="s">
        <v>77</v>
      </c>
      <c r="I232" s="1" t="s">
        <v>1499</v>
      </c>
      <c r="J232" s="1">
        <v>50963315</v>
      </c>
      <c r="K232" s="7">
        <v>3224661762</v>
      </c>
      <c r="L232" s="7">
        <v>152448210340</v>
      </c>
      <c r="M232" s="1" t="s">
        <v>361</v>
      </c>
      <c r="N232" s="1" t="s">
        <v>1500</v>
      </c>
      <c r="O232" s="3">
        <v>43860.486967592595</v>
      </c>
      <c r="P232" s="3">
        <v>43860.567662037036</v>
      </c>
      <c r="Q232" s="1" t="s">
        <v>1501</v>
      </c>
      <c r="R232" s="1" t="s">
        <v>1502</v>
      </c>
      <c r="S232" s="7">
        <f>622-81336797148</f>
        <v>-81336796526</v>
      </c>
      <c r="T232" s="1" t="s">
        <v>1503</v>
      </c>
      <c r="U232" s="1" t="s">
        <v>1504</v>
      </c>
      <c r="V232" s="4">
        <v>1.12345100731662E+16</v>
      </c>
      <c r="W232" s="4">
        <v>-687167843632237</v>
      </c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 t="s">
        <v>143</v>
      </c>
      <c r="AI232" s="5">
        <v>43860</v>
      </c>
      <c r="AJ232" s="1" t="s">
        <v>144</v>
      </c>
      <c r="AK232" s="3">
        <v>43860.502569444441</v>
      </c>
      <c r="AL232" s="1" t="s">
        <v>293</v>
      </c>
      <c r="AM232" s="1"/>
      <c r="AN232" s="1" t="s">
        <v>88</v>
      </c>
    </row>
    <row r="233" spans="1:40">
      <c r="A233" s="1">
        <v>232</v>
      </c>
      <c r="B233" s="1">
        <v>5</v>
      </c>
      <c r="C233" s="1" t="s">
        <v>40</v>
      </c>
      <c r="D233" s="1" t="s">
        <v>283</v>
      </c>
      <c r="E233" s="1" t="s">
        <v>440</v>
      </c>
      <c r="F233" s="1">
        <v>501974794</v>
      </c>
      <c r="G233" s="1" t="s">
        <v>42</v>
      </c>
      <c r="H233" s="1" t="s">
        <v>77</v>
      </c>
      <c r="I233" s="1" t="s">
        <v>1505</v>
      </c>
      <c r="J233" s="1">
        <v>50960202</v>
      </c>
      <c r="K233" s="7">
        <v>3224652874</v>
      </c>
      <c r="L233" s="7">
        <v>152441212523</v>
      </c>
      <c r="M233" s="1" t="s">
        <v>1293</v>
      </c>
      <c r="N233" s="1" t="s">
        <v>1294</v>
      </c>
      <c r="O233" s="3">
        <v>43860.524675925924</v>
      </c>
      <c r="P233" s="3">
        <v>43860.655243055553</v>
      </c>
      <c r="Q233" s="1" t="s">
        <v>1506</v>
      </c>
      <c r="R233" s="1" t="s">
        <v>1507</v>
      </c>
      <c r="S233" s="7">
        <f>622-82232720297</f>
        <v>-82232719675</v>
      </c>
      <c r="T233" s="1" t="s">
        <v>1508</v>
      </c>
      <c r="U233" s="1" t="s">
        <v>1509</v>
      </c>
      <c r="V233" s="4">
        <v>1.12165554873491E+16</v>
      </c>
      <c r="W233" s="4">
        <v>-7086947513460100</v>
      </c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 t="s">
        <v>143</v>
      </c>
      <c r="AI233" s="5">
        <v>43861</v>
      </c>
      <c r="AJ233" s="1" t="s">
        <v>144</v>
      </c>
      <c r="AK233" s="3">
        <v>43860.533738425926</v>
      </c>
      <c r="AL233" s="1" t="s">
        <v>97</v>
      </c>
      <c r="AM233" s="1"/>
      <c r="AN233" s="1" t="s">
        <v>88</v>
      </c>
    </row>
    <row r="234" spans="1:40">
      <c r="A234" s="1">
        <v>233</v>
      </c>
      <c r="B234" s="1">
        <v>5</v>
      </c>
      <c r="C234" s="1" t="s">
        <v>40</v>
      </c>
      <c r="D234" s="1" t="s">
        <v>283</v>
      </c>
      <c r="E234" s="1" t="s">
        <v>806</v>
      </c>
      <c r="F234" s="1">
        <v>501974825</v>
      </c>
      <c r="G234" s="1" t="s">
        <v>42</v>
      </c>
      <c r="H234" s="1" t="s">
        <v>77</v>
      </c>
      <c r="I234" s="1" t="s">
        <v>1510</v>
      </c>
      <c r="J234" s="1">
        <v>50961694</v>
      </c>
      <c r="K234" s="7">
        <v>3223102640</v>
      </c>
      <c r="L234" s="7">
        <v>152433205511</v>
      </c>
      <c r="M234" s="1" t="s">
        <v>1436</v>
      </c>
      <c r="N234" s="1" t="s">
        <v>1437</v>
      </c>
      <c r="O234" s="3">
        <v>43860.525613425925</v>
      </c>
      <c r="P234" s="3">
        <v>43860.629594907405</v>
      </c>
      <c r="Q234" s="1" t="s">
        <v>1511</v>
      </c>
      <c r="R234" s="1" t="s">
        <v>1512</v>
      </c>
      <c r="S234" s="7">
        <f>622-85731387009</f>
        <v>-85731386387</v>
      </c>
      <c r="T234" s="1" t="s">
        <v>1513</v>
      </c>
      <c r="U234" s="1" t="s">
        <v>1514</v>
      </c>
      <c r="V234" s="4">
        <v>11237241996</v>
      </c>
      <c r="W234" s="4">
        <v>-7102893323</v>
      </c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 t="s">
        <v>143</v>
      </c>
      <c r="AI234" s="5">
        <v>43861</v>
      </c>
      <c r="AJ234" s="1" t="s">
        <v>144</v>
      </c>
      <c r="AK234" s="3">
        <v>43860.533738425926</v>
      </c>
      <c r="AL234" s="1" t="s">
        <v>97</v>
      </c>
      <c r="AM234" s="1"/>
      <c r="AN234" s="1" t="s">
        <v>88</v>
      </c>
    </row>
    <row r="235" spans="1:40">
      <c r="A235" s="1">
        <v>234</v>
      </c>
      <c r="B235" s="1">
        <v>5</v>
      </c>
      <c r="C235" s="1" t="s">
        <v>40</v>
      </c>
      <c r="D235" s="1" t="s">
        <v>152</v>
      </c>
      <c r="E235" s="1" t="s">
        <v>200</v>
      </c>
      <c r="F235" s="1">
        <v>501975302</v>
      </c>
      <c r="G235" s="1" t="s">
        <v>42</v>
      </c>
      <c r="H235" s="1" t="s">
        <v>77</v>
      </c>
      <c r="I235" s="1" t="s">
        <v>1515</v>
      </c>
      <c r="J235" s="1">
        <v>50945848</v>
      </c>
      <c r="K235" s="7">
        <v>3139929284</v>
      </c>
      <c r="L235" s="7">
        <v>152412201614</v>
      </c>
      <c r="M235" s="1" t="s">
        <v>1069</v>
      </c>
      <c r="N235" s="1" t="s">
        <v>1070</v>
      </c>
      <c r="O235" s="3">
        <v>43860.543321759258</v>
      </c>
      <c r="P235" s="3">
        <v>43860.67255787037</v>
      </c>
      <c r="Q235" s="1" t="s">
        <v>1516</v>
      </c>
      <c r="R235" s="1" t="s">
        <v>1517</v>
      </c>
      <c r="S235" s="7">
        <f>622-81331067899</f>
        <v>-81331067277</v>
      </c>
      <c r="T235" s="1" t="s">
        <v>1518</v>
      </c>
      <c r="U235" s="1" t="s">
        <v>1519</v>
      </c>
      <c r="V235" s="4">
        <v>11261806284</v>
      </c>
      <c r="W235" s="4">
        <v>-7153690139</v>
      </c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 t="s">
        <v>143</v>
      </c>
      <c r="AI235" s="5">
        <v>43861</v>
      </c>
      <c r="AJ235" s="1" t="s">
        <v>144</v>
      </c>
      <c r="AK235" s="3">
        <v>43860.565092592595</v>
      </c>
      <c r="AL235" s="1" t="s">
        <v>97</v>
      </c>
      <c r="AM235" s="1"/>
      <c r="AN235" s="1" t="s">
        <v>88</v>
      </c>
    </row>
    <row r="236" spans="1:40">
      <c r="A236" s="1">
        <v>235</v>
      </c>
      <c r="B236" s="1">
        <v>5</v>
      </c>
      <c r="C236" s="1" t="s">
        <v>40</v>
      </c>
      <c r="D236" s="1" t="s">
        <v>152</v>
      </c>
      <c r="E236" s="1" t="s">
        <v>224</v>
      </c>
      <c r="F236" s="1">
        <v>501975400</v>
      </c>
      <c r="G236" s="1" t="s">
        <v>42</v>
      </c>
      <c r="H236" s="1" t="s">
        <v>77</v>
      </c>
      <c r="I236" s="1" t="s">
        <v>1520</v>
      </c>
      <c r="J236" s="1">
        <v>50952648</v>
      </c>
      <c r="K236" s="7">
        <v>3136321345</v>
      </c>
      <c r="L236" s="7">
        <v>152443902481</v>
      </c>
      <c r="M236" s="1" t="s">
        <v>620</v>
      </c>
      <c r="N236" s="1" t="s">
        <v>621</v>
      </c>
      <c r="O236" s="3">
        <v>43860.546168981484</v>
      </c>
      <c r="P236" s="3">
        <v>43860.634386574071</v>
      </c>
      <c r="Q236" s="1" t="s">
        <v>1521</v>
      </c>
      <c r="R236" s="1" t="s">
        <v>1522</v>
      </c>
      <c r="S236" s="7">
        <f>622-8563297125</f>
        <v>-8563296503</v>
      </c>
      <c r="T236" s="1" t="s">
        <v>1523</v>
      </c>
      <c r="U236" s="1" t="s">
        <v>1524</v>
      </c>
      <c r="V236" s="4">
        <v>11250025346</v>
      </c>
      <c r="W236" s="4">
        <v>-725853048</v>
      </c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 t="s">
        <v>143</v>
      </c>
      <c r="AI236" s="5">
        <v>43861</v>
      </c>
      <c r="AJ236" s="1" t="s">
        <v>144</v>
      </c>
      <c r="AK236" s="3">
        <v>43860.565092592595</v>
      </c>
      <c r="AL236" s="1" t="s">
        <v>97</v>
      </c>
      <c r="AM236" s="1"/>
      <c r="AN236" s="1" t="s">
        <v>88</v>
      </c>
    </row>
    <row r="237" spans="1:40">
      <c r="A237" s="1">
        <v>236</v>
      </c>
      <c r="B237" s="1">
        <v>5</v>
      </c>
      <c r="C237" s="1" t="s">
        <v>40</v>
      </c>
      <c r="D237" s="1" t="s">
        <v>40</v>
      </c>
      <c r="E237" s="1" t="s">
        <v>41</v>
      </c>
      <c r="F237" s="1">
        <v>501975626</v>
      </c>
      <c r="G237" s="1" t="s">
        <v>42</v>
      </c>
      <c r="H237" s="1" t="s">
        <v>77</v>
      </c>
      <c r="I237" s="1" t="s">
        <v>1525</v>
      </c>
      <c r="J237" s="1">
        <v>50956531</v>
      </c>
      <c r="K237" s="7">
        <v>3199245116</v>
      </c>
      <c r="L237" s="7">
        <v>152413142225</v>
      </c>
      <c r="M237" s="1" t="s">
        <v>361</v>
      </c>
      <c r="N237" s="1" t="s">
        <v>1526</v>
      </c>
      <c r="O237" s="3">
        <v>43860.551238425927</v>
      </c>
      <c r="P237" s="3">
        <v>43860.664930555555</v>
      </c>
      <c r="Q237" s="1" t="s">
        <v>1527</v>
      </c>
      <c r="R237" s="1" t="s">
        <v>1528</v>
      </c>
      <c r="S237" s="7">
        <f>622-8122978319301</f>
        <v>-8122978318679</v>
      </c>
      <c r="T237" s="1" t="s">
        <v>1529</v>
      </c>
      <c r="U237" s="1" t="s">
        <v>1530</v>
      </c>
      <c r="V237" s="4">
        <v>112715673</v>
      </c>
      <c r="W237" s="4">
        <v>-7254447</v>
      </c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 t="s">
        <v>143</v>
      </c>
      <c r="AI237" s="5">
        <v>43860</v>
      </c>
      <c r="AJ237" s="1" t="s">
        <v>144</v>
      </c>
      <c r="AK237" s="3">
        <v>43860.565092592595</v>
      </c>
      <c r="AL237" s="1" t="s">
        <v>97</v>
      </c>
      <c r="AM237" s="1"/>
      <c r="AN237" s="1" t="s">
        <v>88</v>
      </c>
    </row>
    <row r="238" spans="1:40">
      <c r="A238" s="1">
        <v>237</v>
      </c>
      <c r="B238" s="1">
        <v>5</v>
      </c>
      <c r="C238" s="1" t="s">
        <v>40</v>
      </c>
      <c r="D238" s="1" t="s">
        <v>152</v>
      </c>
      <c r="E238" s="1" t="s">
        <v>200</v>
      </c>
      <c r="F238" s="1">
        <v>501975787</v>
      </c>
      <c r="G238" s="1" t="s">
        <v>42</v>
      </c>
      <c r="H238" s="1" t="s">
        <v>77</v>
      </c>
      <c r="I238" s="1" t="s">
        <v>1531</v>
      </c>
      <c r="J238" s="1">
        <v>50967697</v>
      </c>
      <c r="K238" s="7">
        <v>3199104956</v>
      </c>
      <c r="L238" s="7">
        <v>152412200697</v>
      </c>
      <c r="M238" s="1" t="s">
        <v>725</v>
      </c>
      <c r="N238" s="1" t="s">
        <v>1532</v>
      </c>
      <c r="O238" s="3">
        <v>43860.555520833332</v>
      </c>
      <c r="P238" s="3">
        <v>43860.648831018516</v>
      </c>
      <c r="Q238" s="1" t="s">
        <v>1533</v>
      </c>
      <c r="R238" s="1" t="s">
        <v>1534</v>
      </c>
      <c r="S238" s="7">
        <f>622-85895988616</f>
        <v>-85895987994</v>
      </c>
      <c r="T238" s="1" t="s">
        <v>1535</v>
      </c>
      <c r="U238" s="1" t="s">
        <v>1536</v>
      </c>
      <c r="V238" s="4">
        <v>1126040581992800</v>
      </c>
      <c r="W238" s="4">
        <v>-711672988587823</v>
      </c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 t="s">
        <v>143</v>
      </c>
      <c r="AI238" s="5">
        <v>43861</v>
      </c>
      <c r="AJ238" s="1" t="s">
        <v>144</v>
      </c>
      <c r="AK238" s="3">
        <v>43860.565092592595</v>
      </c>
      <c r="AL238" s="1" t="s">
        <v>97</v>
      </c>
      <c r="AM238" s="1"/>
      <c r="AN238" s="1" t="s">
        <v>88</v>
      </c>
    </row>
    <row r="239" spans="1:40">
      <c r="A239" s="1">
        <v>238</v>
      </c>
      <c r="B239" s="1">
        <v>5</v>
      </c>
      <c r="C239" s="1" t="s">
        <v>40</v>
      </c>
      <c r="D239" s="1" t="s">
        <v>40</v>
      </c>
      <c r="E239" s="1" t="s">
        <v>41</v>
      </c>
      <c r="F239" s="1">
        <v>501976012</v>
      </c>
      <c r="G239" s="1" t="s">
        <v>42</v>
      </c>
      <c r="H239" s="1" t="s">
        <v>77</v>
      </c>
      <c r="I239" s="1" t="s">
        <v>1537</v>
      </c>
      <c r="J239" s="1">
        <v>50951904</v>
      </c>
      <c r="K239" s="7"/>
      <c r="L239" s="7">
        <v>152413204892</v>
      </c>
      <c r="M239" s="1" t="s">
        <v>620</v>
      </c>
      <c r="N239" s="1" t="s">
        <v>621</v>
      </c>
      <c r="O239" s="3">
        <v>43860.56144675926</v>
      </c>
      <c r="P239" s="3">
        <v>43860.662037037036</v>
      </c>
      <c r="Q239" s="1" t="s">
        <v>1538</v>
      </c>
      <c r="R239" s="1" t="s">
        <v>1539</v>
      </c>
      <c r="S239" s="7">
        <f>622-812126202922</f>
        <v>-812126202300</v>
      </c>
      <c r="T239" s="1" t="s">
        <v>1540</v>
      </c>
      <c r="U239" s="1" t="s">
        <v>1541</v>
      </c>
      <c r="V239" s="4">
        <v>1127181885010660</v>
      </c>
      <c r="W239" s="4">
        <v>-7245598934883850</v>
      </c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 t="s">
        <v>143</v>
      </c>
      <c r="AI239" s="5">
        <v>43861</v>
      </c>
      <c r="AJ239" s="1" t="s">
        <v>144</v>
      </c>
      <c r="AK239" s="3">
        <v>43860.575381944444</v>
      </c>
      <c r="AL239" s="1" t="s">
        <v>413</v>
      </c>
      <c r="AM239" s="1"/>
      <c r="AN239" s="1" t="s">
        <v>88</v>
      </c>
    </row>
    <row r="240" spans="1:40">
      <c r="A240" s="1">
        <v>239</v>
      </c>
      <c r="B240" s="1">
        <v>5</v>
      </c>
      <c r="C240" s="1" t="s">
        <v>40</v>
      </c>
      <c r="D240" s="1" t="s">
        <v>152</v>
      </c>
      <c r="E240" s="1" t="s">
        <v>200</v>
      </c>
      <c r="F240" s="1">
        <v>501976104</v>
      </c>
      <c r="G240" s="1" t="s">
        <v>42</v>
      </c>
      <c r="H240" s="1" t="s">
        <v>77</v>
      </c>
      <c r="I240" s="1" t="s">
        <v>1542</v>
      </c>
      <c r="J240" s="1">
        <v>50968770</v>
      </c>
      <c r="K240" s="7">
        <v>3139922168</v>
      </c>
      <c r="L240" s="7">
        <v>152412200206</v>
      </c>
      <c r="M240" s="1" t="s">
        <v>620</v>
      </c>
      <c r="N240" s="1" t="s">
        <v>621</v>
      </c>
      <c r="O240" s="3">
        <v>43860.563287037039</v>
      </c>
      <c r="P240" s="3">
        <v>43860.639363425929</v>
      </c>
      <c r="Q240" s="1" t="s">
        <v>1543</v>
      </c>
      <c r="R240" s="1" t="s">
        <v>1544</v>
      </c>
      <c r="S240" s="7">
        <f>622-8128661819</f>
        <v>-8128661197</v>
      </c>
      <c r="T240" s="1" t="s">
        <v>1545</v>
      </c>
      <c r="U240" s="1" t="s">
        <v>1546</v>
      </c>
      <c r="V240" s="4">
        <v>1126501</v>
      </c>
      <c r="W240" s="4">
        <v>-71631</v>
      </c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 t="s">
        <v>143</v>
      </c>
      <c r="AI240" s="5">
        <v>43861</v>
      </c>
      <c r="AJ240" s="1" t="s">
        <v>144</v>
      </c>
      <c r="AK240" s="3">
        <v>43860.575381944444</v>
      </c>
      <c r="AL240" s="1" t="s">
        <v>293</v>
      </c>
      <c r="AM240" s="1"/>
      <c r="AN240" s="1" t="s">
        <v>88</v>
      </c>
    </row>
    <row r="241" spans="1:40">
      <c r="A241" s="1">
        <v>240</v>
      </c>
      <c r="B241" s="1">
        <v>5</v>
      </c>
      <c r="C241" s="1" t="s">
        <v>40</v>
      </c>
      <c r="D241" s="1" t="s">
        <v>40</v>
      </c>
      <c r="E241" s="1" t="s">
        <v>107</v>
      </c>
      <c r="F241" s="1">
        <v>501976115</v>
      </c>
      <c r="G241" s="1" t="s">
        <v>42</v>
      </c>
      <c r="H241" s="1" t="s">
        <v>77</v>
      </c>
      <c r="I241" s="1" t="s">
        <v>1547</v>
      </c>
      <c r="J241" s="1">
        <v>50965023</v>
      </c>
      <c r="K241" s="7">
        <v>317435711</v>
      </c>
      <c r="L241" s="7">
        <v>152412233524</v>
      </c>
      <c r="M241" s="1" t="s">
        <v>620</v>
      </c>
      <c r="N241" s="1" t="s">
        <v>621</v>
      </c>
      <c r="O241" s="3">
        <v>43860.563599537039</v>
      </c>
      <c r="P241" s="3">
        <v>43860.616331018522</v>
      </c>
      <c r="Q241" s="1" t="s">
        <v>1548</v>
      </c>
      <c r="R241" s="1" t="s">
        <v>1549</v>
      </c>
      <c r="S241" s="7">
        <f>622-8999247698</f>
        <v>-8999247076</v>
      </c>
      <c r="T241" s="1" t="s">
        <v>1550</v>
      </c>
      <c r="U241" s="1" t="s">
        <v>1551</v>
      </c>
      <c r="V241" s="4">
        <v>1126439</v>
      </c>
      <c r="W241" s="4">
        <v>-72547</v>
      </c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 t="s">
        <v>143</v>
      </c>
      <c r="AI241" s="5">
        <v>43861</v>
      </c>
      <c r="AJ241" s="1" t="s">
        <v>144</v>
      </c>
      <c r="AK241" s="3">
        <v>43860.575381944444</v>
      </c>
      <c r="AL241" s="1" t="s">
        <v>701</v>
      </c>
      <c r="AM241" s="1"/>
      <c r="AN241" s="1" t="s">
        <v>88</v>
      </c>
    </row>
    <row r="242" spans="1:40">
      <c r="A242" s="1">
        <v>241</v>
      </c>
      <c r="B242" s="1">
        <v>5</v>
      </c>
      <c r="C242" s="1" t="s">
        <v>40</v>
      </c>
      <c r="D242" s="1" t="s">
        <v>40</v>
      </c>
      <c r="E242" s="1" t="s">
        <v>107</v>
      </c>
      <c r="F242" s="1">
        <v>501976159</v>
      </c>
      <c r="G242" s="1" t="s">
        <v>42</v>
      </c>
      <c r="H242" s="1" t="s">
        <v>77</v>
      </c>
      <c r="I242" s="1" t="s">
        <v>1552</v>
      </c>
      <c r="J242" s="1">
        <v>50956817</v>
      </c>
      <c r="K242" s="7">
        <v>317423873</v>
      </c>
      <c r="L242" s="7">
        <v>152412236783</v>
      </c>
      <c r="M242" s="1" t="s">
        <v>620</v>
      </c>
      <c r="N242" s="1" t="s">
        <v>621</v>
      </c>
      <c r="O242" s="3">
        <v>43860.564826388887</v>
      </c>
      <c r="P242" s="3">
        <v>43860.634259259263</v>
      </c>
      <c r="Q242" s="1" t="s">
        <v>1553</v>
      </c>
      <c r="R242" s="1" t="s">
        <v>1554</v>
      </c>
      <c r="S242" s="7">
        <f>622-857301162160</f>
        <v>-857301161538</v>
      </c>
      <c r="T242" s="1" t="s">
        <v>1555</v>
      </c>
      <c r="U242" s="1" t="s">
        <v>1556</v>
      </c>
      <c r="V242" s="4">
        <v>1126316</v>
      </c>
      <c r="W242" s="4">
        <v>-72345</v>
      </c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 t="s">
        <v>143</v>
      </c>
      <c r="AI242" s="5">
        <v>43861</v>
      </c>
      <c r="AJ242" s="1" t="s">
        <v>144</v>
      </c>
      <c r="AK242" s="3">
        <v>43860.575381944444</v>
      </c>
      <c r="AL242" s="1" t="s">
        <v>701</v>
      </c>
      <c r="AM242" s="1"/>
      <c r="AN242" s="1" t="s">
        <v>88</v>
      </c>
    </row>
    <row r="243" spans="1:40">
      <c r="A243" s="1">
        <v>242</v>
      </c>
      <c r="B243" s="1">
        <v>5</v>
      </c>
      <c r="C243" s="1" t="s">
        <v>40</v>
      </c>
      <c r="D243" s="1" t="s">
        <v>152</v>
      </c>
      <c r="E243" s="1" t="s">
        <v>200</v>
      </c>
      <c r="F243" s="1">
        <v>501976547</v>
      </c>
      <c r="G243" s="1" t="s">
        <v>42</v>
      </c>
      <c r="H243" s="1" t="s">
        <v>77</v>
      </c>
      <c r="I243" s="1" t="s">
        <v>1557</v>
      </c>
      <c r="J243" s="1">
        <v>50969929</v>
      </c>
      <c r="K243" s="7">
        <v>3199101847</v>
      </c>
      <c r="L243" s="7">
        <v>152412202721</v>
      </c>
      <c r="M243" s="1" t="s">
        <v>1069</v>
      </c>
      <c r="N243" s="1" t="s">
        <v>1070</v>
      </c>
      <c r="O243" s="3">
        <v>43860.573344907411</v>
      </c>
      <c r="P243" s="3">
        <v>43860.617488425924</v>
      </c>
      <c r="Q243" s="1" t="s">
        <v>1558</v>
      </c>
      <c r="R243" s="1" t="s">
        <v>1559</v>
      </c>
      <c r="S243" s="7">
        <f>622-82299908986</f>
        <v>-82299908364</v>
      </c>
      <c r="T243" s="1" t="s">
        <v>1560</v>
      </c>
      <c r="U243" s="1" t="s">
        <v>1561</v>
      </c>
      <c r="V243" s="4">
        <v>1126038603902540</v>
      </c>
      <c r="W243" s="4">
        <v>-7118157059532880</v>
      </c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 t="s">
        <v>143</v>
      </c>
      <c r="AI243" s="5">
        <v>43861</v>
      </c>
      <c r="AJ243" s="1" t="s">
        <v>144</v>
      </c>
      <c r="AK243" s="3">
        <v>43860.596180555556</v>
      </c>
      <c r="AL243" s="1" t="s">
        <v>163</v>
      </c>
      <c r="AM243" s="1"/>
      <c r="AN243" s="1" t="s">
        <v>88</v>
      </c>
    </row>
    <row r="244" spans="1:40">
      <c r="A244" s="1">
        <v>243</v>
      </c>
      <c r="B244" s="1">
        <v>5</v>
      </c>
      <c r="C244" s="1" t="s">
        <v>40</v>
      </c>
      <c r="D244" s="1" t="s">
        <v>152</v>
      </c>
      <c r="E244" s="1" t="s">
        <v>181</v>
      </c>
      <c r="F244" s="1">
        <v>501977307</v>
      </c>
      <c r="G244" s="1" t="s">
        <v>42</v>
      </c>
      <c r="H244" s="1" t="s">
        <v>77</v>
      </c>
      <c r="I244" s="1" t="s">
        <v>1562</v>
      </c>
      <c r="J244" s="1">
        <v>50972289</v>
      </c>
      <c r="K244" s="7">
        <v>3199008277</v>
      </c>
      <c r="L244" s="7">
        <v>152446213751</v>
      </c>
      <c r="M244" s="1" t="s">
        <v>45</v>
      </c>
      <c r="N244" s="1" t="s">
        <v>1563</v>
      </c>
      <c r="O244" s="3">
        <v>43860.589097222219</v>
      </c>
      <c r="P244" s="3">
        <v>43860.677361111113</v>
      </c>
      <c r="Q244" s="1" t="s">
        <v>1564</v>
      </c>
      <c r="R244" s="1" t="s">
        <v>1565</v>
      </c>
      <c r="S244" s="7">
        <f>62-85735588107</f>
        <v>-85735588045</v>
      </c>
      <c r="T244" s="1" t="s">
        <v>1566</v>
      </c>
      <c r="U244" s="1" t="s">
        <v>1567</v>
      </c>
      <c r="V244" s="4">
        <v>1125873348002520</v>
      </c>
      <c r="W244" s="4">
        <v>-722459856593408</v>
      </c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 t="s">
        <v>95</v>
      </c>
      <c r="AI244" s="1" t="s">
        <v>1568</v>
      </c>
      <c r="AJ244" s="1" t="s">
        <v>106</v>
      </c>
      <c r="AK244" s="3">
        <v>43860.681446759256</v>
      </c>
      <c r="AL244" s="1" t="s">
        <v>1569</v>
      </c>
      <c r="AM244" s="1"/>
      <c r="AN244" s="1" t="s">
        <v>117</v>
      </c>
    </row>
    <row r="245" spans="1:40">
      <c r="A245" s="1">
        <v>244</v>
      </c>
      <c r="B245" s="1">
        <v>5</v>
      </c>
      <c r="C245" s="1" t="s">
        <v>40</v>
      </c>
      <c r="D245" s="1" t="s">
        <v>40</v>
      </c>
      <c r="E245" s="1" t="s">
        <v>784</v>
      </c>
      <c r="F245" s="1">
        <v>501977417</v>
      </c>
      <c r="G245" s="1" t="s">
        <v>42</v>
      </c>
      <c r="H245" s="1" t="s">
        <v>77</v>
      </c>
      <c r="I245" s="1" t="s">
        <v>1570</v>
      </c>
      <c r="J245" s="1">
        <v>50942017</v>
      </c>
      <c r="K245" s="7">
        <v>3199018078</v>
      </c>
      <c r="L245" s="7">
        <v>152401202059</v>
      </c>
      <c r="M245" s="1" t="s">
        <v>725</v>
      </c>
      <c r="N245" s="1" t="s">
        <v>1571</v>
      </c>
      <c r="O245" s="3">
        <v>43860.590567129628</v>
      </c>
      <c r="P245" s="3">
        <v>43860.683136574073</v>
      </c>
      <c r="Q245" s="1" t="s">
        <v>1572</v>
      </c>
      <c r="R245" s="1" t="s">
        <v>1573</v>
      </c>
      <c r="S245" s="7">
        <f>622-85236198034</f>
        <v>-85236197412</v>
      </c>
      <c r="T245" s="1" t="s">
        <v>1574</v>
      </c>
      <c r="U245" s="1" t="s">
        <v>1575</v>
      </c>
      <c r="V245" s="4">
        <v>11272431045</v>
      </c>
      <c r="W245" s="4">
        <v>-7243241869</v>
      </c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 t="s">
        <v>143</v>
      </c>
      <c r="AI245" s="5">
        <v>43861</v>
      </c>
      <c r="AJ245" s="1" t="s">
        <v>144</v>
      </c>
      <c r="AK245" s="3">
        <v>43860.616990740738</v>
      </c>
      <c r="AL245" s="1" t="s">
        <v>701</v>
      </c>
      <c r="AM245" s="1"/>
      <c r="AN245" s="1" t="s">
        <v>88</v>
      </c>
    </row>
    <row r="246" spans="1:40">
      <c r="A246" s="1">
        <v>245</v>
      </c>
      <c r="B246" s="1">
        <v>5</v>
      </c>
      <c r="C246" s="1" t="s">
        <v>40</v>
      </c>
      <c r="D246" s="1" t="s">
        <v>40</v>
      </c>
      <c r="E246" s="1" t="s">
        <v>784</v>
      </c>
      <c r="F246" s="1">
        <v>501977405</v>
      </c>
      <c r="G246" s="1" t="s">
        <v>42</v>
      </c>
      <c r="H246" s="1" t="s">
        <v>77</v>
      </c>
      <c r="I246" s="1" t="s">
        <v>1576</v>
      </c>
      <c r="J246" s="1">
        <v>50954147</v>
      </c>
      <c r="K246" s="7">
        <v>313503063</v>
      </c>
      <c r="L246" s="7">
        <v>152401200340</v>
      </c>
      <c r="M246" s="1" t="s">
        <v>45</v>
      </c>
      <c r="N246" s="1" t="s">
        <v>1577</v>
      </c>
      <c r="O246" s="3">
        <v>43860.590798611112</v>
      </c>
      <c r="P246" s="3">
        <v>43860.598819444444</v>
      </c>
      <c r="Q246" s="1" t="s">
        <v>1578</v>
      </c>
      <c r="R246" s="1" t="s">
        <v>1579</v>
      </c>
      <c r="S246" s="7">
        <f>622-82231235858</f>
        <v>-82231235236</v>
      </c>
      <c r="T246" s="1" t="s">
        <v>1580</v>
      </c>
      <c r="U246" s="1" t="s">
        <v>1581</v>
      </c>
      <c r="V246" s="4">
        <v>11273053569</v>
      </c>
      <c r="W246" s="4">
        <v>-7241808065</v>
      </c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 t="s">
        <v>143</v>
      </c>
      <c r="AI246" s="5">
        <v>43861</v>
      </c>
      <c r="AJ246" s="1" t="s">
        <v>144</v>
      </c>
      <c r="AK246" s="3">
        <v>43860.616990740738</v>
      </c>
      <c r="AL246" s="1" t="s">
        <v>163</v>
      </c>
      <c r="AM246" s="1"/>
      <c r="AN246" s="1" t="s">
        <v>88</v>
      </c>
    </row>
    <row r="247" spans="1:40">
      <c r="A247" s="1">
        <v>246</v>
      </c>
      <c r="B247" s="1">
        <v>5</v>
      </c>
      <c r="C247" s="1" t="s">
        <v>40</v>
      </c>
      <c r="D247" s="1" t="s">
        <v>283</v>
      </c>
      <c r="E247" s="1" t="s">
        <v>806</v>
      </c>
      <c r="F247" s="1">
        <v>501977426</v>
      </c>
      <c r="G247" s="1" t="s">
        <v>42</v>
      </c>
      <c r="H247" s="1" t="s">
        <v>77</v>
      </c>
      <c r="I247" s="1" t="s">
        <v>1582</v>
      </c>
      <c r="J247" s="1">
        <v>50952694</v>
      </c>
      <c r="K247" s="7">
        <v>3223103507</v>
      </c>
      <c r="L247" s="7">
        <v>152433204486</v>
      </c>
      <c r="M247" s="1" t="s">
        <v>620</v>
      </c>
      <c r="N247" s="1" t="s">
        <v>621</v>
      </c>
      <c r="O247" s="3">
        <v>43860.590960648151</v>
      </c>
      <c r="P247" s="3">
        <v>43860.660081018519</v>
      </c>
      <c r="Q247" s="1" t="s">
        <v>1583</v>
      </c>
      <c r="R247" s="1" t="s">
        <v>1584</v>
      </c>
      <c r="S247" s="7">
        <f>622-85794120181</f>
        <v>-85794119559</v>
      </c>
      <c r="T247" s="1" t="s">
        <v>1585</v>
      </c>
      <c r="U247" s="1" t="s">
        <v>1586</v>
      </c>
      <c r="V247" s="4">
        <v>1.12412638512291E+16</v>
      </c>
      <c r="W247" s="4">
        <v>-7133649482771840</v>
      </c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 t="s">
        <v>143</v>
      </c>
      <c r="AI247" s="5">
        <v>43861</v>
      </c>
      <c r="AJ247" s="1" t="s">
        <v>144</v>
      </c>
      <c r="AK247" s="3">
        <v>43860.616990740738</v>
      </c>
      <c r="AL247" s="1" t="s">
        <v>97</v>
      </c>
      <c r="AM247" s="1"/>
      <c r="AN247" s="1" t="s">
        <v>88</v>
      </c>
    </row>
    <row r="248" spans="1:40">
      <c r="A248" s="1">
        <v>247</v>
      </c>
      <c r="B248" s="1">
        <v>5</v>
      </c>
      <c r="C248" s="1" t="s">
        <v>40</v>
      </c>
      <c r="D248" s="1" t="s">
        <v>40</v>
      </c>
      <c r="E248" s="1" t="s">
        <v>784</v>
      </c>
      <c r="F248" s="1">
        <v>501977427</v>
      </c>
      <c r="G248" s="1" t="s">
        <v>42</v>
      </c>
      <c r="H248" s="1" t="s">
        <v>77</v>
      </c>
      <c r="I248" s="1" t="s">
        <v>1587</v>
      </c>
      <c r="J248" s="1">
        <v>50967309</v>
      </c>
      <c r="K248" s="7">
        <v>3199018134</v>
      </c>
      <c r="L248" s="7">
        <v>152401202054</v>
      </c>
      <c r="M248" s="1" t="s">
        <v>45</v>
      </c>
      <c r="N248" s="1" t="s">
        <v>1588</v>
      </c>
      <c r="O248" s="3">
        <v>43860.590995370374</v>
      </c>
      <c r="P248" s="3">
        <v>43860.600960648146</v>
      </c>
      <c r="Q248" s="1" t="s">
        <v>1589</v>
      </c>
      <c r="R248" s="1" t="s">
        <v>1590</v>
      </c>
      <c r="S248" s="7">
        <f>622-81233911126</f>
        <v>-81233910504</v>
      </c>
      <c r="T248" s="1" t="s">
        <v>1591</v>
      </c>
      <c r="U248" s="1" t="s">
        <v>1592</v>
      </c>
      <c r="V248" s="4">
        <v>11272507043</v>
      </c>
      <c r="W248" s="4">
        <v>-7238496531</v>
      </c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 t="s">
        <v>143</v>
      </c>
      <c r="AI248" s="5">
        <v>43861</v>
      </c>
      <c r="AJ248" s="1" t="s">
        <v>144</v>
      </c>
      <c r="AK248" s="3">
        <v>43860.616990740738</v>
      </c>
      <c r="AL248" s="1" t="s">
        <v>701</v>
      </c>
      <c r="AM248" s="1"/>
      <c r="AN248" s="1" t="s">
        <v>88</v>
      </c>
    </row>
    <row r="249" spans="1:40">
      <c r="A249" s="1">
        <v>248</v>
      </c>
      <c r="B249" s="1">
        <v>5</v>
      </c>
      <c r="C249" s="1" t="s">
        <v>40</v>
      </c>
      <c r="D249" s="1" t="s">
        <v>40</v>
      </c>
      <c r="E249" s="1" t="s">
        <v>414</v>
      </c>
      <c r="F249" s="1">
        <v>501977474</v>
      </c>
      <c r="G249" s="1" t="s">
        <v>42</v>
      </c>
      <c r="H249" s="1" t="s">
        <v>77</v>
      </c>
      <c r="I249" s="1" t="s">
        <v>1593</v>
      </c>
      <c r="J249" s="1">
        <v>50966463</v>
      </c>
      <c r="K249" s="7"/>
      <c r="L249" s="7">
        <v>152415216598</v>
      </c>
      <c r="M249" s="1" t="s">
        <v>725</v>
      </c>
      <c r="N249" s="1" t="s">
        <v>1594</v>
      </c>
      <c r="O249" s="3">
        <v>43860.591990740744</v>
      </c>
      <c r="P249" s="3">
        <v>43860.676759259259</v>
      </c>
      <c r="Q249" s="1" t="s">
        <v>1595</v>
      </c>
      <c r="R249" s="1" t="s">
        <v>1596</v>
      </c>
      <c r="S249" s="7">
        <f>622-81234408601</f>
        <v>-81234407979</v>
      </c>
      <c r="T249" s="1" t="s">
        <v>1597</v>
      </c>
      <c r="U249" s="1" t="s">
        <v>1598</v>
      </c>
      <c r="V249" s="4">
        <v>112689</v>
      </c>
      <c r="W249" s="4">
        <v>-73269</v>
      </c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 t="s">
        <v>143</v>
      </c>
      <c r="AI249" s="5">
        <v>43861</v>
      </c>
      <c r="AJ249" s="1" t="s">
        <v>144</v>
      </c>
      <c r="AK249" s="3">
        <v>43860.616990740738</v>
      </c>
      <c r="AL249" s="1" t="s">
        <v>413</v>
      </c>
      <c r="AM249" s="1"/>
      <c r="AN249" s="1" t="s">
        <v>88</v>
      </c>
    </row>
    <row r="250" spans="1:40">
      <c r="A250" s="1">
        <v>249</v>
      </c>
      <c r="B250" s="1">
        <v>5</v>
      </c>
      <c r="C250" s="1" t="s">
        <v>40</v>
      </c>
      <c r="D250" s="1" t="s">
        <v>283</v>
      </c>
      <c r="E250" s="1" t="s">
        <v>806</v>
      </c>
      <c r="F250" s="1">
        <v>501977423</v>
      </c>
      <c r="G250" s="1" t="s">
        <v>42</v>
      </c>
      <c r="H250" s="1" t="s">
        <v>56</v>
      </c>
      <c r="I250" s="1" t="s">
        <v>1599</v>
      </c>
      <c r="J250" s="1">
        <v>50972334</v>
      </c>
      <c r="K250" s="7">
        <v>322322738</v>
      </c>
      <c r="L250" s="7"/>
      <c r="M250" s="1" t="s">
        <v>45</v>
      </c>
      <c r="N250" s="1" t="s">
        <v>1600</v>
      </c>
      <c r="O250" s="3">
        <v>43860.593090277776</v>
      </c>
      <c r="P250" s="3">
        <v>43860.668275462966</v>
      </c>
      <c r="Q250" s="1" t="s">
        <v>1601</v>
      </c>
      <c r="R250" s="1" t="s">
        <v>1602</v>
      </c>
      <c r="S250" s="7">
        <f>62-322322738</f>
        <v>-322322676</v>
      </c>
      <c r="T250" s="1" t="s">
        <v>1603</v>
      </c>
      <c r="U250" s="1" t="s">
        <v>1604</v>
      </c>
      <c r="V250" s="4">
        <v>1124178738546310</v>
      </c>
      <c r="W250" s="4">
        <v>-711858493830289</v>
      </c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 t="s">
        <v>143</v>
      </c>
      <c r="AI250" s="5">
        <v>43860</v>
      </c>
      <c r="AJ250" s="1" t="s">
        <v>144</v>
      </c>
      <c r="AK250" s="3">
        <v>43860.616990740738</v>
      </c>
      <c r="AL250" s="1" t="s">
        <v>1605</v>
      </c>
      <c r="AM250" s="1"/>
      <c r="AN250" s="1" t="s">
        <v>88</v>
      </c>
    </row>
    <row r="251" spans="1:40">
      <c r="A251" s="1">
        <v>250</v>
      </c>
      <c r="B251" s="1">
        <v>5</v>
      </c>
      <c r="C251" s="1" t="s">
        <v>40</v>
      </c>
      <c r="D251" s="1" t="s">
        <v>152</v>
      </c>
      <c r="E251" s="1" t="s">
        <v>200</v>
      </c>
      <c r="F251" s="1">
        <v>501977823</v>
      </c>
      <c r="G251" s="1" t="s">
        <v>42</v>
      </c>
      <c r="H251" s="1" t="s">
        <v>77</v>
      </c>
      <c r="I251" s="1" t="s">
        <v>1606</v>
      </c>
      <c r="J251" s="1">
        <v>50971108</v>
      </c>
      <c r="K251" s="7">
        <v>3139928289</v>
      </c>
      <c r="L251" s="7">
        <v>152412200268</v>
      </c>
      <c r="M251" s="1" t="s">
        <v>1293</v>
      </c>
      <c r="N251" s="1" t="s">
        <v>1294</v>
      </c>
      <c r="O251" s="3">
        <v>43860.598749999997</v>
      </c>
      <c r="P251" s="3">
        <v>43860.674004629633</v>
      </c>
      <c r="Q251" s="1" t="s">
        <v>1607</v>
      </c>
      <c r="R251" s="1" t="s">
        <v>1608</v>
      </c>
      <c r="S251" s="7">
        <f>622-85106663232</f>
        <v>-85106662610</v>
      </c>
      <c r="T251" s="1" t="s">
        <v>1609</v>
      </c>
      <c r="U251" s="1" t="s">
        <v>1610</v>
      </c>
      <c r="V251" s="4">
        <v>11263754631</v>
      </c>
      <c r="W251" s="4">
        <v>-7169043516</v>
      </c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 t="s">
        <v>143</v>
      </c>
      <c r="AI251" s="5">
        <v>43861</v>
      </c>
      <c r="AJ251" s="1" t="s">
        <v>144</v>
      </c>
      <c r="AK251" s="3">
        <v>43860.616990740738</v>
      </c>
      <c r="AL251" s="1" t="s">
        <v>163</v>
      </c>
      <c r="AM251" s="1"/>
      <c r="AN251" s="1" t="s">
        <v>88</v>
      </c>
    </row>
    <row r="252" spans="1:40">
      <c r="A252" s="1">
        <v>251</v>
      </c>
      <c r="B252" s="1">
        <v>5</v>
      </c>
      <c r="C252" s="1" t="s">
        <v>40</v>
      </c>
      <c r="D252" s="1" t="s">
        <v>40</v>
      </c>
      <c r="E252" s="1" t="s">
        <v>250</v>
      </c>
      <c r="F252" s="1">
        <v>501978230</v>
      </c>
      <c r="G252" s="1" t="s">
        <v>42</v>
      </c>
      <c r="H252" s="1" t="s">
        <v>77</v>
      </c>
      <c r="I252" s="1" t="s">
        <v>1611</v>
      </c>
      <c r="J252" s="1">
        <v>50944345</v>
      </c>
      <c r="K252" s="7">
        <v>3199343045</v>
      </c>
      <c r="L252" s="7">
        <v>152418900718</v>
      </c>
      <c r="M252" s="1" t="s">
        <v>1069</v>
      </c>
      <c r="N252" s="1" t="s">
        <v>1070</v>
      </c>
      <c r="O252" s="3">
        <v>43860.60628472222</v>
      </c>
      <c r="P252" s="3">
        <v>43860.629664351851</v>
      </c>
      <c r="Q252" s="1" t="s">
        <v>1612</v>
      </c>
      <c r="R252" s="1" t="s">
        <v>1613</v>
      </c>
      <c r="S252" s="7">
        <f>622-81703286754</f>
        <v>-81703286132</v>
      </c>
      <c r="T252" s="1" t="s">
        <v>1614</v>
      </c>
      <c r="U252" s="1" t="s">
        <v>1615</v>
      </c>
      <c r="V252" s="4">
        <v>112706498</v>
      </c>
      <c r="W252" s="4">
        <v>-7249374</v>
      </c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 t="s">
        <v>143</v>
      </c>
      <c r="AI252" s="5">
        <v>43861</v>
      </c>
      <c r="AJ252" s="1" t="s">
        <v>144</v>
      </c>
      <c r="AK252" s="3">
        <v>43860.616990740738</v>
      </c>
      <c r="AL252" s="1" t="s">
        <v>97</v>
      </c>
      <c r="AM252" s="1"/>
      <c r="AN252" s="1" t="s">
        <v>88</v>
      </c>
    </row>
    <row r="253" spans="1:40">
      <c r="A253" s="1">
        <v>252</v>
      </c>
      <c r="B253" s="1">
        <v>5</v>
      </c>
      <c r="C253" s="1" t="s">
        <v>40</v>
      </c>
      <c r="D253" s="1" t="s">
        <v>152</v>
      </c>
      <c r="E253" s="1" t="s">
        <v>200</v>
      </c>
      <c r="F253" s="1">
        <v>501978373</v>
      </c>
      <c r="G253" s="1" t="s">
        <v>42</v>
      </c>
      <c r="H253" s="1" t="s">
        <v>77</v>
      </c>
      <c r="I253" s="1" t="s">
        <v>1616</v>
      </c>
      <c r="J253" s="1">
        <v>50970675</v>
      </c>
      <c r="K253" s="7">
        <v>3139929268</v>
      </c>
      <c r="L253" s="7">
        <v>152412200845</v>
      </c>
      <c r="M253" s="1" t="s">
        <v>45</v>
      </c>
      <c r="N253" s="1" t="s">
        <v>1617</v>
      </c>
      <c r="O253" s="3">
        <v>43860.609189814815</v>
      </c>
      <c r="P253" s="3">
        <v>43860.655856481484</v>
      </c>
      <c r="Q253" s="1" t="s">
        <v>1618</v>
      </c>
      <c r="R253" s="1" t="s">
        <v>1619</v>
      </c>
      <c r="S253" s="7">
        <f>622-82229100335</f>
        <v>-82229099713</v>
      </c>
      <c r="T253" s="1" t="s">
        <v>1620</v>
      </c>
      <c r="U253" s="1" t="s">
        <v>1621</v>
      </c>
      <c r="V253" s="4">
        <v>11264792733</v>
      </c>
      <c r="W253" s="4">
        <v>-7158834604</v>
      </c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 t="s">
        <v>143</v>
      </c>
      <c r="AI253" s="5">
        <v>43861</v>
      </c>
      <c r="AJ253" s="1" t="s">
        <v>144</v>
      </c>
      <c r="AK253" s="3">
        <v>43860.616990740738</v>
      </c>
      <c r="AL253" s="1" t="s">
        <v>97</v>
      </c>
      <c r="AM253" s="1"/>
      <c r="AN253" s="1" t="s">
        <v>88</v>
      </c>
    </row>
    <row r="254" spans="1:40">
      <c r="A254" s="1">
        <v>253</v>
      </c>
      <c r="B254" s="1">
        <v>5</v>
      </c>
      <c r="C254" s="1" t="s">
        <v>40</v>
      </c>
      <c r="D254" s="1" t="s">
        <v>40</v>
      </c>
      <c r="E254" s="1" t="s">
        <v>118</v>
      </c>
      <c r="F254" s="1">
        <v>501978676</v>
      </c>
      <c r="G254" s="1" t="s">
        <v>42</v>
      </c>
      <c r="H254" s="1" t="s">
        <v>77</v>
      </c>
      <c r="I254" s="1" t="s">
        <v>1622</v>
      </c>
      <c r="J254" s="1">
        <v>50913605</v>
      </c>
      <c r="K254" s="7">
        <v>3137396720</v>
      </c>
      <c r="L254" s="7">
        <v>152404274477</v>
      </c>
      <c r="M254" s="1" t="s">
        <v>45</v>
      </c>
      <c r="N254" s="1" t="s">
        <v>1623</v>
      </c>
      <c r="O254" s="3">
        <v>43860.61519675926</v>
      </c>
      <c r="P254" s="3">
        <v>43860.65525462963</v>
      </c>
      <c r="Q254" s="1" t="s">
        <v>1624</v>
      </c>
      <c r="R254" s="1" t="s">
        <v>1625</v>
      </c>
      <c r="S254" s="7">
        <f>622-81234539400</f>
        <v>-81234538778</v>
      </c>
      <c r="T254" s="1" t="s">
        <v>1626</v>
      </c>
      <c r="U254" s="1" t="s">
        <v>1627</v>
      </c>
      <c r="V254" s="4">
        <v>112758939</v>
      </c>
      <c r="W254" s="4">
        <v>-7214906</v>
      </c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 t="s">
        <v>143</v>
      </c>
      <c r="AI254" s="5">
        <v>43861</v>
      </c>
      <c r="AJ254" s="1" t="s">
        <v>144</v>
      </c>
      <c r="AK254" s="3">
        <v>43860.627557870372</v>
      </c>
      <c r="AL254" s="1" t="s">
        <v>701</v>
      </c>
      <c r="AM254" s="1"/>
      <c r="AN254" s="1" t="s">
        <v>88</v>
      </c>
    </row>
    <row r="255" spans="1:40">
      <c r="A255" s="1">
        <v>254</v>
      </c>
      <c r="B255" s="1">
        <v>5</v>
      </c>
      <c r="C255" s="1" t="s">
        <v>40</v>
      </c>
      <c r="D255" s="1" t="s">
        <v>152</v>
      </c>
      <c r="E255" s="1" t="s">
        <v>1628</v>
      </c>
      <c r="F255" s="1">
        <v>501978774</v>
      </c>
      <c r="G255" s="1" t="s">
        <v>42</v>
      </c>
      <c r="H255" s="1" t="s">
        <v>77</v>
      </c>
      <c r="I255" s="1" t="s">
        <v>1629</v>
      </c>
      <c r="J255" s="1">
        <v>50972012</v>
      </c>
      <c r="K255" s="7">
        <v>3199311805</v>
      </c>
      <c r="L255" s="7">
        <v>152445901623</v>
      </c>
      <c r="M255" s="1" t="s">
        <v>1069</v>
      </c>
      <c r="N255" s="1" t="s">
        <v>1070</v>
      </c>
      <c r="O255" s="3">
        <v>43860.617314814815</v>
      </c>
      <c r="P255" s="3">
        <v>43860.670567129629</v>
      </c>
      <c r="Q255" s="1" t="s">
        <v>1630</v>
      </c>
      <c r="R255" s="1" t="s">
        <v>1631</v>
      </c>
      <c r="S255" s="7">
        <f>622-81252383334</f>
        <v>-81252382712</v>
      </c>
      <c r="T255" s="1" t="s">
        <v>1632</v>
      </c>
      <c r="U255" s="1" t="s">
        <v>1633</v>
      </c>
      <c r="V255" s="4">
        <v>1125683</v>
      </c>
      <c r="W255" s="4">
        <v>-71697</v>
      </c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 t="s">
        <v>143</v>
      </c>
      <c r="AI255" s="5">
        <v>43861</v>
      </c>
      <c r="AJ255" s="1" t="s">
        <v>144</v>
      </c>
      <c r="AK255" s="3">
        <v>43860.627557870372</v>
      </c>
      <c r="AL255" s="1" t="s">
        <v>293</v>
      </c>
      <c r="AM255" s="1"/>
      <c r="AN255" s="1" t="s">
        <v>88</v>
      </c>
    </row>
    <row r="256" spans="1:40">
      <c r="A256" s="1">
        <v>255</v>
      </c>
      <c r="B256" s="1">
        <v>5</v>
      </c>
      <c r="C256" s="1" t="s">
        <v>40</v>
      </c>
      <c r="D256" s="1" t="s">
        <v>40</v>
      </c>
      <c r="E256" s="1" t="s">
        <v>107</v>
      </c>
      <c r="F256" s="1">
        <v>501978944</v>
      </c>
      <c r="G256" s="1" t="s">
        <v>42</v>
      </c>
      <c r="H256" s="1" t="s">
        <v>77</v>
      </c>
      <c r="I256" s="1" t="s">
        <v>1634</v>
      </c>
      <c r="J256" s="1">
        <v>50967722</v>
      </c>
      <c r="K256" s="7">
        <v>3199167652</v>
      </c>
      <c r="L256" s="7">
        <v>152412231586</v>
      </c>
      <c r="M256" s="1" t="s">
        <v>725</v>
      </c>
      <c r="N256" s="1" t="s">
        <v>1635</v>
      </c>
      <c r="O256" s="3">
        <v>43860.620069444441</v>
      </c>
      <c r="P256" s="3">
        <v>43860.686712962961</v>
      </c>
      <c r="Q256" s="1" t="s">
        <v>1636</v>
      </c>
      <c r="R256" s="1" t="s">
        <v>1637</v>
      </c>
      <c r="S256" s="7">
        <f>622-85717545610</f>
        <v>-85717544988</v>
      </c>
      <c r="T256" s="1" t="s">
        <v>1638</v>
      </c>
      <c r="U256" s="1" t="s">
        <v>1639</v>
      </c>
      <c r="V256" s="4">
        <v>1126388</v>
      </c>
      <c r="W256" s="4">
        <v>-72385</v>
      </c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 t="s">
        <v>143</v>
      </c>
      <c r="AI256" s="5">
        <v>43861</v>
      </c>
      <c r="AJ256" s="1" t="s">
        <v>144</v>
      </c>
      <c r="AK256" s="3">
        <v>43860.627557870372</v>
      </c>
      <c r="AL256" s="1" t="s">
        <v>701</v>
      </c>
      <c r="AM256" s="1"/>
      <c r="AN256" s="1" t="s">
        <v>88</v>
      </c>
    </row>
    <row r="257" spans="1:40">
      <c r="A257" s="1">
        <v>256</v>
      </c>
      <c r="B257" s="1">
        <v>5</v>
      </c>
      <c r="C257" s="1" t="s">
        <v>40</v>
      </c>
      <c r="D257" s="1" t="s">
        <v>40</v>
      </c>
      <c r="E257" s="1" t="s">
        <v>107</v>
      </c>
      <c r="F257" s="1">
        <v>501979030</v>
      </c>
      <c r="G257" s="1" t="s">
        <v>42</v>
      </c>
      <c r="H257" s="1" t="s">
        <v>77</v>
      </c>
      <c r="I257" s="1" t="s">
        <v>1640</v>
      </c>
      <c r="J257" s="1">
        <v>50969258</v>
      </c>
      <c r="K257" s="7">
        <v>317455797</v>
      </c>
      <c r="L257" s="7">
        <v>152412230806</v>
      </c>
      <c r="M257" s="1" t="s">
        <v>620</v>
      </c>
      <c r="N257" s="1" t="s">
        <v>621</v>
      </c>
      <c r="O257" s="3">
        <v>43860.62127314815</v>
      </c>
      <c r="P257" s="3">
        <v>43860.658101851855</v>
      </c>
      <c r="Q257" s="1" t="s">
        <v>1641</v>
      </c>
      <c r="R257" s="1" t="s">
        <v>1642</v>
      </c>
      <c r="S257" s="7">
        <f>622-822254899510</f>
        <v>-822254898888</v>
      </c>
      <c r="T257" s="1" t="s">
        <v>1643</v>
      </c>
      <c r="U257" s="1" t="s">
        <v>1644</v>
      </c>
      <c r="V257" s="4">
        <v>1126348</v>
      </c>
      <c r="W257" s="4">
        <v>-7239</v>
      </c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 t="s">
        <v>143</v>
      </c>
      <c r="AI257" s="5">
        <v>43861</v>
      </c>
      <c r="AJ257" s="1" t="s">
        <v>144</v>
      </c>
      <c r="AK257" s="3">
        <v>43860.627557870372</v>
      </c>
      <c r="AL257" s="1" t="s">
        <v>701</v>
      </c>
      <c r="AM257" s="1"/>
      <c r="AN257" s="1" t="s">
        <v>88</v>
      </c>
    </row>
    <row r="258" spans="1:40">
      <c r="A258" s="1">
        <v>257</v>
      </c>
      <c r="B258" s="1">
        <v>5</v>
      </c>
      <c r="C258" s="1" t="s">
        <v>40</v>
      </c>
      <c r="D258" s="1" t="s">
        <v>40</v>
      </c>
      <c r="E258" s="1" t="s">
        <v>414</v>
      </c>
      <c r="F258" s="1">
        <v>501979111</v>
      </c>
      <c r="G258" s="1" t="s">
        <v>42</v>
      </c>
      <c r="H258" s="1" t="s">
        <v>77</v>
      </c>
      <c r="I258" s="1" t="s">
        <v>1645</v>
      </c>
      <c r="J258" s="1">
        <v>50967036</v>
      </c>
      <c r="K258" s="7">
        <v>3199752464</v>
      </c>
      <c r="L258" s="7">
        <v>152415216131</v>
      </c>
      <c r="M258" s="1" t="s">
        <v>620</v>
      </c>
      <c r="N258" s="1" t="s">
        <v>621</v>
      </c>
      <c r="O258" s="3">
        <v>43860.622627314813</v>
      </c>
      <c r="P258" s="3">
        <v>43860.658807870372</v>
      </c>
      <c r="Q258" s="1" t="s">
        <v>1646</v>
      </c>
      <c r="R258" s="1" t="s">
        <v>1647</v>
      </c>
      <c r="S258" s="7">
        <f>622-8121663316</f>
        <v>-8121662694</v>
      </c>
      <c r="T258" s="1" t="s">
        <v>1648</v>
      </c>
      <c r="U258" s="1" t="s">
        <v>1649</v>
      </c>
      <c r="V258" s="4">
        <v>11265773657</v>
      </c>
      <c r="W258" s="4">
        <v>-7334444799</v>
      </c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 t="s">
        <v>143</v>
      </c>
      <c r="AI258" s="5">
        <v>43861</v>
      </c>
      <c r="AJ258" s="1" t="s">
        <v>144</v>
      </c>
      <c r="AK258" s="3">
        <v>43860.627557870372</v>
      </c>
      <c r="AL258" s="1" t="s">
        <v>701</v>
      </c>
      <c r="AM258" s="1"/>
      <c r="AN258" s="1" t="s">
        <v>88</v>
      </c>
    </row>
    <row r="259" spans="1:40">
      <c r="A259" s="1">
        <v>258</v>
      </c>
      <c r="B259" s="1">
        <v>5</v>
      </c>
      <c r="C259" s="1" t="s">
        <v>40</v>
      </c>
      <c r="D259" s="1" t="s">
        <v>152</v>
      </c>
      <c r="E259" s="1" t="s">
        <v>200</v>
      </c>
      <c r="F259" s="1">
        <v>501979480</v>
      </c>
      <c r="G259" s="1" t="s">
        <v>42</v>
      </c>
      <c r="H259" s="1" t="s">
        <v>77</v>
      </c>
      <c r="I259" s="1" t="s">
        <v>1650</v>
      </c>
      <c r="J259" s="1">
        <v>50972595</v>
      </c>
      <c r="K259" s="7">
        <v>3139923033</v>
      </c>
      <c r="L259" s="7">
        <v>152412200152</v>
      </c>
      <c r="M259" s="1" t="s">
        <v>1069</v>
      </c>
      <c r="N259" s="1" t="s">
        <v>1070</v>
      </c>
      <c r="O259" s="3">
        <v>43860.627546296295</v>
      </c>
      <c r="P259" s="3">
        <v>43860.687349537038</v>
      </c>
      <c r="Q259" s="1" t="s">
        <v>1651</v>
      </c>
      <c r="R259" s="1" t="s">
        <v>1652</v>
      </c>
      <c r="S259" s="7">
        <f>622-81233119663</f>
        <v>-81233119041</v>
      </c>
      <c r="T259" s="1" t="s">
        <v>1653</v>
      </c>
      <c r="U259" s="1" t="s">
        <v>1654</v>
      </c>
      <c r="V259" s="4">
        <v>1126053</v>
      </c>
      <c r="W259" s="4">
        <v>-71752</v>
      </c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 t="s">
        <v>143</v>
      </c>
      <c r="AI259" s="5">
        <v>43861</v>
      </c>
      <c r="AJ259" s="1" t="s">
        <v>144</v>
      </c>
      <c r="AK259" s="3">
        <v>43860.648368055554</v>
      </c>
      <c r="AL259" s="1" t="s">
        <v>293</v>
      </c>
      <c r="AM259" s="1"/>
      <c r="AN259" s="1" t="s">
        <v>88</v>
      </c>
    </row>
    <row r="260" spans="1:40">
      <c r="A260" s="1">
        <v>259</v>
      </c>
      <c r="B260" s="1">
        <v>5</v>
      </c>
      <c r="C260" s="1" t="s">
        <v>40</v>
      </c>
      <c r="D260" s="1" t="s">
        <v>40</v>
      </c>
      <c r="E260" s="1" t="s">
        <v>1036</v>
      </c>
      <c r="F260" s="1">
        <v>501979990</v>
      </c>
      <c r="G260" s="1" t="s">
        <v>42</v>
      </c>
      <c r="H260" s="1" t="s">
        <v>77</v>
      </c>
      <c r="I260" s="1" t="s">
        <v>1655</v>
      </c>
      <c r="J260" s="1">
        <v>50944825</v>
      </c>
      <c r="K260" s="7">
        <v>3199051394</v>
      </c>
      <c r="L260" s="7">
        <v>152417204221</v>
      </c>
      <c r="M260" s="1" t="s">
        <v>885</v>
      </c>
      <c r="N260" s="1" t="s">
        <v>886</v>
      </c>
      <c r="O260" s="3">
        <v>43860.634085648147</v>
      </c>
      <c r="P260" s="3">
        <v>43860.634884259256</v>
      </c>
      <c r="Q260" s="1" t="s">
        <v>1656</v>
      </c>
      <c r="R260" s="1" t="s">
        <v>1657</v>
      </c>
      <c r="S260" s="7">
        <f>622-82139499023</f>
        <v>-82139498401</v>
      </c>
      <c r="T260" s="1" t="s">
        <v>1658</v>
      </c>
      <c r="U260" s="1" t="s">
        <v>1659</v>
      </c>
      <c r="V260" s="4">
        <v>11264455901</v>
      </c>
      <c r="W260" s="4">
        <v>-7330317654</v>
      </c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 t="s">
        <v>143</v>
      </c>
      <c r="AI260" s="5">
        <v>43861</v>
      </c>
      <c r="AJ260" s="1" t="s">
        <v>144</v>
      </c>
      <c r="AK260" s="3">
        <v>43860.648368055554</v>
      </c>
      <c r="AL260" s="1" t="s">
        <v>293</v>
      </c>
      <c r="AM260" s="1"/>
      <c r="AN260" s="1" t="s">
        <v>88</v>
      </c>
    </row>
    <row r="261" spans="1:40">
      <c r="A261" s="1">
        <v>260</v>
      </c>
      <c r="B261" s="1">
        <v>5</v>
      </c>
      <c r="C261" s="1" t="s">
        <v>40</v>
      </c>
      <c r="D261" s="1" t="s">
        <v>40</v>
      </c>
      <c r="E261" s="1" t="s">
        <v>1036</v>
      </c>
      <c r="F261" s="1">
        <v>501980059</v>
      </c>
      <c r="G261" s="1" t="s">
        <v>42</v>
      </c>
      <c r="H261" s="1" t="s">
        <v>77</v>
      </c>
      <c r="I261" s="1" t="s">
        <v>1660</v>
      </c>
      <c r="J261" s="1">
        <v>50944246</v>
      </c>
      <c r="K261" s="7">
        <v>3199051368</v>
      </c>
      <c r="L261" s="7">
        <v>152417206905</v>
      </c>
      <c r="M261" s="1" t="s">
        <v>1293</v>
      </c>
      <c r="N261" s="1" t="s">
        <v>1294</v>
      </c>
      <c r="O261" s="3">
        <v>43860.635081018518</v>
      </c>
      <c r="P261" s="3">
        <v>43860.679710648146</v>
      </c>
      <c r="Q261" s="1" t="s">
        <v>1661</v>
      </c>
      <c r="R261" s="1" t="s">
        <v>1662</v>
      </c>
      <c r="S261" s="7">
        <f>622-82333041629</f>
        <v>-82333041007</v>
      </c>
      <c r="T261" s="1" t="s">
        <v>1663</v>
      </c>
      <c r="U261" s="1" t="s">
        <v>1664</v>
      </c>
      <c r="V261" s="4">
        <v>11259690644</v>
      </c>
      <c r="W261" s="4">
        <v>-7326399592</v>
      </c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 t="s">
        <v>143</v>
      </c>
      <c r="AI261" s="5">
        <v>43861</v>
      </c>
      <c r="AJ261" s="1" t="s">
        <v>144</v>
      </c>
      <c r="AK261" s="3">
        <v>43860.648368055554</v>
      </c>
      <c r="AL261" s="1" t="s">
        <v>293</v>
      </c>
      <c r="AM261" s="1"/>
      <c r="AN261" s="1" t="s">
        <v>88</v>
      </c>
    </row>
    <row r="262" spans="1:40">
      <c r="A262" s="1">
        <v>261</v>
      </c>
      <c r="B262" s="1">
        <v>5</v>
      </c>
      <c r="C262" s="1" t="s">
        <v>40</v>
      </c>
      <c r="D262" s="1" t="s">
        <v>40</v>
      </c>
      <c r="E262" s="1" t="s">
        <v>41</v>
      </c>
      <c r="F262" s="1">
        <v>501980151</v>
      </c>
      <c r="G262" s="1" t="s">
        <v>42</v>
      </c>
      <c r="H262" s="1" t="s">
        <v>56</v>
      </c>
      <c r="I262" s="1" t="s">
        <v>1665</v>
      </c>
      <c r="J262" s="1">
        <v>50973832</v>
      </c>
      <c r="K262" s="7"/>
      <c r="L262" s="7">
        <v>152413201281</v>
      </c>
      <c r="M262" s="1" t="s">
        <v>361</v>
      </c>
      <c r="N262" s="1" t="s">
        <v>1666</v>
      </c>
      <c r="O262" s="3">
        <v>43860.636446759258</v>
      </c>
      <c r="P262" s="3">
        <v>43860.672083333331</v>
      </c>
      <c r="Q262" s="1" t="s">
        <v>1667</v>
      </c>
      <c r="R262" s="1" t="s">
        <v>1668</v>
      </c>
      <c r="S262" s="7">
        <f>62-81939780005</f>
        <v>-81939779943</v>
      </c>
      <c r="T262" s="1" t="s">
        <v>1669</v>
      </c>
      <c r="U262" s="1" t="s">
        <v>1670</v>
      </c>
      <c r="V262" s="4">
        <v>1127434204043050</v>
      </c>
      <c r="W262" s="4">
        <v>-724806444358793</v>
      </c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 t="s">
        <v>143</v>
      </c>
      <c r="AI262" s="5">
        <v>43861</v>
      </c>
      <c r="AJ262" s="1" t="s">
        <v>144</v>
      </c>
      <c r="AK262" s="3">
        <v>43860.648368055554</v>
      </c>
      <c r="AL262" s="1" t="s">
        <v>1671</v>
      </c>
      <c r="AM262" s="1"/>
      <c r="AN262" s="1" t="s">
        <v>117</v>
      </c>
    </row>
    <row r="263" spans="1:40">
      <c r="A263" s="1">
        <v>262</v>
      </c>
      <c r="B263" s="1">
        <v>5</v>
      </c>
      <c r="C263" s="1" t="s">
        <v>40</v>
      </c>
      <c r="D263" s="1" t="s">
        <v>40</v>
      </c>
      <c r="E263" s="1" t="s">
        <v>41</v>
      </c>
      <c r="F263" s="1">
        <v>501980434</v>
      </c>
      <c r="G263" s="1" t="s">
        <v>42</v>
      </c>
      <c r="H263" s="1" t="s">
        <v>43</v>
      </c>
      <c r="I263" s="1" t="s">
        <v>1672</v>
      </c>
      <c r="J263" s="1">
        <v>50973817</v>
      </c>
      <c r="K263" s="7">
        <v>3199277442</v>
      </c>
      <c r="L263" s="7">
        <v>152413201851</v>
      </c>
      <c r="M263" s="1" t="s">
        <v>885</v>
      </c>
      <c r="N263" s="1" t="s">
        <v>886</v>
      </c>
      <c r="O263" s="3">
        <v>43860.640393518515</v>
      </c>
      <c r="P263" s="3">
        <v>43860.641689814816</v>
      </c>
      <c r="Q263" s="1" t="s">
        <v>1673</v>
      </c>
      <c r="R263" s="1" t="s">
        <v>1674</v>
      </c>
      <c r="S263" s="7">
        <f>62-85104560707</f>
        <v>-85104560645</v>
      </c>
      <c r="T263" s="1" t="s">
        <v>1675</v>
      </c>
      <c r="U263" s="1" t="s">
        <v>1676</v>
      </c>
      <c r="V263" s="4">
        <v>1127508028494070</v>
      </c>
      <c r="W263" s="4">
        <v>-726173236033418</v>
      </c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 t="s">
        <v>143</v>
      </c>
      <c r="AI263" s="5">
        <v>43860</v>
      </c>
      <c r="AJ263" s="1" t="s">
        <v>144</v>
      </c>
      <c r="AK263" s="3">
        <v>43860.658645833333</v>
      </c>
      <c r="AL263" s="1" t="s">
        <v>1677</v>
      </c>
      <c r="AM263" s="1"/>
      <c r="AN263" s="1" t="s">
        <v>456</v>
      </c>
    </row>
    <row r="264" spans="1:40">
      <c r="A264" s="1">
        <v>263</v>
      </c>
      <c r="B264" s="1">
        <v>5</v>
      </c>
      <c r="C264" s="1" t="s">
        <v>40</v>
      </c>
      <c r="D264" s="1" t="s">
        <v>152</v>
      </c>
      <c r="E264" s="1" t="s">
        <v>181</v>
      </c>
      <c r="F264" s="1">
        <v>501980464</v>
      </c>
      <c r="G264" s="1" t="s">
        <v>42</v>
      </c>
      <c r="H264" s="1" t="s">
        <v>77</v>
      </c>
      <c r="I264" s="1" t="s">
        <v>1678</v>
      </c>
      <c r="J264" s="1">
        <v>50969924</v>
      </c>
      <c r="K264" s="7">
        <v>3179972486</v>
      </c>
      <c r="L264" s="7">
        <v>152446213975</v>
      </c>
      <c r="M264" s="1" t="s">
        <v>885</v>
      </c>
      <c r="N264" s="1" t="s">
        <v>886</v>
      </c>
      <c r="O264" s="3">
        <v>43860.640752314815</v>
      </c>
      <c r="P264" s="3">
        <v>43860.641724537039</v>
      </c>
      <c r="Q264" s="1" t="s">
        <v>1679</v>
      </c>
      <c r="R264" s="1" t="s">
        <v>1680</v>
      </c>
      <c r="S264" s="7">
        <f>622-85203301234</f>
        <v>-85203300612</v>
      </c>
      <c r="T264" s="1" t="s">
        <v>1681</v>
      </c>
      <c r="U264" s="1" t="s">
        <v>1682</v>
      </c>
      <c r="V264" s="4">
        <v>112585018</v>
      </c>
      <c r="W264" s="4">
        <v>-7271548</v>
      </c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 t="s">
        <v>143</v>
      </c>
      <c r="AI264" s="5">
        <v>43861</v>
      </c>
      <c r="AJ264" s="1" t="s">
        <v>144</v>
      </c>
      <c r="AK264" s="3">
        <v>43860.658645833333</v>
      </c>
      <c r="AL264" s="1" t="s">
        <v>97</v>
      </c>
      <c r="AM264" s="1"/>
      <c r="AN264" s="1" t="s">
        <v>88</v>
      </c>
    </row>
    <row r="265" spans="1:40">
      <c r="A265" s="1">
        <v>264</v>
      </c>
      <c r="B265" s="1">
        <v>5</v>
      </c>
      <c r="C265" s="1" t="s">
        <v>40</v>
      </c>
      <c r="D265" s="1" t="s">
        <v>40</v>
      </c>
      <c r="E265" s="1" t="s">
        <v>414</v>
      </c>
      <c r="F265" s="1">
        <v>501980222</v>
      </c>
      <c r="G265" s="1" t="s">
        <v>42</v>
      </c>
      <c r="H265" s="1" t="s">
        <v>43</v>
      </c>
      <c r="I265" s="1" t="s">
        <v>1683</v>
      </c>
      <c r="J265" s="1">
        <v>50973781</v>
      </c>
      <c r="K265" s="7">
        <v>3199752499</v>
      </c>
      <c r="L265" s="7">
        <v>152415216381</v>
      </c>
      <c r="M265" s="1" t="s">
        <v>885</v>
      </c>
      <c r="N265" s="1" t="s">
        <v>886</v>
      </c>
      <c r="O265" s="3">
        <v>43860.642685185187</v>
      </c>
      <c r="P265" s="3">
        <v>43860.647557870368</v>
      </c>
      <c r="Q265" s="1" t="s">
        <v>1684</v>
      </c>
      <c r="R265" s="1" t="s">
        <v>1685</v>
      </c>
      <c r="S265" s="7">
        <f>62-82232263158</f>
        <v>-82232263096</v>
      </c>
      <c r="T265" s="1" t="s">
        <v>1686</v>
      </c>
      <c r="U265" s="1" t="s">
        <v>1687</v>
      </c>
      <c r="V265" s="4">
        <v>1127015294422970</v>
      </c>
      <c r="W265" s="4">
        <v>-732661680859947</v>
      </c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 t="s">
        <v>143</v>
      </c>
      <c r="AI265" s="5">
        <v>43860</v>
      </c>
      <c r="AJ265" s="1" t="s">
        <v>144</v>
      </c>
      <c r="AK265" s="3">
        <v>43860.658645833333</v>
      </c>
      <c r="AL265" s="1" t="s">
        <v>1688</v>
      </c>
      <c r="AM265" s="1"/>
      <c r="AN265" s="1" t="s">
        <v>88</v>
      </c>
    </row>
    <row r="266" spans="1:40">
      <c r="A266" s="1">
        <v>265</v>
      </c>
      <c r="B266" s="1">
        <v>5</v>
      </c>
      <c r="C266" s="1" t="s">
        <v>40</v>
      </c>
      <c r="D266" s="1" t="s">
        <v>40</v>
      </c>
      <c r="E266" s="1" t="s">
        <v>208</v>
      </c>
      <c r="F266" s="1">
        <v>501980683</v>
      </c>
      <c r="G266" s="1" t="s">
        <v>42</v>
      </c>
      <c r="H266" s="1"/>
      <c r="I266" s="1" t="s">
        <v>1689</v>
      </c>
      <c r="J266" s="1">
        <v>50938000</v>
      </c>
      <c r="K266" s="7">
        <v>3199928439</v>
      </c>
      <c r="L266" s="7">
        <v>152407253674</v>
      </c>
      <c r="M266" s="1" t="s">
        <v>885</v>
      </c>
      <c r="N266" s="1" t="s">
        <v>886</v>
      </c>
      <c r="O266" s="3">
        <v>43860.644224537034</v>
      </c>
      <c r="P266" s="3">
        <v>43860.646562499998</v>
      </c>
      <c r="Q266" s="1" t="s">
        <v>1690</v>
      </c>
      <c r="R266" s="1" t="s">
        <v>1691</v>
      </c>
      <c r="S266" s="7">
        <f>622-82229127094</f>
        <v>-82229126472</v>
      </c>
      <c r="T266" s="1" t="s">
        <v>1692</v>
      </c>
      <c r="U266" s="1" t="s">
        <v>1693</v>
      </c>
      <c r="V266" s="4">
        <v>11277541543</v>
      </c>
      <c r="W266" s="4">
        <v>-7248551917</v>
      </c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 t="s">
        <v>160</v>
      </c>
      <c r="AI266" s="1" t="s">
        <v>1694</v>
      </c>
      <c r="AJ266" s="1" t="s">
        <v>216</v>
      </c>
      <c r="AK266" s="3">
        <v>43860.709861111114</v>
      </c>
      <c r="AL266" s="1" t="s">
        <v>701</v>
      </c>
      <c r="AM266" s="1"/>
      <c r="AN266" s="1" t="s">
        <v>88</v>
      </c>
    </row>
    <row r="267" spans="1:40">
      <c r="A267" s="1">
        <v>266</v>
      </c>
      <c r="B267" s="1">
        <v>5</v>
      </c>
      <c r="C267" s="1" t="s">
        <v>40</v>
      </c>
      <c r="D267" s="1" t="s">
        <v>40</v>
      </c>
      <c r="E267" s="1" t="s">
        <v>250</v>
      </c>
      <c r="F267" s="1">
        <v>501980999</v>
      </c>
      <c r="G267" s="1" t="s">
        <v>42</v>
      </c>
      <c r="H267" s="1" t="s">
        <v>77</v>
      </c>
      <c r="I267" s="1" t="s">
        <v>1695</v>
      </c>
      <c r="J267" s="1">
        <v>50942950</v>
      </c>
      <c r="K267" s="7">
        <v>3199343772</v>
      </c>
      <c r="L267" s="7">
        <v>152418901183</v>
      </c>
      <c r="M267" s="1" t="s">
        <v>1069</v>
      </c>
      <c r="N267" s="1" t="s">
        <v>1070</v>
      </c>
      <c r="O267" s="3">
        <v>43860.649351851855</v>
      </c>
      <c r="P267" s="3">
        <v>43860.670289351852</v>
      </c>
      <c r="Q267" s="1" t="s">
        <v>1696</v>
      </c>
      <c r="R267" s="1" t="s">
        <v>1697</v>
      </c>
      <c r="S267" s="7">
        <f>622-8198020122</f>
        <v>-8198019500</v>
      </c>
      <c r="T267" s="1" t="s">
        <v>1698</v>
      </c>
      <c r="U267" s="1" t="s">
        <v>1699</v>
      </c>
      <c r="V267" s="4">
        <v>112662256</v>
      </c>
      <c r="W267" s="4">
        <v>-7245061</v>
      </c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 t="s">
        <v>143</v>
      </c>
      <c r="AI267" s="5">
        <v>43861</v>
      </c>
      <c r="AJ267" s="1" t="s">
        <v>144</v>
      </c>
      <c r="AK267" s="3">
        <v>43860.658645833333</v>
      </c>
      <c r="AL267" s="1" t="s">
        <v>701</v>
      </c>
      <c r="AM267" s="1"/>
      <c r="AN267" s="1" t="s">
        <v>88</v>
      </c>
    </row>
    <row r="268" spans="1:40">
      <c r="A268" s="1">
        <v>267</v>
      </c>
      <c r="B268" s="1">
        <v>5</v>
      </c>
      <c r="C268" s="1" t="s">
        <v>40</v>
      </c>
      <c r="D268" s="1" t="s">
        <v>40</v>
      </c>
      <c r="E268" s="1" t="s">
        <v>41</v>
      </c>
      <c r="F268" s="1">
        <v>501981074</v>
      </c>
      <c r="G268" s="1" t="s">
        <v>42</v>
      </c>
      <c r="H268" s="1" t="s">
        <v>77</v>
      </c>
      <c r="I268" s="1" t="s">
        <v>1700</v>
      </c>
      <c r="J268" s="1">
        <v>50971253</v>
      </c>
      <c r="K268" s="7">
        <v>3199247317</v>
      </c>
      <c r="L268" s="7">
        <v>152413204373</v>
      </c>
      <c r="M268" s="1" t="s">
        <v>1069</v>
      </c>
      <c r="N268" s="1" t="s">
        <v>1070</v>
      </c>
      <c r="O268" s="3">
        <v>43860.650254629632</v>
      </c>
      <c r="P268" s="3">
        <v>43860.682488425926</v>
      </c>
      <c r="Q268" s="1" t="s">
        <v>1701</v>
      </c>
      <c r="R268" s="1" t="s">
        <v>1668</v>
      </c>
      <c r="S268" s="7">
        <f>622-8193978000501</f>
        <v>-8193977999879</v>
      </c>
      <c r="T268" s="1" t="s">
        <v>1702</v>
      </c>
      <c r="U268" s="1" t="s">
        <v>1703</v>
      </c>
      <c r="V268" s="4">
        <v>1127446544227120</v>
      </c>
      <c r="W268" s="4">
        <v>-724819317894161</v>
      </c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 t="s">
        <v>143</v>
      </c>
      <c r="AI268" s="5">
        <v>43861</v>
      </c>
      <c r="AJ268" s="1" t="s">
        <v>144</v>
      </c>
      <c r="AK268" s="3">
        <v>43860.658645833333</v>
      </c>
      <c r="AL268" s="1" t="s">
        <v>293</v>
      </c>
      <c r="AM268" s="1"/>
      <c r="AN268" s="1" t="s">
        <v>88</v>
      </c>
    </row>
    <row r="269" spans="1:40">
      <c r="A269" s="1">
        <v>268</v>
      </c>
      <c r="B269" s="1">
        <v>5</v>
      </c>
      <c r="C269" s="1" t="s">
        <v>40</v>
      </c>
      <c r="D269" s="1" t="s">
        <v>40</v>
      </c>
      <c r="E269" s="1" t="s">
        <v>250</v>
      </c>
      <c r="F269" s="1">
        <v>501981091</v>
      </c>
      <c r="G269" s="1" t="s">
        <v>42</v>
      </c>
      <c r="H269" s="1" t="s">
        <v>77</v>
      </c>
      <c r="I269" s="1" t="s">
        <v>1704</v>
      </c>
      <c r="J269" s="1">
        <v>50970748</v>
      </c>
      <c r="K269" s="7">
        <v>3199025041</v>
      </c>
      <c r="L269" s="7">
        <v>152418211064</v>
      </c>
      <c r="M269" s="1" t="s">
        <v>1069</v>
      </c>
      <c r="N269" s="1" t="s">
        <v>1070</v>
      </c>
      <c r="O269" s="3">
        <v>43860.650497685187</v>
      </c>
      <c r="P269" s="3">
        <v>43860.676134259258</v>
      </c>
      <c r="Q269" s="1" t="s">
        <v>1705</v>
      </c>
      <c r="R269" s="1" t="s">
        <v>1706</v>
      </c>
      <c r="S269" s="7">
        <f>622-81230117022</f>
        <v>-81230116400</v>
      </c>
      <c r="T269" s="1" t="s">
        <v>1707</v>
      </c>
      <c r="U269" s="1" t="s">
        <v>1708</v>
      </c>
      <c r="V269" s="4">
        <v>11268843156</v>
      </c>
      <c r="W269" s="4">
        <v>-7259596849</v>
      </c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 t="s">
        <v>143</v>
      </c>
      <c r="AI269" s="5">
        <v>43861</v>
      </c>
      <c r="AJ269" s="1" t="s">
        <v>144</v>
      </c>
      <c r="AK269" s="3">
        <v>43860.658645833333</v>
      </c>
      <c r="AL269" s="1" t="s">
        <v>97</v>
      </c>
      <c r="AM269" s="1"/>
      <c r="AN269" s="1" t="s">
        <v>88</v>
      </c>
    </row>
    <row r="270" spans="1:40">
      <c r="A270" s="1">
        <v>269</v>
      </c>
      <c r="B270" s="1">
        <v>5</v>
      </c>
      <c r="C270" s="1" t="s">
        <v>40</v>
      </c>
      <c r="D270" s="1" t="s">
        <v>40</v>
      </c>
      <c r="E270" s="1" t="s">
        <v>208</v>
      </c>
      <c r="F270" s="1">
        <v>501981201</v>
      </c>
      <c r="G270" s="1" t="s">
        <v>42</v>
      </c>
      <c r="H270" s="1" t="s">
        <v>77</v>
      </c>
      <c r="I270" s="1" t="s">
        <v>1709</v>
      </c>
      <c r="J270" s="1">
        <v>50966153</v>
      </c>
      <c r="K270" s="7">
        <v>3199929438</v>
      </c>
      <c r="L270" s="7">
        <v>152407256140</v>
      </c>
      <c r="M270" s="1" t="s">
        <v>725</v>
      </c>
      <c r="N270" s="1" t="s">
        <v>1710</v>
      </c>
      <c r="O270" s="3">
        <v>43860.652175925927</v>
      </c>
      <c r="P270" s="3">
        <v>43860.681145833332</v>
      </c>
      <c r="Q270" s="1" t="s">
        <v>1711</v>
      </c>
      <c r="R270" s="1" t="s">
        <v>1712</v>
      </c>
      <c r="S270" s="7">
        <f>622-822311109064</f>
        <v>-822311108442</v>
      </c>
      <c r="T270" s="1" t="s">
        <v>1713</v>
      </c>
      <c r="U270" s="1" t="s">
        <v>1714</v>
      </c>
      <c r="V270" s="4">
        <v>11277137696</v>
      </c>
      <c r="W270" s="4">
        <v>-7252968123</v>
      </c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 t="s">
        <v>143</v>
      </c>
      <c r="AI270" s="5">
        <v>43861</v>
      </c>
      <c r="AJ270" s="1" t="s">
        <v>144</v>
      </c>
      <c r="AK270" s="3">
        <v>43860.658645833333</v>
      </c>
      <c r="AL270" s="1" t="s">
        <v>701</v>
      </c>
      <c r="AM270" s="1"/>
      <c r="AN270" s="1" t="s">
        <v>88</v>
      </c>
    </row>
    <row r="271" spans="1:40">
      <c r="A271" s="1">
        <v>270</v>
      </c>
      <c r="B271" s="1">
        <v>5</v>
      </c>
      <c r="C271" s="1" t="s">
        <v>40</v>
      </c>
      <c r="D271" s="1" t="s">
        <v>40</v>
      </c>
      <c r="E271" s="1" t="s">
        <v>376</v>
      </c>
      <c r="F271" s="1">
        <v>501981233</v>
      </c>
      <c r="G271" s="1" t="s">
        <v>42</v>
      </c>
      <c r="H271" s="1" t="s">
        <v>77</v>
      </c>
      <c r="I271" s="1" t="s">
        <v>1715</v>
      </c>
      <c r="J271" s="1">
        <v>50970694</v>
      </c>
      <c r="K271" s="7">
        <v>3199429855</v>
      </c>
      <c r="L271" s="7">
        <v>152424246097</v>
      </c>
      <c r="M271" s="1" t="s">
        <v>1069</v>
      </c>
      <c r="N271" s="1" t="s">
        <v>1070</v>
      </c>
      <c r="O271" s="3">
        <v>43860.652800925927</v>
      </c>
      <c r="P271" s="3">
        <v>43860.673437500001</v>
      </c>
      <c r="Q271" s="1" t="s">
        <v>1716</v>
      </c>
      <c r="R271" s="1" t="s">
        <v>1717</v>
      </c>
      <c r="S271" s="7">
        <f>622-81353155610</f>
        <v>-81353154988</v>
      </c>
      <c r="T271" s="1" t="s">
        <v>1718</v>
      </c>
      <c r="U271" s="1" t="s">
        <v>1719</v>
      </c>
      <c r="V271" s="4">
        <v>1.12677340307396E+16</v>
      </c>
      <c r="W271" s="4">
        <v>-7.3124037472496896E+16</v>
      </c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 t="s">
        <v>143</v>
      </c>
      <c r="AI271" s="5">
        <v>43861</v>
      </c>
      <c r="AJ271" s="1" t="s">
        <v>144</v>
      </c>
      <c r="AK271" s="3">
        <v>43860.658645833333</v>
      </c>
      <c r="AL271" s="1" t="s">
        <v>293</v>
      </c>
      <c r="AM271" s="1"/>
      <c r="AN271" s="1" t="s">
        <v>88</v>
      </c>
    </row>
    <row r="272" spans="1:40">
      <c r="A272" s="1">
        <v>271</v>
      </c>
      <c r="B272" s="1">
        <v>5</v>
      </c>
      <c r="C272" s="1" t="s">
        <v>40</v>
      </c>
      <c r="D272" s="1" t="s">
        <v>40</v>
      </c>
      <c r="E272" s="1" t="s">
        <v>376</v>
      </c>
      <c r="F272" s="1">
        <v>501981420</v>
      </c>
      <c r="G272" s="1" t="s">
        <v>42</v>
      </c>
      <c r="H272" s="1" t="s">
        <v>77</v>
      </c>
      <c r="I272" s="1" t="s">
        <v>1209</v>
      </c>
      <c r="J272" s="1">
        <v>50957918</v>
      </c>
      <c r="K272" s="7">
        <v>3199429492</v>
      </c>
      <c r="L272" s="7">
        <v>152424241763</v>
      </c>
      <c r="M272" s="1" t="s">
        <v>1293</v>
      </c>
      <c r="N272" s="1" t="s">
        <v>1294</v>
      </c>
      <c r="O272" s="3">
        <v>43860.655810185184</v>
      </c>
      <c r="P272" s="3">
        <v>43860.676990740743</v>
      </c>
      <c r="Q272" s="1" t="s">
        <v>1720</v>
      </c>
      <c r="R272" s="1" t="s">
        <v>1721</v>
      </c>
      <c r="S272" s="7">
        <f>622-85100273135</f>
        <v>-85100272513</v>
      </c>
      <c r="T272" s="1" t="s">
        <v>1722</v>
      </c>
      <c r="U272" s="1" t="s">
        <v>1723</v>
      </c>
      <c r="V272" s="4">
        <v>1.12677340307396E+16</v>
      </c>
      <c r="W272" s="4">
        <v>-7.3124037472496896E+16</v>
      </c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 t="s">
        <v>143</v>
      </c>
      <c r="AI272" s="5">
        <v>43861</v>
      </c>
      <c r="AJ272" s="1" t="s">
        <v>144</v>
      </c>
      <c r="AK272" s="3">
        <v>43860.669236111113</v>
      </c>
      <c r="AL272" s="1" t="s">
        <v>701</v>
      </c>
      <c r="AM272" s="1"/>
      <c r="AN272" s="1" t="s">
        <v>88</v>
      </c>
    </row>
    <row r="273" spans="1:40">
      <c r="A273" s="1">
        <v>272</v>
      </c>
      <c r="B273" s="1">
        <v>5</v>
      </c>
      <c r="C273" s="1" t="s">
        <v>40</v>
      </c>
      <c r="D273" s="1" t="s">
        <v>40</v>
      </c>
      <c r="E273" s="1" t="s">
        <v>41</v>
      </c>
      <c r="F273" s="1">
        <v>501981808</v>
      </c>
      <c r="G273" s="1" t="s">
        <v>42</v>
      </c>
      <c r="H273" s="1" t="s">
        <v>77</v>
      </c>
      <c r="I273" s="1" t="s">
        <v>1724</v>
      </c>
      <c r="J273" s="1">
        <v>50958018</v>
      </c>
      <c r="K273" s="7"/>
      <c r="L273" s="7">
        <v>152413203239</v>
      </c>
      <c r="M273" s="1" t="s">
        <v>885</v>
      </c>
      <c r="N273" s="1" t="s">
        <v>886</v>
      </c>
      <c r="O273" s="3">
        <v>43860.662858796299</v>
      </c>
      <c r="P273" s="3">
        <v>43860.664178240739</v>
      </c>
      <c r="Q273" s="1" t="s">
        <v>1725</v>
      </c>
      <c r="R273" s="1" t="s">
        <v>1726</v>
      </c>
      <c r="S273" s="7">
        <f>622-82288646568</f>
        <v>-82288645946</v>
      </c>
      <c r="T273" s="1" t="s">
        <v>1727</v>
      </c>
      <c r="U273" s="1" t="s">
        <v>1728</v>
      </c>
      <c r="V273" s="4">
        <v>1127181885010660</v>
      </c>
      <c r="W273" s="4">
        <v>-7245598934883850</v>
      </c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 t="s">
        <v>143</v>
      </c>
      <c r="AI273" s="5">
        <v>43861</v>
      </c>
      <c r="AJ273" s="1" t="s">
        <v>144</v>
      </c>
      <c r="AK273" s="3">
        <v>43860.669236111113</v>
      </c>
      <c r="AL273" s="1" t="s">
        <v>413</v>
      </c>
      <c r="AM273" s="1"/>
      <c r="AN273" s="1" t="s">
        <v>88</v>
      </c>
    </row>
    <row r="274" spans="1:40">
      <c r="A274" s="1">
        <v>273</v>
      </c>
      <c r="B274" s="1">
        <v>5</v>
      </c>
      <c r="C274" s="1" t="s">
        <v>40</v>
      </c>
      <c r="D274" s="1" t="s">
        <v>40</v>
      </c>
      <c r="E274" s="1" t="s">
        <v>118</v>
      </c>
      <c r="F274" s="1">
        <v>501981869</v>
      </c>
      <c r="G274" s="1" t="s">
        <v>42</v>
      </c>
      <c r="H274" s="1" t="s">
        <v>77</v>
      </c>
      <c r="I274" s="1" t="s">
        <v>1729</v>
      </c>
      <c r="J274" s="1">
        <v>50960106</v>
      </c>
      <c r="K274" s="7">
        <v>3137395920</v>
      </c>
      <c r="L274" s="7">
        <v>152404279705</v>
      </c>
      <c r="M274" s="1" t="s">
        <v>885</v>
      </c>
      <c r="N274" s="1" t="s">
        <v>886</v>
      </c>
      <c r="O274" s="3">
        <v>43860.663877314815</v>
      </c>
      <c r="P274" s="3">
        <v>43860.66511574074</v>
      </c>
      <c r="Q274" s="1" t="s">
        <v>1730</v>
      </c>
      <c r="R274" s="1" t="s">
        <v>1731</v>
      </c>
      <c r="S274" s="7">
        <f>622-87754621541</f>
        <v>-87754620919</v>
      </c>
      <c r="T274" s="1" t="s">
        <v>1732</v>
      </c>
      <c r="U274" s="1" t="s">
        <v>1733</v>
      </c>
      <c r="V274" s="4">
        <v>1127576</v>
      </c>
      <c r="W274" s="4">
        <v>-72485</v>
      </c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 t="s">
        <v>143</v>
      </c>
      <c r="AI274" s="5">
        <v>43860</v>
      </c>
      <c r="AJ274" s="1" t="s">
        <v>144</v>
      </c>
      <c r="AK274" s="3">
        <v>43860.669236111113</v>
      </c>
      <c r="AL274" s="1" t="s">
        <v>701</v>
      </c>
      <c r="AM274" s="1"/>
      <c r="AN274" s="1" t="s">
        <v>88</v>
      </c>
    </row>
    <row r="275" spans="1:40">
      <c r="A275" s="1">
        <v>274</v>
      </c>
      <c r="B275" s="1">
        <v>5</v>
      </c>
      <c r="C275" s="1" t="s">
        <v>40</v>
      </c>
      <c r="D275" s="1" t="s">
        <v>283</v>
      </c>
      <c r="E275" s="1" t="s">
        <v>806</v>
      </c>
      <c r="F275" s="1">
        <v>501981946</v>
      </c>
      <c r="G275" s="1" t="s">
        <v>42</v>
      </c>
      <c r="H275" s="1" t="s">
        <v>77</v>
      </c>
      <c r="I275" s="1" t="s">
        <v>1734</v>
      </c>
      <c r="J275" s="1">
        <v>50968855</v>
      </c>
      <c r="K275" s="7">
        <v>3223103649</v>
      </c>
      <c r="L275" s="7">
        <v>152433201681</v>
      </c>
      <c r="M275" s="1" t="s">
        <v>1069</v>
      </c>
      <c r="N275" s="1" t="s">
        <v>1070</v>
      </c>
      <c r="O275" s="3">
        <v>43860.665486111109</v>
      </c>
      <c r="P275" s="3">
        <v>43860.676574074074</v>
      </c>
      <c r="Q275" s="1" t="s">
        <v>1735</v>
      </c>
      <c r="R275" s="1" t="s">
        <v>1736</v>
      </c>
      <c r="S275" s="7">
        <f>622-83111881224</f>
        <v>-83111880602</v>
      </c>
      <c r="T275" s="1" t="s">
        <v>1737</v>
      </c>
      <c r="U275" s="1" t="s">
        <v>1738</v>
      </c>
      <c r="V275" s="4">
        <v>112355830419912</v>
      </c>
      <c r="W275" s="4">
        <v>-7275937955033150</v>
      </c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 t="s">
        <v>143</v>
      </c>
      <c r="AI275" s="5">
        <v>43861</v>
      </c>
      <c r="AJ275" s="1" t="s">
        <v>144</v>
      </c>
      <c r="AK275" s="3">
        <v>43860.669236111113</v>
      </c>
      <c r="AL275" s="1" t="s">
        <v>611</v>
      </c>
      <c r="AM275" s="1"/>
      <c r="AN275" s="1" t="s">
        <v>88</v>
      </c>
    </row>
    <row r="276" spans="1:40">
      <c r="A276" s="1">
        <v>275</v>
      </c>
      <c r="B276" s="1">
        <v>5</v>
      </c>
      <c r="C276" s="1" t="s">
        <v>40</v>
      </c>
      <c r="D276" s="1" t="s">
        <v>152</v>
      </c>
      <c r="E276" s="1" t="s">
        <v>200</v>
      </c>
      <c r="F276" s="1">
        <v>501982143</v>
      </c>
      <c r="G276" s="1" t="s">
        <v>42</v>
      </c>
      <c r="H276" s="1" t="s">
        <v>77</v>
      </c>
      <c r="I276" s="1" t="s">
        <v>1739</v>
      </c>
      <c r="J276" s="1">
        <v>50971497</v>
      </c>
      <c r="K276" s="7">
        <v>3139927094</v>
      </c>
      <c r="L276" s="7">
        <v>152412200136</v>
      </c>
      <c r="M276" s="1" t="s">
        <v>885</v>
      </c>
      <c r="N276" s="1" t="s">
        <v>886</v>
      </c>
      <c r="O276" s="3">
        <v>43860.669490740744</v>
      </c>
      <c r="P276" s="3">
        <v>43860.670219907406</v>
      </c>
      <c r="Q276" s="1" t="s">
        <v>1740</v>
      </c>
      <c r="R276" s="1" t="s">
        <v>1741</v>
      </c>
      <c r="S276" s="7">
        <f>622-81330312899</f>
        <v>-81330312277</v>
      </c>
      <c r="T276" s="1" t="s">
        <v>1742</v>
      </c>
      <c r="U276" s="1" t="s">
        <v>1743</v>
      </c>
      <c r="V276" s="4">
        <v>11264528314</v>
      </c>
      <c r="W276" s="4">
        <v>-7159768568</v>
      </c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5">
        <v>43861</v>
      </c>
      <c r="AJ276" s="1" t="s">
        <v>144</v>
      </c>
      <c r="AK276" s="3">
        <v>43860.690451388888</v>
      </c>
      <c r="AL276" s="1" t="s">
        <v>97</v>
      </c>
      <c r="AM276" s="1"/>
      <c r="AN276" s="1" t="s">
        <v>88</v>
      </c>
    </row>
    <row r="277" spans="1:40">
      <c r="A277" s="1">
        <v>276</v>
      </c>
      <c r="B277" s="1">
        <v>5</v>
      </c>
      <c r="C277" s="1" t="s">
        <v>40</v>
      </c>
      <c r="D277" s="1" t="s">
        <v>152</v>
      </c>
      <c r="E277" s="1" t="s">
        <v>200</v>
      </c>
      <c r="F277" s="1">
        <v>501982315</v>
      </c>
      <c r="G277" s="1" t="s">
        <v>42</v>
      </c>
      <c r="H277" s="1" t="s">
        <v>77</v>
      </c>
      <c r="I277" s="1" t="s">
        <v>1739</v>
      </c>
      <c r="J277" s="1">
        <v>50971750</v>
      </c>
      <c r="K277" s="7">
        <v>3139921369</v>
      </c>
      <c r="L277" s="7">
        <v>152412202234</v>
      </c>
      <c r="M277" s="1" t="s">
        <v>885</v>
      </c>
      <c r="N277" s="1" t="s">
        <v>886</v>
      </c>
      <c r="O277" s="3">
        <v>43860.672696759262</v>
      </c>
      <c r="P277" s="3">
        <v>43860.673726851855</v>
      </c>
      <c r="Q277" s="1" t="s">
        <v>1744</v>
      </c>
      <c r="R277" s="1" t="s">
        <v>1745</v>
      </c>
      <c r="S277" s="7">
        <f>622-81318004834</f>
        <v>-81318004212</v>
      </c>
      <c r="T277" s="1" t="s">
        <v>1742</v>
      </c>
      <c r="U277" s="1" t="s">
        <v>1746</v>
      </c>
      <c r="V277" s="4">
        <v>11264528314</v>
      </c>
      <c r="W277" s="4">
        <v>-7159768568</v>
      </c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5">
        <v>43861</v>
      </c>
      <c r="AJ277" s="1" t="s">
        <v>144</v>
      </c>
      <c r="AK277" s="3">
        <v>43860.690451388888</v>
      </c>
      <c r="AL277" s="1" t="s">
        <v>293</v>
      </c>
      <c r="AM277" s="1"/>
      <c r="AN277" s="1" t="s">
        <v>88</v>
      </c>
    </row>
    <row r="278" spans="1:40">
      <c r="A278" s="1">
        <v>277</v>
      </c>
      <c r="B278" s="1">
        <v>5</v>
      </c>
      <c r="C278" s="1" t="s">
        <v>40</v>
      </c>
      <c r="D278" s="1" t="s">
        <v>283</v>
      </c>
      <c r="E278" s="1" t="s">
        <v>806</v>
      </c>
      <c r="F278" s="1">
        <v>501982410</v>
      </c>
      <c r="G278" s="1" t="s">
        <v>42</v>
      </c>
      <c r="H278" s="1" t="s">
        <v>77</v>
      </c>
      <c r="I278" s="1" t="s">
        <v>1747</v>
      </c>
      <c r="J278" s="1">
        <v>50956028</v>
      </c>
      <c r="K278" s="7">
        <v>3223103458</v>
      </c>
      <c r="L278" s="7">
        <v>152433208939</v>
      </c>
      <c r="M278" s="1" t="s">
        <v>1069</v>
      </c>
      <c r="N278" s="1" t="s">
        <v>1070</v>
      </c>
      <c r="O278" s="3">
        <v>43860.674513888887</v>
      </c>
      <c r="P278" s="3">
        <v>43860.687291666669</v>
      </c>
      <c r="Q278" s="1" t="s">
        <v>1748</v>
      </c>
      <c r="R278" s="1" t="s">
        <v>1749</v>
      </c>
      <c r="S278" s="7">
        <f>622-85648845936</f>
        <v>-85648845314</v>
      </c>
      <c r="T278" s="1" t="s">
        <v>1750</v>
      </c>
      <c r="U278" s="1" t="s">
        <v>1751</v>
      </c>
      <c r="V278" s="4">
        <v>112351491</v>
      </c>
      <c r="W278" s="4">
        <v>-7183747</v>
      </c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5">
        <v>43860</v>
      </c>
      <c r="AJ278" s="1" t="s">
        <v>144</v>
      </c>
      <c r="AK278" s="3">
        <v>43860.690451388888</v>
      </c>
      <c r="AL278" s="1" t="s">
        <v>293</v>
      </c>
      <c r="AM278" s="1"/>
      <c r="AN278" s="1" t="s">
        <v>88</v>
      </c>
    </row>
    <row r="279" spans="1:40">
      <c r="A279" s="1">
        <v>278</v>
      </c>
      <c r="B279" s="1">
        <v>5</v>
      </c>
      <c r="C279" s="1" t="s">
        <v>40</v>
      </c>
      <c r="D279" s="1" t="s">
        <v>40</v>
      </c>
      <c r="E279" s="1" t="s">
        <v>118</v>
      </c>
      <c r="F279" s="1">
        <v>501982420</v>
      </c>
      <c r="G279" s="1" t="s">
        <v>42</v>
      </c>
      <c r="H279" s="1" t="s">
        <v>77</v>
      </c>
      <c r="I279" s="1" t="s">
        <v>1752</v>
      </c>
      <c r="J279" s="1">
        <v>50910493</v>
      </c>
      <c r="K279" s="7">
        <v>3137306021</v>
      </c>
      <c r="L279" s="7">
        <v>152404271437</v>
      </c>
      <c r="M279" s="1" t="s">
        <v>885</v>
      </c>
      <c r="N279" s="1" t="s">
        <v>886</v>
      </c>
      <c r="O279" s="3">
        <v>43860.674942129626</v>
      </c>
      <c r="P279" s="3">
        <v>43860.676261574074</v>
      </c>
      <c r="Q279" s="1" t="s">
        <v>1753</v>
      </c>
      <c r="R279" s="1" t="s">
        <v>1754</v>
      </c>
      <c r="S279" s="7">
        <f>622-83831394311</f>
        <v>-83831393689</v>
      </c>
      <c r="T279" s="1" t="s">
        <v>1755</v>
      </c>
      <c r="U279" s="1" t="s">
        <v>1756</v>
      </c>
      <c r="V279" s="4">
        <v>1127504</v>
      </c>
      <c r="W279" s="4">
        <v>-7238</v>
      </c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5">
        <v>43859</v>
      </c>
      <c r="AJ279" s="1" t="s">
        <v>144</v>
      </c>
      <c r="AK279" s="3">
        <v>43860.690451388888</v>
      </c>
      <c r="AL279" s="1" t="s">
        <v>701</v>
      </c>
      <c r="AM279" s="1"/>
      <c r="AN279" s="1" t="s">
        <v>88</v>
      </c>
    </row>
    <row r="280" spans="1:40">
      <c r="A280" s="1">
        <v>279</v>
      </c>
      <c r="B280" s="1">
        <v>5</v>
      </c>
      <c r="C280" s="1" t="s">
        <v>40</v>
      </c>
      <c r="D280" s="1" t="s">
        <v>40</v>
      </c>
      <c r="E280" s="1" t="s">
        <v>76</v>
      </c>
      <c r="F280" s="1">
        <v>501982656</v>
      </c>
      <c r="G280" s="1" t="s">
        <v>42</v>
      </c>
      <c r="H280" s="1" t="s">
        <v>56</v>
      </c>
      <c r="I280" s="1" t="s">
        <v>1757</v>
      </c>
      <c r="J280" s="1">
        <v>16095001</v>
      </c>
      <c r="K280" s="7"/>
      <c r="L280" s="7">
        <v>152409256517</v>
      </c>
      <c r="M280" s="1" t="s">
        <v>885</v>
      </c>
      <c r="N280" s="1" t="s">
        <v>886</v>
      </c>
      <c r="O280" s="3">
        <v>43860.678935185184</v>
      </c>
      <c r="P280" s="3">
        <v>43860.680219907408</v>
      </c>
      <c r="Q280" s="1" t="s">
        <v>1758</v>
      </c>
      <c r="R280" s="1" t="s">
        <v>347</v>
      </c>
      <c r="S280" s="7">
        <f>62-8994945151</f>
        <v>-8994945089</v>
      </c>
      <c r="T280" s="1" t="s">
        <v>1759</v>
      </c>
      <c r="U280" s="1" t="s">
        <v>1760</v>
      </c>
      <c r="V280" s="4">
        <v>1126761295190490</v>
      </c>
      <c r="W280" s="4">
        <v>-728823779665333</v>
      </c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5">
        <v>43860</v>
      </c>
      <c r="AJ280" s="1" t="s">
        <v>144</v>
      </c>
      <c r="AK280" s="3">
        <v>43860.690451388888</v>
      </c>
      <c r="AL280" s="1" t="s">
        <v>1761</v>
      </c>
      <c r="AM280" s="1"/>
      <c r="AN280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840096</dc:creator>
  <cp:lastModifiedBy>840096</cp:lastModifiedBy>
  <dcterms:created xsi:type="dcterms:W3CDTF">2020-01-30T10:08:01Z</dcterms:created>
  <dcterms:modified xsi:type="dcterms:W3CDTF">2020-01-30T10:19:22Z</dcterms:modified>
</cp:coreProperties>
</file>