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3. -A02SNQQ (F2)- ALABAMA\IQC1\"/>
    </mc:Choice>
  </mc:AlternateContent>
  <xr:revisionPtr revIDLastSave="0" documentId="13_ncr:1_{67DCAC59-BBEE-49AD-94FC-68A0C7EA51AF}" xr6:coauthVersionLast="47" xr6:coauthVersionMax="47" xr10:uidLastSave="{00000000-0000-0000-0000-000000000000}"/>
  <workbookProtection workbookAlgorithmName="SHA-512" workbookHashValue="IB0M7+O8SVDfAzc7hw7mxv712bgTjOQNvM9I8xkCGLxLqu9NlNmcxnHvNO6lf7FE0BEkRrFNz35w8TJkqmfvJQ==" workbookSaltValue="j4Qv/+iDrkw6jdBFFDwgYg==" workbookSpinCount="100000" lockStructure="1"/>
  <bookViews>
    <workbookView xWindow="-28920" yWindow="2715" windowWidth="29040" windowHeight="15840" tabRatio="769"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66" i="29"/>
  <c r="J1065" i="29"/>
  <c r="J1064" i="29"/>
  <c r="J1063" i="29"/>
  <c r="J1062" i="29"/>
  <c r="J1061" i="29"/>
  <c r="J1060" i="29"/>
  <c r="J1059" i="29"/>
  <c r="J1058" i="29"/>
  <c r="J1057" i="29"/>
  <c r="J1056" i="29"/>
  <c r="J1055" i="29"/>
  <c r="J1054" i="29"/>
  <c r="J1053" i="29"/>
  <c r="J1052" i="29"/>
  <c r="J1025" i="29"/>
  <c r="J1024" i="29"/>
  <c r="J1023" i="29"/>
  <c r="J1022" i="29"/>
  <c r="J1021" i="29"/>
  <c r="J1020" i="29"/>
  <c r="J1019" i="29"/>
  <c r="J1018" i="29"/>
  <c r="J1017" i="29"/>
  <c r="J1016" i="29"/>
  <c r="J1015" i="29"/>
  <c r="J1014" i="29"/>
  <c r="J1013" i="29"/>
  <c r="J1012" i="29"/>
  <c r="J1011" i="29"/>
  <c r="J1010" i="29"/>
  <c r="J1009" i="29"/>
  <c r="J1008"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720" i="29"/>
  <c r="J719" i="29"/>
  <c r="J718"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5" i="29"/>
  <c r="J656" i="29"/>
  <c r="J655" i="29"/>
  <c r="J654" i="29"/>
  <c r="J653" i="29"/>
  <c r="J652" i="29"/>
  <c r="J651" i="29"/>
  <c r="J650" i="29"/>
  <c r="J649" i="29"/>
  <c r="J648" i="29"/>
  <c r="J647" i="29"/>
  <c r="J646" i="29"/>
  <c r="J645" i="29"/>
  <c r="J644" i="29"/>
  <c r="J643" i="29"/>
  <c r="J642" i="29"/>
  <c r="J641" i="29"/>
  <c r="J640" i="29"/>
  <c r="J639" i="29"/>
  <c r="J638" i="29"/>
  <c r="J637"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X1032" i="29"/>
  <c r="W1032" i="29"/>
  <c r="R1032" i="29"/>
  <c r="L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Z982" i="29" l="1"/>
  <c r="I1074" i="29"/>
  <c r="AA1148" i="29"/>
  <c r="Z940" i="29"/>
  <c r="Z1055" i="29"/>
  <c r="AA981" i="29"/>
  <c r="Z735" i="29"/>
  <c r="AA897" i="29"/>
  <c r="Z899" i="29"/>
  <c r="I746" i="29"/>
  <c r="I623" i="29"/>
  <c r="AA894" i="29"/>
  <c r="I787" i="29"/>
  <c r="AA810" i="29"/>
  <c r="AA609" i="29"/>
  <c r="M464" i="29"/>
  <c r="I463" i="29"/>
  <c r="AK471"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V543" i="29"/>
  <c r="Z565" i="29"/>
  <c r="Z570" i="29"/>
  <c r="Z573" i="29"/>
  <c r="AC575" i="29"/>
  <c r="M546" i="29"/>
  <c r="Z567" i="29"/>
  <c r="J547" i="29"/>
  <c r="N543" i="29"/>
  <c r="M547" i="29" a="1"/>
  <c r="M547" i="29" s="1"/>
  <c r="O543" i="29"/>
  <c r="AB515" i="29"/>
  <c r="W522" i="29"/>
  <c r="AA525" i="29" s="1"/>
  <c r="Z522" i="29"/>
  <c r="V50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DF3" i="34" l="1"/>
  <c r="DE3" i="34" s="1"/>
  <c r="L870" i="29" s="1"/>
  <c r="CQ3" i="34"/>
  <c r="CP3" i="34" s="1"/>
  <c r="CP2" i="34" s="1"/>
  <c r="BH3" i="34"/>
  <c r="BG3" i="34" s="1"/>
  <c r="BG2" i="34" s="1"/>
  <c r="EJ5" i="34"/>
  <c r="EE3" i="34"/>
  <c r="DZ3" i="34"/>
  <c r="DY3" i="34" s="1"/>
  <c r="L1034" i="29" s="1"/>
  <c r="DU3" i="34"/>
  <c r="DP3" i="34"/>
  <c r="DO3" i="34" s="1"/>
  <c r="DO2" i="34" s="1"/>
  <c r="DP5" i="34"/>
  <c r="CV5" i="34"/>
  <c r="CV3" i="34"/>
  <c r="CL3" i="34"/>
  <c r="CK3" i="34" s="1"/>
  <c r="CK2" i="34" s="1"/>
  <c r="CB3" i="34"/>
  <c r="BW3" i="34"/>
  <c r="BV3" i="34" s="1"/>
  <c r="BV2" i="34" s="1"/>
  <c r="BR3" i="34"/>
  <c r="BQ3" i="34" s="1"/>
  <c r="L542" i="29" s="1"/>
  <c r="BM3" i="34"/>
  <c r="AS3"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AX3" i="34"/>
  <c r="FC3" i="34"/>
  <c r="FC2" i="34" s="1"/>
  <c r="EN3" i="34"/>
  <c r="L1157" i="29" s="1"/>
  <c r="CZ3" i="34"/>
  <c r="CZ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DU5" i="34"/>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DT3" i="34" l="1"/>
  <c r="DT2" i="34" s="1"/>
  <c r="ED3" i="34"/>
  <c r="ED2" i="34" s="1"/>
  <c r="L952" i="29"/>
  <c r="CU3" i="34"/>
  <c r="L788" i="29" s="1"/>
  <c r="CA3" i="34"/>
  <c r="L624" i="29" s="1"/>
  <c r="BL3" i="34"/>
  <c r="L501" i="29" s="1"/>
  <c r="AR3" i="34"/>
  <c r="IO2" i="34"/>
  <c r="L2018" i="29"/>
  <c r="AW3" i="34"/>
  <c r="L378" i="29" s="1"/>
  <c r="L1321" i="29"/>
  <c r="L1280" i="29"/>
  <c r="EN2" i="34"/>
  <c r="DY2" i="34"/>
  <c r="DE2" i="34"/>
  <c r="L829" i="29"/>
  <c r="L747" i="29"/>
  <c r="L706" i="29"/>
  <c r="L583" i="29"/>
  <c r="BQ2" i="34"/>
  <c r="N3" i="34"/>
  <c r="L91" i="29" s="1"/>
  <c r="L1403" i="29"/>
  <c r="FW2" i="34"/>
  <c r="L1444" i="29"/>
  <c r="L1239" i="29"/>
  <c r="ES2" i="34"/>
  <c r="L1116" i="29"/>
  <c r="L911" i="29"/>
  <c r="L665" i="29"/>
  <c r="L460" i="29"/>
  <c r="BB3" i="34"/>
  <c r="BB2" i="34" s="1"/>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CU2" i="34" l="1"/>
  <c r="L993" i="29"/>
  <c r="L1075" i="29"/>
  <c r="CA2" i="34"/>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V953" i="29" s="1"/>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84" i="29" l="1"/>
  <c r="V297" i="29"/>
  <c r="V37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J1051" i="29" s="1"/>
  <c r="BA1049" i="29"/>
  <c r="J1050" i="29" s="1"/>
  <c r="BA1048" i="29"/>
  <c r="J1049" i="29" s="1"/>
  <c r="BA1047" i="29"/>
  <c r="J1048" i="29" s="1"/>
  <c r="BA1046" i="29"/>
  <c r="J1047" i="29" s="1"/>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J1007" i="29" s="1"/>
  <c r="BA1005" i="29"/>
  <c r="J1006" i="29" s="1"/>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J717" i="29" s="1"/>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J676" i="29" s="1"/>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3" i="29"/>
  <c r="AW583" i="29"/>
  <c r="AX582" i="29"/>
  <c r="AW582"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<sst xmlns="http://schemas.openxmlformats.org/spreadsheetml/2006/main" count="8076" uniqueCount="834">
  <si>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</si>
  <si>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</si>
  <si>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</si>
  <si>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</si>
  <si>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</si>
  <si>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</si>
  <si>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</si>
  <si>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</si>
  <si>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</si>
  <si>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</si>
  <si>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</si>
  <si>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</si>
  <si>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</si>
  <si>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</si>
  <si>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</si>
  <si>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</si>
  <si>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</si>
  <si>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</si>
  <si>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</si>
  <si>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</si>
  <si>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</si>
  <si>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</si>
  <si>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</si>
  <si>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</si>
  <si>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</si>
  <si>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</si>
  <si>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</si>
  <si>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</si>
  <si>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</si>
  <si>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</si>
  <si>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</si>
  <si>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</si>
  <si>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</si>
  <si>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</si>
  <si>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</si>
  <si>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</si>
  <si>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</si>
  <si>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</si>
  <si>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</si>
  <si>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</si>
  <si>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</si>
  <si>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</si>
  <si>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</si>
  <si>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</si>
  <si>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</si>
  <si>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</si>
  <si>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</si>
  <si>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</si>
  <si>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</si>
  <si>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</si>
  <si>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</si>
  <si>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</si>
  <si>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</si>
  <si>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</si>
  <si>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</si>
  <si>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</si>
  <si>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</si>
  <si>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</si>
  <si>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</si>
  <si>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</si>
  <si>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</si>
  <si>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</si>
  <si>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</si>
  <si>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</si>
  <si>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</si>
  <si>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</si>
  <si>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</si>
  <si>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</si>
  <si>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</si>
  <si>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</si>
  <si>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</si>
  <si>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</si>
  <si>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</si>
  <si>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</si>
  <si>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</si>
  <si>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</si>
  <si>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</si>
  <si>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</si>
  <si>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</si>
  <si>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</si>
  <si>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</si>
  <si>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</si>
  <si>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</si>
  <si>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</si>
  <si>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</si>
  <si>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</si>
  <si>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</si>
  <si>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</si>
  <si>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</si>
  <si>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</si>
  <si>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</si>
  <si>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</si>
  <si>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</si>
  <si>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</si>
  <si>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</si>
  <si>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</si>
  <si>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</si>
  <si>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</si>
  <si>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</si>
  <si>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</si>
  <si>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</si>
  <si>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</si>
  <si>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</si>
  <si>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</si>
  <si>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</si>
  <si>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</si>
  <si>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</si>
  <si>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</si>
  <si>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</si>
  <si>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</si>
  <si>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</si>
  <si>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</si>
  <si>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</si>
  <si>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</si>
  <si>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</si>
  <si>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</si>
  <si>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</si>
  <si>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</si>
  <si>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</si>
  <si>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</si>
  <si>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</si>
  <si>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</si>
  <si>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</si>
  <si>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</si>
  <si>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</si>
  <si>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</si>
  <si>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</si>
  <si>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</si>
  <si>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</si>
  <si>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</si>
  <si>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</si>
  <si>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</si>
  <si>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</si>
  <si>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</si>
  <si>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</si>
  <si>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</si>
  <si>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</si>
  <si>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</si>
  <si>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</si>
  <si>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</si>
  <si>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</si>
  <si>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</si>
  <si>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</si>
  <si>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</si>
  <si>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</si>
  <si>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</si>
  <si>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</si>
  <si>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</si>
  <si>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</si>
  <si>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</si>
  <si>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</si>
  <si>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</si>
  <si>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</si>
  <si>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</si>
  <si>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</si>
  <si>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</si>
  <si>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</si>
  <si>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</si>
  <si>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</si>
  <si>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</si>
  <si>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</si>
  <si>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</si>
  <si>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</si>
  <si>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</si>
  <si>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</si>
  <si>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</si>
  <si>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</si>
  <si>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</si>
  <si>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</si>
  <si>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</si>
  <si>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</si>
  <si>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</si>
  <si>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</si>
  <si>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</si>
  <si>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</si>
  <si>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</si>
  <si>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</si>
  <si>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</si>
  <si>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</si>
  <si>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</si>
  <si>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</si>
  <si>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</si>
  <si>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</si>
  <si>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</si>
  <si>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</si>
  <si>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</si>
  <si>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</si>
  <si>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</si>
  <si>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</si>
  <si>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</si>
  <si>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</si>
  <si>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</si>
  <si>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</si>
  <si>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</si>
  <si>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</si>
  <si>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</si>
  <si>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</si>
  <si>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</si>
  <si>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</si>
  <si>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</si>
  <si>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</si>
  <si>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</si>
  <si>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</si>
  <si>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</si>
  <si>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</si>
  <si>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</si>
  <si>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</si>
  <si>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</si>
  <si>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</si>
  <si>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</si>
  <si>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</si>
  <si>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</si>
  <si>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</si>
  <si>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</si>
  <si>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</si>
  <si>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</si>
  <si>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</si>
  <si>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</si>
  <si>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</si>
  <si>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</si>
  <si>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</si>
  <si>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</si>
  <si>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</si>
  <si>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</si>
  <si>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</si>
  <si>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</si>
  <si>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</si>
  <si>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</si>
  <si>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</si>
  <si>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</si>
  <si>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</si>
  <si>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</si>
  <si>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</si>
  <si>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</si>
  <si>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</si>
  <si>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</si>
  <si>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</si>
  <si>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</si>
  <si>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</si>
  <si>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</si>
  <si>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</si>
  <si>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</si>
  <si>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</si>
  <si>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</si>
  <si>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</si>
  <si>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</si>
  <si>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</si>
  <si>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</si>
  <si>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</si>
  <si>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</si>
  <si>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</si>
  <si>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</si>
  <si>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</si>
  <si>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</si>
  <si>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</si>
  <si>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</si>
  <si>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</si>
  <si>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</si>
  <si>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</si>
  <si>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</si>
  <si>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</si>
  <si>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</si>
  <si>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</si>
  <si>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</si>
  <si>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</si>
  <si>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</si>
  <si>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</si>
  <si>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</si>
  <si>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</si>
  <si>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</si>
  <si>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</si>
  <si>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</si>
  <si>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</si>
  <si>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</si>
  <si>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</si>
  <si>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</si>
  <si>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</si>
  <si>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</si>
  <si>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</si>
  <si>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</si>
  <si>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</si>
  <si>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</si>
  <si>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</si>
  <si>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</si>
  <si>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</si>
  <si>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</si>
  <si>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</si>
  <si>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</si>
  <si>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</si>
  <si>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</si>
  <si>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</si>
  <si>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</si>
  <si>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</si>
  <si>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</si>
  <si>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</si>
  <si>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</si>
  <si>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</si>
  <si>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</si>
  <si>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</si>
  <si>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</si>
  <si>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</si>
  <si>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</si>
  <si>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</si>
  <si>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</si>
  <si>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</si>
  <si>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</si>
  <si>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</si>
  <si>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</si>
  <si>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</si>
  <si>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</si>
  <si>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</si>
  <si>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</si>
  <si>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</si>
  <si>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</si>
  <si>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</si>
  <si>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</si>
  <si>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</si>
  <si>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</si>
  <si>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</si>
  <si>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</si>
  <si>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</si>
  <si>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</si>
  <si>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</si>
  <si>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</si>
  <si>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</si>
  <si>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</si>
  <si>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</si>
  <si>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</si>
  <si>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</si>
  <si>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</si>
  <si>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</si>
  <si>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</si>
  <si>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</si>
  <si>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</si>
  <si>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</si>
  <si>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</si>
  <si>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</si>
  <si>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</si>
  <si>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</si>
  <si>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</si>
  <si>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</si>
  <si>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</si>
  <si>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</si>
  <si>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</si>
  <si>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</si>
  <si>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</si>
  <si>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</si>
  <si>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</si>
  <si>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</si>
  <si>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</si>
  <si>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</si>
  <si>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</si>
  <si>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</si>
  <si>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</si>
  <si>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</si>
  <si>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</si>
  <si>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</si>
  <si>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</si>
  <si>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</si>
  <si>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</si>
  <si>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</si>
  <si>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</si>
  <si>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</si>
  <si>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</si>
  <si>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</si>
  <si>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</si>
  <si>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</si>
  <si>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</si>
  <si>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</si>
  <si>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</si>
  <si>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</si>
  <si>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</si>
  <si>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</si>
  <si>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</si>
  <si>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</si>
  <si>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</si>
  <si>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</si>
  <si>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</si>
  <si>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</si>
  <si>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</si>
  <si>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</si>
  <si>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</si>
  <si>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</si>
  <si>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</si>
  <si>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</si>
  <si>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</si>
  <si>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</si>
  <si>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</si>
  <si>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</si>
  <si>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</si>
  <si>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</si>
  <si>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</si>
  <si>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</si>
  <si>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</si>
  <si>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</si>
  <si>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</si>
  <si>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</si>
  <si>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</si>
  <si>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</si>
  <si>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</si>
  <si>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</si>
  <si>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</si>
  <si>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</si>
  <si>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</si>
  <si>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</si>
  <si>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</si>
  <si>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</si>
  <si>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</si>
  <si>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</si>
  <si>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</si>
  <si>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</si>
  <si>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</si>
  <si>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</si>
  <si>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</si>
  <si>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</si>
  <si>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</si>
  <si>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</si>
  <si>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</si>
  <si>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</si>
  <si>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</si>
  <si>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</si>
  <si>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</si>
  <si>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</si>
  <si>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</si>
  <si>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</si>
  <si>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</si>
  <si>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</si>
  <si>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</si>
  <si>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</si>
  <si>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</si>
  <si>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</si>
  <si>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</si>
  <si>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</si>
  <si>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</si>
  <si>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</si>
  <si>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</si>
  <si>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</si>
  <si>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</si>
  <si>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</si>
  <si>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</si>
  <si>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</si>
  <si>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</si>
  <si>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</si>
  <si>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</si>
  <si>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</si>
  <si>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</si>
  <si>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</si>
  <si>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</si>
  <si>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</si>
  <si>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</si>
  <si>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</si>
  <si>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</si>
  <si>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</si>
  <si>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</si>
  <si>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</si>
  <si>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</si>
  <si>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</si>
  <si>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</si>
  <si>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</si>
  <si>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</si>
  <si>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</si>
  <si>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</si>
  <si>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</si>
  <si>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</si>
  <si>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</si>
  <si>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</si>
  <si>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</si>
  <si>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</si>
  <si>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</si>
  <si>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</si>
  <si>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</si>
  <si>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</si>
  <si>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</si>
  <si>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</si>
  <si>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</si>
  <si>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</si>
  <si>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</si>
  <si>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</si>
  <si>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</si>
  <si>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</si>
  <si>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</si>
  <si>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</si>
  <si>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</si>
  <si>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</si>
  <si>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</si>
  <si>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</si>
  <si>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</si>
  <si>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</si>
  <si>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</si>
  <si>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</si>
  <si>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</si>
  <si>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</si>
  <si>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</si>
  <si>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</si>
  <si>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</si>
  <si>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</si>
  <si>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</si>
  <si>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</si>
  <si>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</si>
  <si>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</si>
  <si>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</si>
  <si>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</si>
  <si>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</si>
  <si>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</si>
  <si>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</si>
  <si>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</si>
  <si>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</si>
  <si>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</si>
  <si>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</si>
  <si>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</si>
  <si>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</si>
  <si>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</si>
  <si>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</si>
  <si>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</si>
  <si>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</si>
  <si>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</si>
  <si>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</si>
  <si>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</si>
  <si>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</si>
  <si>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</si>
  <si>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</si>
  <si>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</si>
  <si>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</si>
  <si>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</si>
  <si>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</si>
  <si>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</si>
  <si>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</si>
  <si>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</si>
  <si>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</si>
  <si>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</si>
  <si>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</si>
  <si>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</si>
  <si>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</si>
  <si>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</si>
  <si>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</si>
  <si>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</si>
  <si>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</si>
  <si>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</si>
  <si>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</si>
  <si>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</si>
  <si>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</si>
  <si>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</si>
  <si>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</si>
  <si>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</si>
  <si>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</si>
  <si>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</si>
  <si>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</si>
  <si>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</si>
  <si>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</si>
  <si>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</si>
  <si>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</si>
  <si>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</si>
  <si>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</si>
  <si>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</si>
  <si>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</si>
  <si>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</si>
  <si>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</si>
  <si>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</si>
  <si>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</si>
  <si>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</si>
  <si>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</si>
  <si>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</si>
  <si>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</si>
  <si>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</si>
  <si>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</si>
  <si>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</si>
  <si>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</si>
  <si>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</si>
  <si>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</si>
  <si>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</si>
  <si>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</si>
  <si>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</si>
  <si>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</si>
  <si>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</si>
  <si>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</si>
  <si>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</si>
  <si>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</si>
  <si>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</si>
  <si>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</si>
  <si>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</si>
  <si>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</si>
  <si>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</si>
  <si>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</si>
  <si>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</si>
  <si>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</si>
  <si>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</si>
  <si>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</si>
  <si>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</si>
  <si>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</si>
  <si>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</si>
  <si>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</si>
  <si>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</si>
  <si>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</si>
  <si>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</si>
  <si>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</si>
  <si>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</si>
  <si>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</si>
  <si>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</si>
  <si>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</si>
  <si>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</si>
  <si>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</si>
  <si>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</si>
  <si>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</si>
  <si>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</si>
  <si>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</si>
  <si>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</si>
  <si>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</si>
  <si>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</si>
  <si>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</si>
  <si>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</si>
  <si>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</si>
  <si>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</si>
  <si>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</si>
  <si>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</si>
  <si>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</si>
  <si>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</si>
  <si>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</si>
  <si>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</si>
  <si>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</si>
  <si>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</si>
  <si>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</si>
  <si>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</si>
  <si>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</si>
  <si>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</si>
  <si>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</si>
  <si>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</si>
  <si>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</si>
  <si>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</si>
  <si>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</si>
  <si>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</si>
  <si>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</si>
  <si>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</si>
  <si>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</si>
  <si>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</si>
  <si>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</si>
  <si>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</si>
  <si>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</si>
  <si>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</si>
  <si>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</si>
  <si>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</si>
  <si>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</si>
  <si>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</si>
  <si>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</si>
  <si>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</si>
  <si>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</si>
  <si>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</si>
  <si>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</si>
  <si>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</si>
  <si>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</si>
  <si>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</si>
  <si>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</si>
  <si>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</si>
  <si>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</si>
  <si>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</si>
  <si>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</si>
  <si>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</si>
  <si>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</si>
  <si>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</si>
  <si>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</si>
  <si>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</si>
  <si>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</si>
  <si>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</si>
  <si>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</si>
  <si>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</si>
  <si>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</si>
  <si>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</si>
  <si>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</si>
  <si>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</si>
  <si>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</si>
  <si>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</si>
  <si>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</si>
  <si>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</si>
  <si>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</si>
  <si>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</si>
  <si>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</si>
  <si>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</si>
  <si>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</si>
  <si>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</si>
  <si>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</si>
  <si>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</si>
  <si>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</si>
  <si>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</si>
  <si>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</si>
  <si>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</si>
  <si>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</si>
  <si>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</si>
  <si>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</si>
  <si>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</si>
  <si>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</si>
  <si>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</si>
  <si>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</si>
  <si>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</si>
  <si>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</si>
  <si>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</si>
  <si>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</si>
  <si>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</si>
  <si>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</si>
  <si>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</si>
  <si>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</si>
  <si>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</si>
  <si>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</si>
  <si>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</si>
  <si>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</si>
  <si>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</si>
  <si>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</si>
  <si>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</si>
  <si>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</si>
  <si>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</si>
  <si>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</si>
  <si>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</si>
  <si>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</si>
  <si>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</si>
  <si>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</si>
  <si>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</si>
  <si>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</si>
  <si>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</si>
  <si>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</si>
  <si>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</si>
  <si>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</si>
  <si>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</si>
  <si>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</si>
  <si>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</si>
  <si>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</si>
  <si>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</si>
  <si>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</si>
  <si>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</si>
  <si>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</si>
  <si>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</si>
  <si>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</si>
  <si>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</si>
  <si>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</si>
  <si>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A02SNQQ</t>
  </si>
  <si>
    <t>6800 HIGHWAY 22</t>
  </si>
  <si>
    <t>1210PA</t>
  </si>
  <si>
    <t>PON1210PA</t>
  </si>
  <si>
    <t>FBT</t>
  </si>
  <si>
    <t>REEL 15 (361-588)</t>
  </si>
  <si>
    <t>REEL20</t>
  </si>
  <si>
    <t>REEL 16 (361-576)</t>
  </si>
  <si>
    <t>F 6679-1 HIGHWAY 22</t>
  </si>
  <si>
    <t>F 6691-1 HIGHWAY 22</t>
  </si>
  <si>
    <t>F 6875-1 HIGHWAY 22</t>
  </si>
  <si>
    <t>F 6475-1 HIGHWAY 22</t>
  </si>
  <si>
    <t>F 6387-1 HIGHWAY 22</t>
  </si>
  <si>
    <t>OPP 29-1 SALTERS PATH</t>
  </si>
  <si>
    <t>F 45-1 AUTUMN LN</t>
  </si>
  <si>
    <t>OPP 166-1 SALTERS PATH</t>
  </si>
  <si>
    <t>F 6199-1 HIGHWAY 22</t>
  </si>
  <si>
    <t>F 6065-1 HIGHWAY 22</t>
  </si>
  <si>
    <t>F 6011-1 HIGHWAY 22</t>
  </si>
  <si>
    <t>F 5926-1 HIGHWAY 22</t>
  </si>
  <si>
    <t>F 5730-1 HIGHWAY 22</t>
  </si>
  <si>
    <t>F 130-1 TRIPLE B DR</t>
  </si>
  <si>
    <t>F 128-2 MOUNTAINVIEW DR</t>
  </si>
  <si>
    <t>F 210-2 MOUNTAINVIEW DR</t>
  </si>
  <si>
    <t>F 4656-2 HIGHWAY 119</t>
  </si>
  <si>
    <t>F 4610-2 HIGHWAY 119</t>
  </si>
  <si>
    <t>F 4560-2 HIGHWAY 119</t>
  </si>
  <si>
    <t>S 4560-2 HIGHWAY 119</t>
  </si>
  <si>
    <t>F 7020-1 HIGHWAY 22</t>
  </si>
  <si>
    <t>OPP 7011-1 HIGHWAY 22</t>
  </si>
  <si>
    <t>F 4741-2 HIGHWAY 119</t>
  </si>
  <si>
    <t>F 4767-2 HIGHWAY 119</t>
  </si>
  <si>
    <t>F 200-1 AMMERSEE LAKES DR</t>
  </si>
  <si>
    <t>F 204-1 AMMERSEE LAKES DR</t>
  </si>
  <si>
    <t>F 220-1 AMMERSEE LAKES DR</t>
  </si>
  <si>
    <t>F 226-1 AMMERSEE LAKES DR</t>
  </si>
  <si>
    <t>F 272-1 AMMERSEE LAKES DR</t>
  </si>
  <si>
    <t>F 284-1 AMMERSEE LAKES DR</t>
  </si>
  <si>
    <t>F 101-1 MOORES SPRING RD</t>
  </si>
  <si>
    <t>F 109-1 MOORES SPRING RD</t>
  </si>
  <si>
    <t>F 116-1 MOORES SPRING RD</t>
  </si>
  <si>
    <t>F 135-1 MOORES SPRING RD</t>
  </si>
  <si>
    <t>F 143-1 MOORES SPRING RD</t>
  </si>
  <si>
    <t>F 151-1 MOORES SPRING RD</t>
  </si>
  <si>
    <t>F 167-1 MOORES SPRING RD</t>
  </si>
  <si>
    <t>F 179-1 MOORES SPRING RD</t>
  </si>
  <si>
    <t>F 7390-1 HIGHWAY 22</t>
  </si>
  <si>
    <t>F 7490-1 HIGHWAY 22</t>
  </si>
  <si>
    <t>F 7706-1 HIGHWAY 22</t>
  </si>
  <si>
    <t>F 6512-1 HIGHWAY 16</t>
  </si>
  <si>
    <t>F 6418-1 HIGHWAY 16</t>
  </si>
  <si>
    <t>F 6305-1 HIGHWAY 16</t>
  </si>
  <si>
    <t>F 6233-1 HIGHWAY 16</t>
  </si>
  <si>
    <t>OPP 200-1 STAMPS JUNCTION</t>
  </si>
  <si>
    <t>F 7920-1 HIGHWAY 22</t>
  </si>
  <si>
    <t>F 7966-1 HIGHWAY 22</t>
  </si>
  <si>
    <t>F 8154-1 HIGHWAY 22</t>
  </si>
  <si>
    <t>F 8168-1 HIGHWAY 22</t>
  </si>
  <si>
    <t>F 6169-1 HIGHWAY 16</t>
  </si>
  <si>
    <t>OPP 6116-1 HIGHWAY 16</t>
  </si>
  <si>
    <t>F 6087-1 HIGHWAY 16</t>
  </si>
  <si>
    <t>F 5691-1 HIGHWAY 16</t>
  </si>
  <si>
    <t>F 5569-1 HIGHWAY 16</t>
  </si>
  <si>
    <t>OPP 5464-1 HIGHWAY 16</t>
  </si>
  <si>
    <t>F 5385-1 HIGHWAY 16</t>
  </si>
  <si>
    <t>F 5343-1 HIGHWAY 16</t>
  </si>
  <si>
    <t>F 30-1 HIGHWAY 107</t>
  </si>
  <si>
    <t>OPP 180-1 BUTTERCUP LN</t>
  </si>
  <si>
    <t>F 195-1 BUTTERCUP LN</t>
  </si>
  <si>
    <t>F 365-1 BUTTERCUP LN</t>
  </si>
  <si>
    <t>F 985-2 HIGHWAY 107</t>
  </si>
  <si>
    <t>S 1023-2 HIGHWAY 107</t>
  </si>
  <si>
    <t>F 1055-2 HIGHWAY 107</t>
  </si>
  <si>
    <t>F 95-2 ALBRIGHT FARM RD</t>
  </si>
  <si>
    <t>OPP 566-2 HIGHWAY 107</t>
  </si>
  <si>
    <t>F 643-2 HIGHWAY 107</t>
  </si>
  <si>
    <t>F 661-2 HIGHWAY 107</t>
  </si>
  <si>
    <t>OPP 780-2 HIGHWAY 107</t>
  </si>
  <si>
    <t>F 815-2 HIGHWAY 107</t>
  </si>
  <si>
    <t>F 941-2 HIGHWAY 107</t>
  </si>
  <si>
    <t>F 1-2 HIGHWAY 107</t>
  </si>
  <si>
    <t>F 169-2 HIGHWAY 107</t>
  </si>
  <si>
    <t>OPP 314-2 HIGHWAY 107</t>
  </si>
  <si>
    <t>F 399-2 HIGHWAY 107</t>
  </si>
  <si>
    <t>OPP 480-2 HIGHWAY 107</t>
  </si>
  <si>
    <t>REEL3</t>
  </si>
  <si>
    <t>F 236-2 AMMERSEE LAKES DR</t>
  </si>
  <si>
    <t>F 244-2 AMMERSEE LAKES DR</t>
  </si>
  <si>
    <t>F 276-2 AMMERSEE LAKES DR</t>
  </si>
  <si>
    <t>F 260-2 AMMERSEE LAKES DR</t>
  </si>
  <si>
    <t>F 252-2 AMMERSEE LAKES DR</t>
  </si>
  <si>
    <t>F 212-2 AMMERSEE LAKES DR</t>
  </si>
  <si>
    <t>F 127-2 MOORES SPRING RD</t>
  </si>
  <si>
    <t>F 159-2 MOORES SPRING RD</t>
  </si>
  <si>
    <t>F 175-2 MOORES SPRING RD</t>
  </si>
  <si>
    <t>F 27-1 AMBERWOOD TRL</t>
  </si>
  <si>
    <t xml:space="preserve">  </t>
  </si>
  <si>
    <t>OPP 7615-1 HIGHWAY 22</t>
  </si>
  <si>
    <t>MNTVALNM</t>
  </si>
  <si>
    <t>F 1005-1 PARKERS CV</t>
  </si>
  <si>
    <t>F 1013-1 PARKERS CV</t>
  </si>
  <si>
    <t>F 1021-1 PARKERS CV</t>
  </si>
  <si>
    <t>F 6577-1 HIGHWAY 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</si>
</sst>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9" xfId="0" applyFont="1" applyFill="1" applyBorder="1" applyAlignment="1" applyProtection="1">
      <alignment horizontal="center" wrapText="1"/>
      <protection locked="0"/>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6">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5" dataDxfId="1623" headerRowBorderDxfId="1624" tableBorderDxfId="1622" totalsRowBorderDxfId="1621">
  <autoFilter ref="A1:AP499" xr:uid="{00000000-0009-0000-0100-000003000000}"/>
  <tableColumns count="42">
    <tableColumn id="1" xr3:uid="{00000000-0010-0000-0000-000001000000}" name="DWG#" dataDxfId="1620"/>
    <tableColumn id="61" xr3:uid="{00000000-0010-0000-0000-00003D000000}" name="10x15 HH" dataDxfId="1619"/>
    <tableColumn id="9" xr3:uid="{00000000-0010-0000-0000-000009000000}" name="IDUCT 1" dataDxfId="1618"/>
    <tableColumn id="10" xr3:uid="{00000000-0010-0000-0000-00000A000000}" name="IDUCT 2" dataDxfId="1617"/>
    <tableColumn id="11" xr3:uid="{00000000-0010-0000-0000-00000B000000}" name="IDUCT 3" dataDxfId="1616"/>
    <tableColumn id="12" xr3:uid="{00000000-0010-0000-0000-00000C000000}" name="IDUCT 4" dataDxfId="1615"/>
    <tableColumn id="13" xr3:uid="{00000000-0010-0000-0000-00000D000000}" name="IDUCT 5" dataDxfId="1614"/>
    <tableColumn id="14" xr3:uid="{00000000-0010-0000-0000-00000E000000}" name="IDUCT 6" dataDxfId="1613"/>
    <tableColumn id="15" xr3:uid="{00000000-0010-0000-0000-00000F000000}" name="IDUCT 7" dataDxfId="1612"/>
    <tableColumn id="16" xr3:uid="{00000000-0010-0000-0000-000010000000}" name="IDUCT 8" dataDxfId="1611"/>
    <tableColumn id="17" xr3:uid="{00000000-0010-0000-0000-000011000000}" name="IDUCT 9" dataDxfId="1610"/>
    <tableColumn id="18" xr3:uid="{00000000-0010-0000-0000-000012000000}" name="IDUCT 10" dataDxfId="1609"/>
    <tableColumn id="19" xr3:uid="{00000000-0010-0000-0000-000013000000}" name="IDUCT 11" dataDxfId="1608"/>
    <tableColumn id="20" xr3:uid="{00000000-0010-0000-0000-000014000000}" name="IDUCT 12" dataDxfId="1607"/>
    <tableColumn id="21" xr3:uid="{00000000-0010-0000-0000-000015000000}" name="IDUCT 13" dataDxfId="1606"/>
    <tableColumn id="22" xr3:uid="{00000000-0010-0000-0000-000016000000}" name="IDUCT 14" dataDxfId="1605"/>
    <tableColumn id="23" xr3:uid="{00000000-0010-0000-0000-000017000000}" name="IDUCT 15" dataDxfId="1604"/>
    <tableColumn id="24" xr3:uid="{00000000-0010-0000-0000-000018000000}" name="IDUCT 16" dataDxfId="1603"/>
    <tableColumn id="25" xr3:uid="{00000000-0010-0000-0000-000019000000}" name="IDUCT 17" dataDxfId="1602"/>
    <tableColumn id="26" xr3:uid="{00000000-0010-0000-0000-00001A000000}" name="IDUCT 18" dataDxfId="1601"/>
    <tableColumn id="27" xr3:uid="{00000000-0010-0000-0000-00001B000000}" name="IDUCT 19" dataDxfId="1600"/>
    <tableColumn id="28" xr3:uid="{00000000-0010-0000-0000-00001C000000}" name="IDUCT 20" dataDxfId="1599"/>
    <tableColumn id="29" xr3:uid="{00000000-0010-0000-0000-00001D000000}" name="Pullback IDUCT 1" dataDxfId="1598"/>
    <tableColumn id="30" xr3:uid="{00000000-0010-0000-0000-00001E000000}" name="Pullback IDUCT 2" dataDxfId="1597"/>
    <tableColumn id="31" xr3:uid="{00000000-0010-0000-0000-00001F000000}" name="Pullback IDUCT 3" dataDxfId="1596"/>
    <tableColumn id="32" xr3:uid="{00000000-0010-0000-0000-000020000000}" name="Pullback IDUCT 4" dataDxfId="1595"/>
    <tableColumn id="33" xr3:uid="{00000000-0010-0000-0000-000021000000}" name="Pullback IDUCT 5" dataDxfId="1594"/>
    <tableColumn id="34" xr3:uid="{00000000-0010-0000-0000-000022000000}" name="Pullback IDUCT 6" dataDxfId="1593"/>
    <tableColumn id="35" xr3:uid="{00000000-0010-0000-0000-000023000000}" name="Pullback IDUCT 7" dataDxfId="1592"/>
    <tableColumn id="36" xr3:uid="{00000000-0010-0000-0000-000024000000}" name="Pullback IDUCT 8" dataDxfId="1591"/>
    <tableColumn id="37" xr3:uid="{00000000-0010-0000-0000-000025000000}" name="Pullback IDUCT 9" dataDxfId="1590"/>
    <tableColumn id="38" xr3:uid="{00000000-0010-0000-0000-000026000000}" name="Pullback IDUCT 10" dataDxfId="1589"/>
    <tableColumn id="49" xr3:uid="{00000000-0010-0000-0000-000031000000}" name="ROD Duct 1" dataDxfId="1588"/>
    <tableColumn id="50" xr3:uid="{00000000-0010-0000-0000-000032000000}" name="ROD Duct 2" dataDxfId="1587"/>
    <tableColumn id="51" xr3:uid="{00000000-0010-0000-0000-000033000000}" name="ROD Duct 3" dataDxfId="1586"/>
    <tableColumn id="52" xr3:uid="{00000000-0010-0000-0000-000034000000}" name="ROD Duct 4" dataDxfId="1585"/>
    <tableColumn id="53" xr3:uid="{00000000-0010-0000-0000-000035000000}" name="ROD Duct 5" dataDxfId="1584"/>
    <tableColumn id="54" xr3:uid="{00000000-0010-0000-0000-000036000000}" name="ROD Duct 6" dataDxfId="1583"/>
    <tableColumn id="55" xr3:uid="{00000000-0010-0000-0000-000037000000}" name="ROD Duct 7" dataDxfId="1582"/>
    <tableColumn id="56" xr3:uid="{00000000-0010-0000-0000-000038000000}" name="ROD Duct 8" dataDxfId="1581"/>
    <tableColumn id="57" xr3:uid="{00000000-0010-0000-0000-000039000000}" name="ROD Duct 9" dataDxfId="1580"/>
    <tableColumn id="58" xr3:uid="{00000000-0010-0000-0000-00003A000000}" name="ROD Duct 10" dataDxfId="157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6875-1 HIGHWAY 22</v>
      </c>
      <c r="B1" s="118"/>
      <c r="C1" s="118"/>
      <c r="D1" s="118"/>
      <c r="E1" s="118"/>
      <c r="G1" t="str">
        <f>IF('Assignment Tool'!C1="","",IF('Assignment Tool'!C1="FST",'Assignment Tool'!D1,""))</f>
        <v/>
      </c>
      <c r="H1">
        <v>1</v>
      </c>
      <c r="I1">
        <v>1</v>
      </c>
      <c r="J1" t="str">
        <f t="array" ref="J1">IFERROR(INDEX($G$2:$G$2050,_xlfn.AGGREGATE(15,6,(ROW($G$2:$G$2050)-ROW($G$2)+1)/($G$2:$G$2050&lt;&gt;""),ROWS(J$1:J1))),"")</f>
        <v>F 6875-1 HIGHWAY 22</v>
      </c>
      <c r="K1">
        <f>IF(J1="","",INDEX('Assignment Tool'!E17:E2050,MATCH(FA_DATA!J1,'Assignment Tool'!D17:D2050,0)))</f>
        <v>6</v>
      </c>
    </row>
    <row r="2" spans="1:11" x14ac:dyDescent="0.25">
      <c r="A2" s="118" t="str">
        <f t="shared" ref="A2:A65" si="0">VLOOKUP(H2,$I$1:$J$1000,2)</f>
        <v>F 6875-1 HIGHWAY 22</v>
      </c>
      <c r="G2" t="str">
        <f>IF('Assignment Tool'!C2="","",IF('Assignment Tool'!C2="FST",'Assignment Tool'!D2,""))</f>
        <v/>
      </c>
      <c r="H2">
        <v>2</v>
      </c>
      <c r="I2">
        <f>IFERROR((I1+K1),"")</f>
        <v>7</v>
      </c>
      <c r="J2" t="str">
        <f t="array" ref="J2">IFERROR(INDEX($G$2:$G$2050,_xlfn.AGGREGATE(15,6,(ROW($G$2:$G$2050)-ROW($G$2)+1)/($G$2:$G$2050&lt;&gt;""),ROWS(J$1:J2))),"")</f>
        <v>F 6691-1 HIGHWAY 22</v>
      </c>
      <c r="K2">
        <f>IF(J2="","",INDEX('Assignment Tool'!E18:E2051,MATCH(FA_DATA!J2,'Assignment Tool'!D18:D2051,0)))</f>
        <v>8</v>
      </c>
    </row>
    <row r="3" spans="1:11" x14ac:dyDescent="0.25">
      <c r="A3" s="118" t="str">
        <f t="shared" si="0"/>
        <v>F 6875-1 HIGHWAY 22</v>
      </c>
      <c r="G3" t="str">
        <f>IF('Assignment Tool'!C3="","",IF('Assignment Tool'!C3="FST",'Assignment Tool'!D3,""))</f>
        <v/>
      </c>
      <c r="H3">
        <v>3</v>
      </c>
      <c r="I3">
        <f t="shared" ref="I3:I66" si="1">IFERROR((I2+K2),"")</f>
        <v>15</v>
      </c>
      <c r="J3" t="str">
        <f t="array" ref="J3">IFERROR(INDEX($G$2:$G$2050,_xlfn.AGGREGATE(15,6,(ROW($G$2:$G$2050)-ROW($G$2)+1)/($G$2:$G$2050&lt;&gt;""),ROWS(J$1:J3))),"")</f>
        <v>F 6679-1 HIGHWAY 22</v>
      </c>
      <c r="K3">
        <f>IF(J3="","",INDEX('Assignment Tool'!E19:E2052,MATCH(FA_DATA!J3,'Assignment Tool'!D19:D2052,0)))</f>
        <v>2</v>
      </c>
    </row>
    <row r="4" spans="1:11" x14ac:dyDescent="0.25">
      <c r="A4" s="118" t="str">
        <f t="shared" si="0"/>
        <v>F 6875-1 HIGHWAY 22</v>
      </c>
      <c r="G4" t="str">
        <f>IF('Assignment Tool'!C4="","",IF('Assignment Tool'!C4="FST",'Assignment Tool'!D4,""))</f>
        <v/>
      </c>
      <c r="H4">
        <v>4</v>
      </c>
      <c r="I4">
        <f t="shared" si="1"/>
        <v>17</v>
      </c>
      <c r="J4" t="str">
        <f t="array" ref="J4">IFERROR(INDEX($G$2:$G$2050,_xlfn.AGGREGATE(15,6,(ROW($G$2:$G$2050)-ROW($G$2)+1)/($G$2:$G$2050&lt;&gt;""),ROWS(J$1:J4))),"")</f>
        <v>F 6577-1 HIGHWAY 22</v>
      </c>
      <c r="K4">
        <f>IF(J4="","",INDEX('Assignment Tool'!E20:E2053,MATCH(FA_DATA!J4,'Assignment Tool'!D20:D2053,0)))</f>
        <v>8</v>
      </c>
    </row>
    <row r="5" spans="1:11" x14ac:dyDescent="0.25">
      <c r="A5" s="118" t="str">
        <f t="shared" si="0"/>
        <v>F 6875-1 HIGHWAY 22</v>
      </c>
      <c r="G5" t="str">
        <f>IF('Assignment Tool'!C5="","",IF('Assignment Tool'!C5="FST",'Assignment Tool'!D5,""))</f>
        <v/>
      </c>
      <c r="H5">
        <v>5</v>
      </c>
      <c r="I5">
        <f t="shared" si="1"/>
        <v>25</v>
      </c>
      <c r="J5" t="str">
        <f t="array" ref="J5">IFERROR(INDEX($G$2:$G$2050,_xlfn.AGGREGATE(15,6,(ROW($G$2:$G$2050)-ROW($G$2)+1)/($G$2:$G$2050&lt;&gt;""),ROWS(J$1:J5))),"")</f>
        <v>F 6475-1 HIGHWAY 22</v>
      </c>
      <c r="K5">
        <f>IF(J5="","",INDEX('Assignment Tool'!E21:E2054,MATCH(FA_DATA!J5,'Assignment Tool'!D21:D2054,0)))</f>
        <v>4</v>
      </c>
    </row>
    <row r="6" spans="1:11" x14ac:dyDescent="0.25">
      <c r="A6" s="118" t="str">
        <f t="shared" si="0"/>
        <v>F 6875-1 HIGHWAY 22</v>
      </c>
      <c r="G6" t="str">
        <f>IF('Assignment Tool'!C6="","",IF('Assignment Tool'!C6="FST",'Assignment Tool'!D6,""))</f>
        <v/>
      </c>
      <c r="H6">
        <v>6</v>
      </c>
      <c r="I6">
        <f t="shared" si="1"/>
        <v>29</v>
      </c>
      <c r="J6" t="str">
        <f t="array" ref="J6">IFERROR(INDEX($G$2:$G$2050,_xlfn.AGGREGATE(15,6,(ROW($G$2:$G$2050)-ROW($G$2)+1)/($G$2:$G$2050&lt;&gt;""),ROWS(J$1:J6))),"")</f>
        <v>OPP 29-1 SALTERS PATH</v>
      </c>
      <c r="K6">
        <f>IF(J6="","",INDEX('Assignment Tool'!E22:E2055,MATCH(FA_DATA!J6,'Assignment Tool'!D22:D2055,0)))</f>
        <v>8</v>
      </c>
    </row>
    <row r="7" spans="1:11" x14ac:dyDescent="0.25">
      <c r="A7" s="118" t="str">
        <f t="shared" si="0"/>
        <v>F 6691-1 HIGHWAY 22</v>
      </c>
      <c r="G7" t="str">
        <f>IF('Assignment Tool'!C7="","",IF('Assignment Tool'!C7="FST",'Assignment Tool'!D7,""))</f>
        <v/>
      </c>
      <c r="H7">
        <v>7</v>
      </c>
      <c r="I7">
        <f t="shared" si="1"/>
        <v>37</v>
      </c>
      <c r="J7" t="str">
        <f t="array" ref="J7">IFERROR(INDEX($G$2:$G$2050,_xlfn.AGGREGATE(15,6,(ROW($G$2:$G$2050)-ROW($G$2)+1)/($G$2:$G$2050&lt;&gt;""),ROWS(J$1:J7))),"")</f>
        <v>F 6387-1 HIGHWAY 22</v>
      </c>
      <c r="K7">
        <f>IF(J7="","",INDEX('Assignment Tool'!E23:E2056,MATCH(FA_DATA!J7,'Assignment Tool'!D23:D2056,0)))</f>
        <v>8</v>
      </c>
    </row>
    <row r="8" spans="1:11" x14ac:dyDescent="0.25">
      <c r="A8" s="118" t="str">
        <f t="shared" si="0"/>
        <v>F 6691-1 HIGHWAY 22</v>
      </c>
      <c r="G8" t="str">
        <f>IF('Assignment Tool'!C8="","",IF('Assignment Tool'!C8="FST",'Assignment Tool'!D8,""))</f>
        <v/>
      </c>
      <c r="H8">
        <v>8</v>
      </c>
      <c r="I8">
        <f t="shared" si="1"/>
        <v>45</v>
      </c>
      <c r="J8" t="str">
        <f t="array" ref="J8">IFERROR(INDEX($G$2:$G$2050,_xlfn.AGGREGATE(15,6,(ROW($G$2:$G$2050)-ROW($G$2)+1)/($G$2:$G$2050&lt;&gt;""),ROWS(J$1:J8))),"")</f>
        <v>F 45-1 AUTUMN LN</v>
      </c>
      <c r="K8">
        <f>IF(J8="","",INDEX('Assignment Tool'!E24:E2057,MATCH(FA_DATA!J8,'Assignment Tool'!D24:D2057,0)))</f>
        <v>8</v>
      </c>
    </row>
    <row r="9" spans="1:11" x14ac:dyDescent="0.25">
      <c r="A9" s="118" t="str">
        <f t="shared" si="0"/>
        <v>F 6691-1 HIGHWAY 22</v>
      </c>
      <c r="G9" t="str">
        <f>IF('Assignment Tool'!C9="","",IF('Assignment Tool'!C9="FST",'Assignment Tool'!D9,""))</f>
        <v/>
      </c>
      <c r="H9">
        <v>9</v>
      </c>
      <c r="I9">
        <f t="shared" si="1"/>
        <v>53</v>
      </c>
      <c r="J9" t="str">
        <f t="array" ref="J9">IFERROR(INDEX($G$2:$G$2050,_xlfn.AGGREGATE(15,6,(ROW($G$2:$G$2050)-ROW($G$2)+1)/($G$2:$G$2050&lt;&gt;""),ROWS(J$1:J9))),"")</f>
        <v>OPP 166-1 SALTERS PATH</v>
      </c>
      <c r="K9">
        <f>IF(J9="","",INDEX('Assignment Tool'!E25:E2058,MATCH(FA_DATA!J9,'Assignment Tool'!D25:D2058,0)))</f>
        <v>8</v>
      </c>
    </row>
    <row r="10" spans="1:11" x14ac:dyDescent="0.25">
      <c r="A10" s="118" t="str">
        <f t="shared" si="0"/>
        <v>F 6691-1 HIGHWAY 22</v>
      </c>
      <c r="G10" t="str">
        <f>IF('Assignment Tool'!C10="","",IF('Assignment Tool'!C10="FST",'Assignment Tool'!D10,""))</f>
        <v/>
      </c>
      <c r="H10">
        <v>10</v>
      </c>
      <c r="I10">
        <f t="shared" si="1"/>
        <v>61</v>
      </c>
      <c r="J10" t="str">
        <f t="array" ref="J10">IFERROR(INDEX($G$2:$G$2050,_xlfn.AGGREGATE(15,6,(ROW($G$2:$G$2050)-ROW($G$2)+1)/($G$2:$G$2050&lt;&gt;""),ROWS(J$1:J10))),"")</f>
        <v>F 6199-1 HIGHWAY 22</v>
      </c>
      <c r="K10">
        <f>IF(J10="","",INDEX('Assignment Tool'!E26:E2059,MATCH(FA_DATA!J10,'Assignment Tool'!D26:D2059,0)))</f>
        <v>4</v>
      </c>
    </row>
    <row r="11" spans="1:11" x14ac:dyDescent="0.25">
      <c r="A11" s="118" t="str">
        <f t="shared" si="0"/>
        <v>F 6691-1 HIGHWAY 22</v>
      </c>
      <c r="G11" t="str">
        <f>IF('Assignment Tool'!C11="","",IF('Assignment Tool'!C11="FST",'Assignment Tool'!D11,""))</f>
        <v/>
      </c>
      <c r="H11">
        <v>11</v>
      </c>
      <c r="I11">
        <f t="shared" si="1"/>
        <v>65</v>
      </c>
      <c r="J11" t="str">
        <f t="array" ref="J11">IFERROR(INDEX($G$2:$G$2050,_xlfn.AGGREGATE(15,6,(ROW($G$2:$G$2050)-ROW($G$2)+1)/($G$2:$G$2050&lt;&gt;""),ROWS(J$1:J11))),"")</f>
        <v>F 6065-1 HIGHWAY 22</v>
      </c>
      <c r="K11">
        <f>IF(J11="","",INDEX('Assignment Tool'!E27:E2060,MATCH(FA_DATA!J11,'Assignment Tool'!D27:D2060,0)))</f>
        <v>4</v>
      </c>
    </row>
    <row r="12" spans="1:11" x14ac:dyDescent="0.25">
      <c r="A12" s="118" t="str">
        <f t="shared" si="0"/>
        <v>F 6691-1 HIGHWAY 22</v>
      </c>
      <c r="G12" t="str">
        <f>IF('Assignment Tool'!C12="","",IF('Assignment Tool'!C12="FST",'Assignment Tool'!D12,""))</f>
        <v/>
      </c>
      <c r="H12">
        <v>12</v>
      </c>
      <c r="I12">
        <f t="shared" si="1"/>
        <v>69</v>
      </c>
      <c r="J12" t="str">
        <f t="array" ref="J12">IFERROR(INDEX($G$2:$G$2050,_xlfn.AGGREGATE(15,6,(ROW($G$2:$G$2050)-ROW($G$2)+1)/($G$2:$G$2050&lt;&gt;""),ROWS(J$1:J12))),"")</f>
        <v>F 6011-1 HIGHWAY 22</v>
      </c>
      <c r="K12">
        <f>IF(J12="","",INDEX('Assignment Tool'!E28:E2061,MATCH(FA_DATA!J12,'Assignment Tool'!D28:D2061,0)))</f>
        <v>4</v>
      </c>
    </row>
    <row r="13" spans="1:11" x14ac:dyDescent="0.25">
      <c r="A13" s="118" t="str">
        <f t="shared" si="0"/>
        <v>F 6691-1 HIGHWAY 22</v>
      </c>
      <c r="G13" t="str">
        <f>IF('Assignment Tool'!C13="","",IF('Assignment Tool'!C13="FST",'Assignment Tool'!D13,""))</f>
        <v/>
      </c>
      <c r="H13">
        <v>13</v>
      </c>
      <c r="I13">
        <f t="shared" si="1"/>
        <v>73</v>
      </c>
      <c r="J13" t="str">
        <f t="array" ref="J13">IFERROR(INDEX($G$2:$G$2050,_xlfn.AGGREGATE(15,6,(ROW($G$2:$G$2050)-ROW($G$2)+1)/($G$2:$G$2050&lt;&gt;""),ROWS(J$1:J13))),"")</f>
        <v>F 128-2 MOUNTAINVIEW DR</v>
      </c>
      <c r="K13">
        <f>IF(J13="","",INDEX('Assignment Tool'!E29:E2062,MATCH(FA_DATA!J13,'Assignment Tool'!D29:D2062,0)))</f>
        <v>4</v>
      </c>
    </row>
    <row r="14" spans="1:11" x14ac:dyDescent="0.25">
      <c r="A14" s="118" t="str">
        <f t="shared" si="0"/>
        <v>F 6691-1 HIGHWAY 22</v>
      </c>
      <c r="G14" t="str">
        <f>IF('Assignment Tool'!C14="","",IF('Assignment Tool'!C14="FST",'Assignment Tool'!D14,""))</f>
        <v/>
      </c>
      <c r="H14">
        <v>14</v>
      </c>
      <c r="I14">
        <f t="shared" si="1"/>
        <v>77</v>
      </c>
      <c r="J14" t="str">
        <f t="array" ref="J14">IFERROR(INDEX($G$2:$G$2050,_xlfn.AGGREGATE(15,6,(ROW($G$2:$G$2050)-ROW($G$2)+1)/($G$2:$G$2050&lt;&gt;""),ROWS(J$1:J14))),"")</f>
        <v>F 210-2 MOUNTAINVIEW DR</v>
      </c>
      <c r="K14">
        <f>IF(J14="","",INDEX('Assignment Tool'!E30:E2063,MATCH(FA_DATA!J14,'Assignment Tool'!D30:D2063,0)))</f>
        <v>8</v>
      </c>
    </row>
    <row r="15" spans="1:11" x14ac:dyDescent="0.25">
      <c r="A15" s="118" t="str">
        <f t="shared" si="0"/>
        <v>F 6679-1 HIGHWAY 22</v>
      </c>
      <c r="G15" t="str">
        <f>IF('Assignment Tool'!C15="","",IF('Assignment Tool'!C15="FST",'Assignment Tool'!D15,""))</f>
        <v/>
      </c>
      <c r="H15">
        <v>15</v>
      </c>
      <c r="I15">
        <f t="shared" si="1"/>
        <v>85</v>
      </c>
      <c r="J15" t="str">
        <f t="array" ref="J15">IFERROR(INDEX($G$2:$G$2050,_xlfn.AGGREGATE(15,6,(ROW($G$2:$G$2050)-ROW($G$2)+1)/($G$2:$G$2050&lt;&gt;""),ROWS(J$1:J15))),"")</f>
        <v>F 5926-1 HIGHWAY 22</v>
      </c>
      <c r="K15">
        <f>IF(J15="","",INDEX('Assignment Tool'!E31:E2064,MATCH(FA_DATA!J15,'Assignment Tool'!D31:D2064,0)))</f>
        <v>8</v>
      </c>
    </row>
    <row r="16" spans="1:11" x14ac:dyDescent="0.25">
      <c r="A16" s="118" t="str">
        <f t="shared" si="0"/>
        <v>F 6679-1 HIGHWAY 22</v>
      </c>
      <c r="G16" t="str">
        <f>IF('Assignment Tool'!C16="","",IF('Assignment Tool'!C16="FST",'Assignment Tool'!D16,""))</f>
        <v/>
      </c>
      <c r="H16">
        <v>16</v>
      </c>
      <c r="I16">
        <f t="shared" si="1"/>
        <v>93</v>
      </c>
      <c r="J16" t="str">
        <f t="array" ref="J16">IFERROR(INDEX($G$2:$G$2050,_xlfn.AGGREGATE(15,6,(ROW($G$2:$G$2050)-ROW($G$2)+1)/($G$2:$G$2050&lt;&gt;""),ROWS(J$1:J16))),"")</f>
        <v>F 5730-1 HIGHWAY 22</v>
      </c>
      <c r="K16">
        <f>IF(J16="","",INDEX('Assignment Tool'!E32:E2065,MATCH(FA_DATA!J16,'Assignment Tool'!D32:D2065,0)))</f>
        <v>8</v>
      </c>
    </row>
    <row r="17" spans="1:11" x14ac:dyDescent="0.25">
      <c r="A17" s="118" t="str">
        <f t="shared" si="0"/>
        <v>F 6577-1 HIGHWAY 22</v>
      </c>
      <c r="G17" t="str">
        <f>IF('Assignment Tool'!C17="","",IF('Assignment Tool'!C17="FST",'Assignment Tool'!D17,""))</f>
        <v>F 6875-1 HIGHWAY 22</v>
      </c>
      <c r="H17">
        <v>17</v>
      </c>
      <c r="I17">
        <f t="shared" si="1"/>
        <v>101</v>
      </c>
      <c r="J17" t="str">
        <f t="array" ref="J17">IFERROR(INDEX($G$2:$G$2050,_xlfn.AGGREGATE(15,6,(ROW($G$2:$G$2050)-ROW($G$2)+1)/($G$2:$G$2050&lt;&gt;""),ROWS(J$1:J17))),"")</f>
        <v>F 130-1 TRIPLE B DR</v>
      </c>
      <c r="K17">
        <f>IF(J17="","",INDEX('Assignment Tool'!E33:E2066,MATCH(FA_DATA!J17,'Assignment Tool'!D33:D2066,0)))</f>
        <v>8</v>
      </c>
    </row>
    <row r="18" spans="1:11" x14ac:dyDescent="0.25">
      <c r="A18" s="118" t="str">
        <f t="shared" si="0"/>
        <v>F 6577-1 HIGHWAY 22</v>
      </c>
      <c r="G18" t="str">
        <f>IF('Assignment Tool'!C18="","",IF('Assignment Tool'!C18="FST",'Assignment Tool'!D18,""))</f>
        <v>F 6691-1 HIGHWAY 22</v>
      </c>
      <c r="H18">
        <v>18</v>
      </c>
      <c r="I18">
        <f t="shared" si="1"/>
        <v>109</v>
      </c>
      <c r="J18" t="str">
        <f t="array" ref="J18">IFERROR(INDEX($G$2:$G$2050,_xlfn.AGGREGATE(15,6,(ROW($G$2:$G$2050)-ROW($G$2)+1)/($G$2:$G$2050&lt;&gt;""),ROWS(J$1:J18))),"")</f>
        <v>F 4656-2 HIGHWAY 119</v>
      </c>
      <c r="K18">
        <f>IF(J18="","",INDEX('Assignment Tool'!E34:E2067,MATCH(FA_DATA!J18,'Assignment Tool'!D34:D2067,0)))</f>
        <v>6</v>
      </c>
    </row>
    <row r="19" spans="1:11" x14ac:dyDescent="0.25">
      <c r="A19" s="118" t="str">
        <f t="shared" si="0"/>
        <v>F 6577-1 HIGHWAY 22</v>
      </c>
      <c r="G19" t="str">
        <f>IF('Assignment Tool'!C19="","",IF('Assignment Tool'!C19="FST",'Assignment Tool'!D19,""))</f>
        <v>F 6679-1 HIGHWAY 22</v>
      </c>
      <c r="H19">
        <v>19</v>
      </c>
      <c r="I19">
        <f t="shared" si="1"/>
        <v>115</v>
      </c>
      <c r="J19" t="str">
        <f t="array" ref="J19">IFERROR(INDEX($G$2:$G$2050,_xlfn.AGGREGATE(15,6,(ROW($G$2:$G$2050)-ROW($G$2)+1)/($G$2:$G$2050&lt;&gt;""),ROWS(J$1:J19))),"")</f>
        <v>F 4610-2 HIGHWAY 119</v>
      </c>
      <c r="K19">
        <f>IF(J19="","",INDEX('Assignment Tool'!E35:E2068,MATCH(FA_DATA!J19,'Assignment Tool'!D35:D2068,0)))</f>
        <v>4</v>
      </c>
    </row>
    <row r="20" spans="1:11" x14ac:dyDescent="0.25">
      <c r="A20" s="118" t="str">
        <f t="shared" si="0"/>
        <v>F 6577-1 HIGHWAY 22</v>
      </c>
      <c r="G20" t="str">
        <f>IF('Assignment Tool'!C20="","",IF('Assignment Tool'!C20="FST",'Assignment Tool'!D20,""))</f>
        <v>F 6577-1 HIGHWAY 22</v>
      </c>
      <c r="H20">
        <v>20</v>
      </c>
      <c r="I20">
        <f t="shared" si="1"/>
        <v>119</v>
      </c>
      <c r="J20" t="str">
        <f t="array" ref="J20">IFERROR(INDEX($G$2:$G$2050,_xlfn.AGGREGATE(15,6,(ROW($G$2:$G$2050)-ROW($G$2)+1)/($G$2:$G$2050&lt;&gt;""),ROWS(J$1:J20))),"")</f>
        <v>F 4560-2 HIGHWAY 119</v>
      </c>
      <c r="K20">
        <f>IF(J20="","",INDEX('Assignment Tool'!E36:E2069,MATCH(FA_DATA!J20,'Assignment Tool'!D36:D2069,0)))</f>
        <v>6</v>
      </c>
    </row>
    <row r="21" spans="1:11" x14ac:dyDescent="0.25">
      <c r="A21" s="118" t="str">
        <f t="shared" si="0"/>
        <v>F 6577-1 HIGHWAY 22</v>
      </c>
      <c r="G21" t="str">
        <f>IF('Assignment Tool'!C21="","",IF('Assignment Tool'!C21="FST",'Assignment Tool'!D21,""))</f>
        <v/>
      </c>
      <c r="H21">
        <v>21</v>
      </c>
      <c r="I21">
        <f t="shared" si="1"/>
        <v>125</v>
      </c>
      <c r="J21" t="str">
        <f t="array" ref="J21">IFERROR(INDEX($G$2:$G$2050,_xlfn.AGGREGATE(15,6,(ROW($G$2:$G$2050)-ROW($G$2)+1)/($G$2:$G$2050&lt;&gt;""),ROWS(J$1:J21))),"")</f>
        <v>S 4560-2 HIGHWAY 119</v>
      </c>
      <c r="K21">
        <f>IF(J21="","",INDEX('Assignment Tool'!E37:E2070,MATCH(FA_DATA!J21,'Assignment Tool'!D37:D2070,0)))</f>
        <v>8</v>
      </c>
    </row>
    <row r="22" spans="1:11" x14ac:dyDescent="0.25">
      <c r="A22" s="118" t="str">
        <f t="shared" si="0"/>
        <v>F 6577-1 HIGHWAY 22</v>
      </c>
      <c r="G22" t="str">
        <f>IF('Assignment Tool'!C22="","",IF('Assignment Tool'!C22="FST",'Assignment Tool'!D22,""))</f>
        <v/>
      </c>
      <c r="H22">
        <v>22</v>
      </c>
      <c r="I22">
        <f t="shared" si="1"/>
        <v>133</v>
      </c>
      <c r="J22" t="str">
        <f t="array" ref="J22">IFERROR(INDEX($G$2:$G$2050,_xlfn.AGGREGATE(15,6,(ROW($G$2:$G$2050)-ROW($G$2)+1)/($G$2:$G$2050&lt;&gt;""),ROWS(J$1:J22))),"")</f>
        <v>OPP 7011-1 HIGHWAY 22</v>
      </c>
      <c r="K22">
        <f>IF(J22="","",INDEX('Assignment Tool'!E38:E2071,MATCH(FA_DATA!J22,'Assignment Tool'!D38:D2071,0)))</f>
        <v>8</v>
      </c>
    </row>
    <row r="23" spans="1:11" x14ac:dyDescent="0.25">
      <c r="A23" s="118" t="str">
        <f t="shared" si="0"/>
        <v>F 6577-1 HIGHWAY 22</v>
      </c>
      <c r="G23" t="str">
        <f>IF('Assignment Tool'!C23="","",IF('Assignment Tool'!C23="FST",'Assignment Tool'!D23,""))</f>
        <v/>
      </c>
      <c r="H23">
        <v>23</v>
      </c>
      <c r="I23">
        <f t="shared" si="1"/>
        <v>141</v>
      </c>
      <c r="J23" t="str">
        <f t="array" ref="J23">IFERROR(INDEX($G$2:$G$2050,_xlfn.AGGREGATE(15,6,(ROW($G$2:$G$2050)-ROW($G$2)+1)/($G$2:$G$2050&lt;&gt;""),ROWS(J$1:J23))),"")</f>
        <v>F 7020-1 HIGHWAY 22</v>
      </c>
      <c r="K23">
        <f>IF(J23="","",INDEX('Assignment Tool'!E39:E2072,MATCH(FA_DATA!J23,'Assignment Tool'!D39:D2072,0)))</f>
        <v>4</v>
      </c>
    </row>
    <row r="24" spans="1:11" x14ac:dyDescent="0.25">
      <c r="A24" s="118" t="str">
        <f t="shared" si="0"/>
        <v>F 6577-1 HIGHWAY 22</v>
      </c>
      <c r="G24" t="str">
        <f>IF('Assignment Tool'!C24="","",IF('Assignment Tool'!C24="FST",'Assignment Tool'!D24,""))</f>
        <v/>
      </c>
      <c r="H24">
        <v>24</v>
      </c>
      <c r="I24">
        <f t="shared" si="1"/>
        <v>145</v>
      </c>
      <c r="J24" t="str">
        <f t="array" ref="J24">IFERROR(INDEX($G$2:$G$2050,_xlfn.AGGREGATE(15,6,(ROW($G$2:$G$2050)-ROW($G$2)+1)/($G$2:$G$2050&lt;&gt;""),ROWS(J$1:J24))),"")</f>
        <v>F 4741-2 HIGHWAY 119</v>
      </c>
      <c r="K24">
        <f>IF(J24="","",INDEX('Assignment Tool'!E40:E2073,MATCH(FA_DATA!J24,'Assignment Tool'!D40:D2073,0)))</f>
        <v>6</v>
      </c>
    </row>
    <row r="25" spans="1:11" x14ac:dyDescent="0.25">
      <c r="A25" s="118" t="str">
        <f t="shared" si="0"/>
        <v>F 6475-1 HIGHWAY 22</v>
      </c>
      <c r="G25" t="str">
        <f>IF('Assignment Tool'!C25="","",IF('Assignment Tool'!C25="FST",'Assignment Tool'!D25,""))</f>
        <v/>
      </c>
      <c r="H25">
        <v>25</v>
      </c>
      <c r="I25">
        <f t="shared" si="1"/>
        <v>151</v>
      </c>
      <c r="J25" t="str">
        <f t="array" ref="J25">IFERROR(INDEX($G$2:$G$2050,_xlfn.AGGREGATE(15,6,(ROW($G$2:$G$2050)-ROW($G$2)+1)/($G$2:$G$2050&lt;&gt;""),ROWS(J$1:J25))),"")</f>
        <v>F 4767-2 HIGHWAY 119</v>
      </c>
      <c r="K25">
        <f>IF(J25="","",INDEX('Assignment Tool'!E41:E2074,MATCH(FA_DATA!J25,'Assignment Tool'!D41:D2074,0)))</f>
        <v>6</v>
      </c>
    </row>
    <row r="26" spans="1:11" x14ac:dyDescent="0.25">
      <c r="A26" s="118" t="str">
        <f t="shared" si="0"/>
        <v>F 6475-1 HIGHWAY 22</v>
      </c>
      <c r="G26" t="str">
        <f>IF('Assignment Tool'!C26="","",IF('Assignment Tool'!C26="FST",'Assignment Tool'!D26,""))</f>
        <v/>
      </c>
      <c r="H26">
        <v>26</v>
      </c>
      <c r="I26">
        <f t="shared" si="1"/>
        <v>157</v>
      </c>
      <c r="J26" t="str">
        <f t="array" ref="J26">IFERROR(INDEX($G$2:$G$2050,_xlfn.AGGREGATE(15,6,(ROW($G$2:$G$2050)-ROW($G$2)+1)/($G$2:$G$2050&lt;&gt;""),ROWS(J$1:J26))),"")</f>
        <v>F 200-1 AMMERSEE LAKES DR</v>
      </c>
      <c r="K26">
        <f>IF(J26="","",INDEX('Assignment Tool'!E42:E2075,MATCH(FA_DATA!J26,'Assignment Tool'!D42:D2075,0)))</f>
        <v>4</v>
      </c>
    </row>
    <row r="27" spans="1:11" x14ac:dyDescent="0.25">
      <c r="A27" s="118" t="str">
        <f t="shared" si="0"/>
        <v>F 6475-1 HIGHWAY 22</v>
      </c>
      <c r="G27" t="str">
        <f>IF('Assignment Tool'!C27="","",IF('Assignment Tool'!C27="FST",'Assignment Tool'!D27,""))</f>
        <v/>
      </c>
      <c r="H27">
        <v>27</v>
      </c>
      <c r="I27">
        <f t="shared" si="1"/>
        <v>161</v>
      </c>
      <c r="J27" t="str">
        <f t="array" ref="J27">IFERROR(INDEX($G$2:$G$2050,_xlfn.AGGREGATE(15,6,(ROW($G$2:$G$2050)-ROW($G$2)+1)/($G$2:$G$2050&lt;&gt;""),ROWS(J$1:J27))),"")</f>
        <v>F 204-1 AMMERSEE LAKES DR</v>
      </c>
      <c r="K27">
        <f>IF(J27="","",INDEX('Assignment Tool'!E43:E2076,MATCH(FA_DATA!J27,'Assignment Tool'!D43:D2076,0)))</f>
        <v>4</v>
      </c>
    </row>
    <row r="28" spans="1:11" x14ac:dyDescent="0.25">
      <c r="A28" s="118" t="str">
        <f t="shared" si="0"/>
        <v>F 6475-1 HIGHWAY 22</v>
      </c>
      <c r="G28" t="str">
        <f>IF('Assignment Tool'!C28="","",IF('Assignment Tool'!C28="FST",'Assignment Tool'!D28,""))</f>
        <v/>
      </c>
      <c r="H28">
        <v>28</v>
      </c>
      <c r="I28">
        <f t="shared" si="1"/>
        <v>165</v>
      </c>
      <c r="J28" t="str">
        <f t="array" ref="J28">IFERROR(INDEX($G$2:$G$2050,_xlfn.AGGREGATE(15,6,(ROW($G$2:$G$2050)-ROW($G$2)+1)/($G$2:$G$2050&lt;&gt;""),ROWS(J$1:J28))),"")</f>
        <v>F 212-2 AMMERSEE LAKES DR</v>
      </c>
      <c r="K28">
        <f>IF(J28="","",INDEX('Assignment Tool'!E44:E2077,MATCH(FA_DATA!J28,'Assignment Tool'!D44:D2077,0)))</f>
        <v>8</v>
      </c>
    </row>
    <row r="29" spans="1:11" x14ac:dyDescent="0.25">
      <c r="A29" s="118" t="str">
        <f t="shared" si="0"/>
        <v>OPP 29-1 SALTERS PATH</v>
      </c>
      <c r="G29" t="str">
        <f>IF('Assignment Tool'!C29="","",IF('Assignment Tool'!C29="FST",'Assignment Tool'!D29,""))</f>
        <v/>
      </c>
      <c r="H29">
        <v>29</v>
      </c>
      <c r="I29">
        <f t="shared" si="1"/>
        <v>173</v>
      </c>
      <c r="J29" t="str">
        <f t="array" ref="J29">IFERROR(INDEX($G$2:$G$2050,_xlfn.AGGREGATE(15,6,(ROW($G$2:$G$2050)-ROW($G$2)+1)/($G$2:$G$2050&lt;&gt;""),ROWS(J$1:J29))),"")</f>
        <v>F 220-1 AMMERSEE LAKES DR</v>
      </c>
      <c r="K29">
        <f>IF(J29="","",INDEX('Assignment Tool'!E45:E2078,MATCH(FA_DATA!J29,'Assignment Tool'!D45:D2078,0)))</f>
        <v>4</v>
      </c>
    </row>
    <row r="30" spans="1:11" x14ac:dyDescent="0.25">
      <c r="A30" s="118" t="str">
        <f t="shared" si="0"/>
        <v>OPP 29-1 SALTERS PATH</v>
      </c>
      <c r="G30" t="str">
        <f>IF('Assignment Tool'!C30="","",IF('Assignment Tool'!C30="FST",'Assignment Tool'!D30,""))</f>
        <v/>
      </c>
      <c r="H30">
        <v>30</v>
      </c>
      <c r="I30">
        <f t="shared" si="1"/>
        <v>177</v>
      </c>
      <c r="J30" t="str">
        <f t="array" ref="J30">IFERROR(INDEX($G$2:$G$2050,_xlfn.AGGREGATE(15,6,(ROW($G$2:$G$2050)-ROW($G$2)+1)/($G$2:$G$2050&lt;&gt;""),ROWS(J$1:J30))),"")</f>
        <v>F 226-1 AMMERSEE LAKES DR</v>
      </c>
      <c r="K30">
        <f>IF(J30="","",INDEX('Assignment Tool'!E46:E2079,MATCH(FA_DATA!J30,'Assignment Tool'!D46:D2079,0)))</f>
        <v>8</v>
      </c>
    </row>
    <row r="31" spans="1:11" x14ac:dyDescent="0.25">
      <c r="A31" s="118" t="str">
        <f t="shared" si="0"/>
        <v>OPP 29-1 SALTERS PATH</v>
      </c>
      <c r="G31" t="str">
        <f>IF('Assignment Tool'!C31="","",IF('Assignment Tool'!C31="FST",'Assignment Tool'!D31,""))</f>
        <v/>
      </c>
      <c r="H31">
        <v>31</v>
      </c>
      <c r="I31">
        <f t="shared" si="1"/>
        <v>185</v>
      </c>
      <c r="J31" t="str">
        <f t="array" ref="J31">IFERROR(INDEX($G$2:$G$2050,_xlfn.AGGREGATE(15,6,(ROW($G$2:$G$2050)-ROW($G$2)+1)/($G$2:$G$2050&lt;&gt;""),ROWS(J$1:J31))),"")</f>
        <v>F 236-2 AMMERSEE LAKES DR</v>
      </c>
      <c r="K31">
        <f>IF(J31="","",INDEX('Assignment Tool'!E47:E2080,MATCH(FA_DATA!J31,'Assignment Tool'!D47:D2080,0)))</f>
        <v>4</v>
      </c>
    </row>
    <row r="32" spans="1:11" x14ac:dyDescent="0.25">
      <c r="A32" s="118" t="str">
        <f t="shared" si="0"/>
        <v>OPP 29-1 SALTERS PATH</v>
      </c>
      <c r="G32" t="str">
        <f>IF('Assignment Tool'!C32="","",IF('Assignment Tool'!C32="FST",'Assignment Tool'!D32,""))</f>
        <v/>
      </c>
      <c r="H32">
        <v>32</v>
      </c>
      <c r="I32">
        <f t="shared" si="1"/>
        <v>189</v>
      </c>
      <c r="J32" t="str">
        <f t="array" ref="J32">IFERROR(INDEX($G$2:$G$2050,_xlfn.AGGREGATE(15,6,(ROW($G$2:$G$2050)-ROW($G$2)+1)/($G$2:$G$2050&lt;&gt;""),ROWS(J$1:J32))),"")</f>
        <v>F 244-2 AMMERSEE LAKES DR</v>
      </c>
      <c r="K32">
        <f>IF(J32="","",INDEX('Assignment Tool'!E48:E2081,MATCH(FA_DATA!J32,'Assignment Tool'!D48:D2081,0)))</f>
        <v>4</v>
      </c>
    </row>
    <row r="33" spans="1:11" x14ac:dyDescent="0.25">
      <c r="A33" s="118" t="str">
        <f t="shared" si="0"/>
        <v>OPP 29-1 SALTERS PATH</v>
      </c>
      <c r="G33" t="str">
        <f>IF('Assignment Tool'!C33="","",IF('Assignment Tool'!C33="FST",'Assignment Tool'!D33,""))</f>
        <v/>
      </c>
      <c r="H33">
        <v>33</v>
      </c>
      <c r="I33">
        <f t="shared" si="1"/>
        <v>193</v>
      </c>
      <c r="J33" t="str">
        <f t="array" ref="J33">IFERROR(INDEX($G$2:$G$2050,_xlfn.AGGREGATE(15,6,(ROW($G$2:$G$2050)-ROW($G$2)+1)/($G$2:$G$2050&lt;&gt;""),ROWS(J$1:J33))),"")</f>
        <v>F 252-2 AMMERSEE LAKES DR</v>
      </c>
      <c r="K33">
        <f>IF(J33="","",INDEX('Assignment Tool'!E49:E2082,MATCH(FA_DATA!J33,'Assignment Tool'!D49:D2082,0)))</f>
        <v>4</v>
      </c>
    </row>
    <row r="34" spans="1:11" x14ac:dyDescent="0.25">
      <c r="A34" s="118" t="str">
        <f t="shared" si="0"/>
        <v>OPP 29-1 SALTERS PATH</v>
      </c>
      <c r="G34" t="str">
        <f>IF('Assignment Tool'!C34="","",IF('Assignment Tool'!C34="FST",'Assignment Tool'!D34,""))</f>
        <v/>
      </c>
      <c r="H34">
        <v>34</v>
      </c>
      <c r="I34">
        <f t="shared" si="1"/>
        <v>197</v>
      </c>
      <c r="J34" t="str">
        <f t="array" ref="J34">IFERROR(INDEX($G$2:$G$2050,_xlfn.AGGREGATE(15,6,(ROW($G$2:$G$2050)-ROW($G$2)+1)/($G$2:$G$2050&lt;&gt;""),ROWS(J$1:J34))),"")</f>
        <v>F 260-2 AMMERSEE LAKES DR</v>
      </c>
      <c r="K34">
        <f>IF(J34="","",INDEX('Assignment Tool'!E50:E2083,MATCH(FA_DATA!J34,'Assignment Tool'!D50:D2083,0)))</f>
        <v>8</v>
      </c>
    </row>
    <row r="35" spans="1:11" x14ac:dyDescent="0.25">
      <c r="A35" s="118" t="str">
        <f t="shared" si="0"/>
        <v>OPP 29-1 SALTERS PATH</v>
      </c>
      <c r="G35" t="str">
        <f>IF('Assignment Tool'!C35="","",IF('Assignment Tool'!C35="FST",'Assignment Tool'!D35,""))</f>
        <v/>
      </c>
      <c r="H35">
        <v>35</v>
      </c>
      <c r="I35">
        <f t="shared" si="1"/>
        <v>205</v>
      </c>
      <c r="J35" t="str">
        <f t="array" ref="J35">IFERROR(INDEX($G$2:$G$2050,_xlfn.AGGREGATE(15,6,(ROW($G$2:$G$2050)-ROW($G$2)+1)/($G$2:$G$2050&lt;&gt;""),ROWS(J$1:J35))),"")</f>
        <v>F 272-1 AMMERSEE LAKES DR</v>
      </c>
      <c r="K35">
        <f>IF(J35="","",INDEX('Assignment Tool'!E51:E2084,MATCH(FA_DATA!J35,'Assignment Tool'!D51:D2084,0)))</f>
        <v>4</v>
      </c>
    </row>
    <row r="36" spans="1:11" x14ac:dyDescent="0.25">
      <c r="A36" s="118" t="str">
        <f t="shared" si="0"/>
        <v>OPP 29-1 SALTERS PATH</v>
      </c>
      <c r="G36" t="str">
        <f>IF('Assignment Tool'!C36="","",IF('Assignment Tool'!C36="FST",'Assignment Tool'!D36,""))</f>
        <v/>
      </c>
      <c r="H36">
        <v>36</v>
      </c>
      <c r="I36">
        <f t="shared" si="1"/>
        <v>209</v>
      </c>
      <c r="J36" t="str">
        <f t="array" ref="J36">IFERROR(INDEX($G$2:$G$2050,_xlfn.AGGREGATE(15,6,(ROW($G$2:$G$2050)-ROW($G$2)+1)/($G$2:$G$2050&lt;&gt;""),ROWS(J$1:J36))),"")</f>
        <v>F 276-2 AMMERSEE LAKES DR</v>
      </c>
      <c r="K36">
        <f>IF(J36="","",INDEX('Assignment Tool'!E52:E2085,MATCH(FA_DATA!J36,'Assignment Tool'!D52:D2085,0)))</f>
        <v>4</v>
      </c>
    </row>
    <row r="37" spans="1:11" x14ac:dyDescent="0.25">
      <c r="A37" s="118" t="str">
        <f t="shared" si="0"/>
        <v>F 6387-1 HIGHWAY 22</v>
      </c>
      <c r="G37" t="str">
        <f>IF('Assignment Tool'!C37="","",IF('Assignment Tool'!C37="FST",'Assignment Tool'!D37,""))</f>
        <v/>
      </c>
      <c r="H37">
        <v>37</v>
      </c>
      <c r="I37">
        <f t="shared" si="1"/>
        <v>213</v>
      </c>
      <c r="J37" t="str">
        <f t="array" ref="J37">IFERROR(INDEX($G$2:$G$2050,_xlfn.AGGREGATE(15,6,(ROW($G$2:$G$2050)-ROW($G$2)+1)/($G$2:$G$2050&lt;&gt;""),ROWS(J$1:J37))),"")</f>
        <v>F 284-1 AMMERSEE LAKES DR</v>
      </c>
      <c r="K37">
        <f>IF(J37="","",INDEX('Assignment Tool'!E53:E2086,MATCH(FA_DATA!J37,'Assignment Tool'!D53:D2086,0)))</f>
        <v>4</v>
      </c>
    </row>
    <row r="38" spans="1:11" x14ac:dyDescent="0.25">
      <c r="A38" s="118" t="str">
        <f t="shared" si="0"/>
        <v>F 6387-1 HIGHWAY 22</v>
      </c>
      <c r="G38" t="str">
        <f>IF('Assignment Tool'!C38="","",IF('Assignment Tool'!C38="FST",'Assignment Tool'!D38,""))</f>
        <v/>
      </c>
      <c r="H38">
        <v>38</v>
      </c>
      <c r="I38">
        <f t="shared" si="1"/>
        <v>217</v>
      </c>
      <c r="J38" t="str">
        <f t="array" ref="J38">IFERROR(INDEX($G$2:$G$2050,_xlfn.AGGREGATE(15,6,(ROW($G$2:$G$2050)-ROW($G$2)+1)/($G$2:$G$2050&lt;&gt;""),ROWS(J$1:J38))),"")</f>
        <v>F 101-1 MOORES SPRING RD</v>
      </c>
      <c r="K38">
        <f>IF(J38="","",INDEX('Assignment Tool'!E54:E2087,MATCH(FA_DATA!J38,'Assignment Tool'!D54:D2087,0)))</f>
        <v>8</v>
      </c>
    </row>
    <row r="39" spans="1:11" x14ac:dyDescent="0.25">
      <c r="A39" s="118" t="str">
        <f t="shared" si="0"/>
        <v>F 6387-1 HIGHWAY 22</v>
      </c>
      <c r="G39" t="str">
        <f>IF('Assignment Tool'!C39="","",IF('Assignment Tool'!C39="FST",'Assignment Tool'!D39,""))</f>
        <v/>
      </c>
      <c r="H39">
        <v>39</v>
      </c>
      <c r="I39">
        <f t="shared" si="1"/>
        <v>225</v>
      </c>
      <c r="J39" t="str">
        <f t="array" ref="J39">IFERROR(INDEX($G$2:$G$2050,_xlfn.AGGREGATE(15,6,(ROW($G$2:$G$2050)-ROW($G$2)+1)/($G$2:$G$2050&lt;&gt;""),ROWS(J$1:J39))),"")</f>
        <v>F 109-1 MOORES SPRING RD</v>
      </c>
      <c r="K39">
        <f>IF(J39="","",INDEX('Assignment Tool'!E55:E2088,MATCH(FA_DATA!J39,'Assignment Tool'!D55:D2088,0)))</f>
        <v>4</v>
      </c>
    </row>
    <row r="40" spans="1:11" x14ac:dyDescent="0.25">
      <c r="A40" s="118" t="str">
        <f t="shared" si="0"/>
        <v>F 6387-1 HIGHWAY 22</v>
      </c>
      <c r="G40" t="str">
        <f>IF('Assignment Tool'!C40="","",IF('Assignment Tool'!C40="FST",'Assignment Tool'!D40,""))</f>
        <v/>
      </c>
      <c r="H40">
        <v>40</v>
      </c>
      <c r="I40">
        <f t="shared" si="1"/>
        <v>229</v>
      </c>
      <c r="J40" t="str">
        <f t="array" ref="J40">IFERROR(INDEX($G$2:$G$2050,_xlfn.AGGREGATE(15,6,(ROW($G$2:$G$2050)-ROW($G$2)+1)/($G$2:$G$2050&lt;&gt;""),ROWS(J$1:J40))),"")</f>
        <v>F 116-1 MOORES SPRING RD</v>
      </c>
      <c r="K40">
        <f>IF(J40="","",INDEX('Assignment Tool'!E56:E2089,MATCH(FA_DATA!J40,'Assignment Tool'!D56:D2089,0)))</f>
        <v>2</v>
      </c>
    </row>
    <row r="41" spans="1:11" x14ac:dyDescent="0.25">
      <c r="A41" s="118" t="str">
        <f t="shared" si="0"/>
        <v>F 6387-1 HIGHWAY 22</v>
      </c>
      <c r="G41" t="str">
        <f>IF('Assignment Tool'!C41="","",IF('Assignment Tool'!C41="FST",'Assignment Tool'!D41,""))</f>
        <v/>
      </c>
      <c r="H41">
        <v>41</v>
      </c>
      <c r="I41">
        <f t="shared" si="1"/>
        <v>231</v>
      </c>
      <c r="J41" t="str">
        <f t="array" ref="J41">IFERROR(INDEX($G$2:$G$2050,_xlfn.AGGREGATE(15,6,(ROW($G$2:$G$2050)-ROW($G$2)+1)/($G$2:$G$2050&lt;&gt;""),ROWS(J$1:J41))),"")</f>
        <v>F 1005-1 PARKERS CV</v>
      </c>
      <c r="K41">
        <f>IF(J41="","",INDEX('Assignment Tool'!E57:E2090,MATCH(FA_DATA!J41,'Assignment Tool'!D57:D2090,0)))</f>
        <v>2</v>
      </c>
    </row>
    <row r="42" spans="1:11" x14ac:dyDescent="0.25">
      <c r="A42" s="118" t="str">
        <f t="shared" si="0"/>
        <v>F 6387-1 HIGHWAY 22</v>
      </c>
      <c r="G42" t="str">
        <f>IF('Assignment Tool'!C42="","",IF('Assignment Tool'!C42="FST",'Assignment Tool'!D42,""))</f>
        <v/>
      </c>
      <c r="H42">
        <v>42</v>
      </c>
      <c r="I42">
        <f t="shared" si="1"/>
        <v>233</v>
      </c>
      <c r="J42" t="str">
        <f t="array" ref="J42">IFERROR(INDEX($G$2:$G$2050,_xlfn.AGGREGATE(15,6,(ROW($G$2:$G$2050)-ROW($G$2)+1)/($G$2:$G$2050&lt;&gt;""),ROWS(J$1:J42))),"")</f>
        <v>F 1013-1 PARKERS CV</v>
      </c>
      <c r="K42">
        <f>IF(J42="","",INDEX('Assignment Tool'!E58:E2091,MATCH(FA_DATA!J42,'Assignment Tool'!D58:D2091,0)))</f>
        <v>4</v>
      </c>
    </row>
    <row r="43" spans="1:11" x14ac:dyDescent="0.25">
      <c r="A43" s="118" t="str">
        <f t="shared" si="0"/>
        <v>F 6387-1 HIGHWAY 22</v>
      </c>
      <c r="G43" t="str">
        <f>IF('Assignment Tool'!C43="","",IF('Assignment Tool'!C43="FST",'Assignment Tool'!D43,""))</f>
        <v/>
      </c>
      <c r="H43">
        <v>43</v>
      </c>
      <c r="I43">
        <f t="shared" si="1"/>
        <v>237</v>
      </c>
      <c r="J43" t="str">
        <f t="array" ref="J43">IFERROR(INDEX($G$2:$G$2050,_xlfn.AGGREGATE(15,6,(ROW($G$2:$G$2050)-ROW($G$2)+1)/($G$2:$G$2050&lt;&gt;""),ROWS(J$1:J43))),"")</f>
        <v>F 1021-1 PARKERS CV</v>
      </c>
      <c r="K43">
        <f>IF(J43="","",INDEX('Assignment Tool'!E59:E2092,MATCH(FA_DATA!J43,'Assignment Tool'!D59:D2092,0)))</f>
        <v>4</v>
      </c>
    </row>
    <row r="44" spans="1:11" x14ac:dyDescent="0.25">
      <c r="A44" s="118" t="str">
        <f t="shared" si="0"/>
        <v>F 6387-1 HIGHWAY 22</v>
      </c>
      <c r="G44" t="str">
        <f>IF('Assignment Tool'!C44="","",IF('Assignment Tool'!C44="FST",'Assignment Tool'!D44,""))</f>
        <v/>
      </c>
      <c r="H44">
        <v>44</v>
      </c>
      <c r="I44">
        <f t="shared" si="1"/>
        <v>241</v>
      </c>
      <c r="J44" t="str">
        <f t="array" ref="J44">IFERROR(INDEX($G$2:$G$2050,_xlfn.AGGREGATE(15,6,(ROW($G$2:$G$2050)-ROW($G$2)+1)/($G$2:$G$2050&lt;&gt;""),ROWS(J$1:J44))),"")</f>
        <v>F 127-2 MOORES SPRING RD</v>
      </c>
      <c r="K44">
        <f>IF(J44="","",INDEX('Assignment Tool'!E60:E2093,MATCH(FA_DATA!J44,'Assignment Tool'!D60:D2093,0)))</f>
        <v>4</v>
      </c>
    </row>
    <row r="45" spans="1:11" x14ac:dyDescent="0.25">
      <c r="A45" s="118" t="str">
        <f t="shared" si="0"/>
        <v>F 45-1 AUTUMN LN</v>
      </c>
      <c r="G45" t="str">
        <f>IF('Assignment Tool'!C45="","",IF('Assignment Tool'!C45="FST",'Assignment Tool'!D45,""))</f>
        <v/>
      </c>
      <c r="H45">
        <v>45</v>
      </c>
      <c r="I45">
        <f t="shared" si="1"/>
        <v>245</v>
      </c>
      <c r="J45" t="str">
        <f t="array" ref="J45">IFERROR(INDEX($G$2:$G$2050,_xlfn.AGGREGATE(15,6,(ROW($G$2:$G$2050)-ROW($G$2)+1)/($G$2:$G$2050&lt;&gt;""),ROWS(J$1:J45))),"")</f>
        <v>F 135-1 MOORES SPRING RD</v>
      </c>
      <c r="K45">
        <f>IF(J45="","",INDEX('Assignment Tool'!E61:E2094,MATCH(FA_DATA!J45,'Assignment Tool'!D61:D2094,0)))</f>
        <v>4</v>
      </c>
    </row>
    <row r="46" spans="1:11" x14ac:dyDescent="0.25">
      <c r="A46" s="118" t="str">
        <f t="shared" si="0"/>
        <v>F 45-1 AUTUMN LN</v>
      </c>
      <c r="G46" t="str">
        <f>IF('Assignment Tool'!C46="","",IF('Assignment Tool'!C46="FST",'Assignment Tool'!D46,""))</f>
        <v/>
      </c>
      <c r="H46">
        <v>46</v>
      </c>
      <c r="I46">
        <f t="shared" si="1"/>
        <v>249</v>
      </c>
      <c r="J46" t="str">
        <f t="array" ref="J46">IFERROR(INDEX($G$2:$G$2050,_xlfn.AGGREGATE(15,6,(ROW($G$2:$G$2050)-ROW($G$2)+1)/($G$2:$G$2050&lt;&gt;""),ROWS(J$1:J46))),"")</f>
        <v>F 143-1 MOORES SPRING RD</v>
      </c>
      <c r="K46">
        <f>IF(J46="","",INDEX('Assignment Tool'!E62:E2095,MATCH(FA_DATA!J46,'Assignment Tool'!D62:D2095,0)))</f>
        <v>4</v>
      </c>
    </row>
    <row r="47" spans="1:11" x14ac:dyDescent="0.25">
      <c r="A47" s="118" t="str">
        <f t="shared" si="0"/>
        <v>F 45-1 AUTUMN LN</v>
      </c>
      <c r="G47" t="str">
        <f>IF('Assignment Tool'!C47="","",IF('Assignment Tool'!C47="FST",'Assignment Tool'!D47,""))</f>
        <v/>
      </c>
      <c r="H47">
        <v>47</v>
      </c>
      <c r="I47">
        <f t="shared" si="1"/>
        <v>253</v>
      </c>
      <c r="J47" t="str">
        <f t="array" ref="J47">IFERROR(INDEX($G$2:$G$2050,_xlfn.AGGREGATE(15,6,(ROW($G$2:$G$2050)-ROW($G$2)+1)/($G$2:$G$2050&lt;&gt;""),ROWS(J$1:J47))),"")</f>
        <v>F 151-1 MOORES SPRING RD</v>
      </c>
      <c r="K47">
        <f>IF(J47="","",INDEX('Assignment Tool'!E63:E2096,MATCH(FA_DATA!J47,'Assignment Tool'!D63:D2096,0)))</f>
        <v>4</v>
      </c>
    </row>
    <row r="48" spans="1:11" x14ac:dyDescent="0.25">
      <c r="A48" s="118" t="str">
        <f t="shared" si="0"/>
        <v>F 45-1 AUTUMN LN</v>
      </c>
      <c r="G48" t="str">
        <f>IF('Assignment Tool'!C48="","",IF('Assignment Tool'!C48="FST",'Assignment Tool'!D48,""))</f>
        <v/>
      </c>
      <c r="H48">
        <v>48</v>
      </c>
      <c r="I48">
        <f t="shared" si="1"/>
        <v>257</v>
      </c>
      <c r="J48" t="str">
        <f t="array" ref="J48">IFERROR(INDEX($G$2:$G$2050,_xlfn.AGGREGATE(15,6,(ROW($G$2:$G$2050)-ROW($G$2)+1)/($G$2:$G$2050&lt;&gt;""),ROWS(J$1:J48))),"")</f>
        <v>F 159-2 MOORES SPRING RD</v>
      </c>
      <c r="K48">
        <f>IF(J48="","",INDEX('Assignment Tool'!E64:E2097,MATCH(FA_DATA!J48,'Assignment Tool'!D64:D2097,0)))</f>
        <v>4</v>
      </c>
    </row>
    <row r="49" spans="1:11" x14ac:dyDescent="0.25">
      <c r="A49" s="118" t="str">
        <f t="shared" si="0"/>
        <v>F 45-1 AUTUMN LN</v>
      </c>
      <c r="G49" t="str">
        <f>IF('Assignment Tool'!C49="","",IF('Assignment Tool'!C49="FST",'Assignment Tool'!D49,""))</f>
        <v/>
      </c>
      <c r="H49">
        <v>49</v>
      </c>
      <c r="I49">
        <f t="shared" si="1"/>
        <v>261</v>
      </c>
      <c r="J49" t="str">
        <f t="array" ref="J49">IFERROR(INDEX($G$2:$G$2050,_xlfn.AGGREGATE(15,6,(ROW($G$2:$G$2050)-ROW($G$2)+1)/($G$2:$G$2050&lt;&gt;""),ROWS(J$1:J49))),"")</f>
        <v>F 167-1 MOORES SPRING RD</v>
      </c>
      <c r="K49">
        <f>IF(J49="","",INDEX('Assignment Tool'!E65:E2098,MATCH(FA_DATA!J49,'Assignment Tool'!D65:D2098,0)))</f>
        <v>8</v>
      </c>
    </row>
    <row r="50" spans="1:11" x14ac:dyDescent="0.25">
      <c r="A50" s="118" t="str">
        <f t="shared" si="0"/>
        <v>F 45-1 AUTUMN LN</v>
      </c>
      <c r="G50" t="str">
        <f>IF('Assignment Tool'!C50="","",IF('Assignment Tool'!C50="FST",'Assignment Tool'!D50,""))</f>
        <v/>
      </c>
      <c r="H50">
        <v>50</v>
      </c>
      <c r="I50">
        <f t="shared" si="1"/>
        <v>269</v>
      </c>
      <c r="J50" t="str">
        <f t="array" ref="J50">IFERROR(INDEX($G$2:$G$2050,_xlfn.AGGREGATE(15,6,(ROW($G$2:$G$2050)-ROW($G$2)+1)/($G$2:$G$2050&lt;&gt;""),ROWS(J$1:J50))),"")</f>
        <v>F 175-2 MOORES SPRING RD</v>
      </c>
      <c r="K50">
        <f>IF(J50="","",INDEX('Assignment Tool'!E66:E2099,MATCH(FA_DATA!J50,'Assignment Tool'!D66:D2099,0)))</f>
        <v>4</v>
      </c>
    </row>
    <row r="51" spans="1:11" x14ac:dyDescent="0.25">
      <c r="A51" s="118" t="str">
        <f t="shared" si="0"/>
        <v>F 45-1 AUTUMN LN</v>
      </c>
      <c r="G51" t="str">
        <f>IF('Assignment Tool'!C51="","",IF('Assignment Tool'!C51="FST",'Assignment Tool'!D51,""))</f>
        <v/>
      </c>
      <c r="H51">
        <v>51</v>
      </c>
      <c r="I51">
        <f t="shared" si="1"/>
        <v>273</v>
      </c>
      <c r="J51" t="str">
        <f t="array" ref="J51">IFERROR(INDEX($G$2:$G$2050,_xlfn.AGGREGATE(15,6,(ROW($G$2:$G$2050)-ROW($G$2)+1)/($G$2:$G$2050&lt;&gt;""),ROWS(J$1:J51))),"")</f>
        <v>F 179-1 MOORES SPRING RD</v>
      </c>
      <c r="K51">
        <f>IF(J51="","",INDEX('Assignment Tool'!E67:E2100,MATCH(FA_DATA!J51,'Assignment Tool'!D67:D2100,0)))</f>
        <v>4</v>
      </c>
    </row>
    <row r="52" spans="1:11" x14ac:dyDescent="0.25">
      <c r="A52" s="118" t="str">
        <f t="shared" si="0"/>
        <v>F 45-1 AUTUMN LN</v>
      </c>
      <c r="G52" t="str">
        <f>IF('Assignment Tool'!C52="","",IF('Assignment Tool'!C52="FST",'Assignment Tool'!D52,""))</f>
        <v/>
      </c>
      <c r="H52">
        <v>52</v>
      </c>
      <c r="I52">
        <f t="shared" si="1"/>
        <v>277</v>
      </c>
      <c r="J52" t="str">
        <f t="array" ref="J52">IFERROR(INDEX($G$2:$G$2050,_xlfn.AGGREGATE(15,6,(ROW($G$2:$G$2050)-ROW($G$2)+1)/($G$2:$G$2050&lt;&gt;""),ROWS(J$1:J52))),"")</f>
        <v>F 7390-1 HIGHWAY 22</v>
      </c>
      <c r="K52">
        <f>IF(J52="","",INDEX('Assignment Tool'!E68:E2101,MATCH(FA_DATA!J52,'Assignment Tool'!D68:D2101,0)))</f>
        <v>12</v>
      </c>
    </row>
    <row r="53" spans="1:11" x14ac:dyDescent="0.25">
      <c r="A53" s="118" t="str">
        <f t="shared" si="0"/>
        <v>OPP 166-1 SALTERS PATH</v>
      </c>
      <c r="G53" t="str">
        <f>IF('Assignment Tool'!C53="","",IF('Assignment Tool'!C53="FST",'Assignment Tool'!D53,""))</f>
        <v/>
      </c>
      <c r="H53">
        <v>53</v>
      </c>
      <c r="I53">
        <f t="shared" si="1"/>
        <v>289</v>
      </c>
      <c r="J53" t="str">
        <f t="array" ref="J53">IFERROR(INDEX($G$2:$G$2050,_xlfn.AGGREGATE(15,6,(ROW($G$2:$G$2050)-ROW($G$2)+1)/($G$2:$G$2050&lt;&gt;""),ROWS(J$1:J53))),"")</f>
        <v>F 7490-1 HIGHWAY 22</v>
      </c>
      <c r="K53">
        <f>IF(J53="","",INDEX('Assignment Tool'!E69:E2102,MATCH(FA_DATA!J53,'Assignment Tool'!D69:D2102,0)))</f>
        <v>4</v>
      </c>
    </row>
    <row r="54" spans="1:11" x14ac:dyDescent="0.25">
      <c r="A54" s="118" t="str">
        <f t="shared" si="0"/>
        <v>OPP 166-1 SALTERS PATH</v>
      </c>
      <c r="G54" t="str">
        <f>IF('Assignment Tool'!C54="","",IF('Assignment Tool'!C54="FST",'Assignment Tool'!D54,""))</f>
        <v/>
      </c>
      <c r="H54">
        <v>54</v>
      </c>
      <c r="I54">
        <f t="shared" si="1"/>
        <v>293</v>
      </c>
      <c r="J54" t="str">
        <f t="array" ref="J54">IFERROR(INDEX($G$2:$G$2050,_xlfn.AGGREGATE(15,6,(ROW($G$2:$G$2050)-ROW($G$2)+1)/($G$2:$G$2050&lt;&gt;""),ROWS(J$1:J54))),"")</f>
        <v>OPP 7615-1 HIGHWAY 22</v>
      </c>
      <c r="K54">
        <f>IF(J54="","",INDEX('Assignment Tool'!E70:E2103,MATCH(FA_DATA!J54,'Assignment Tool'!D70:D2103,0)))</f>
        <v>4</v>
      </c>
    </row>
    <row r="55" spans="1:11" x14ac:dyDescent="0.25">
      <c r="A55" s="118" t="str">
        <f t="shared" si="0"/>
        <v>OPP 166-1 SALTERS PATH</v>
      </c>
      <c r="G55" t="str">
        <f>IF('Assignment Tool'!C55="","",IF('Assignment Tool'!C55="FST",'Assignment Tool'!D55,""))</f>
        <v/>
      </c>
      <c r="H55">
        <v>55</v>
      </c>
      <c r="I55">
        <f t="shared" si="1"/>
        <v>297</v>
      </c>
      <c r="J55" t="str">
        <f t="array" ref="J55">IFERROR(INDEX($G$2:$G$2050,_xlfn.AGGREGATE(15,6,(ROW($G$2:$G$2050)-ROW($G$2)+1)/($G$2:$G$2050&lt;&gt;""),ROWS(J$1:J55))),"")</f>
        <v>F 7706-1 HIGHWAY 22</v>
      </c>
      <c r="K55">
        <f>IF(J55="","",INDEX('Assignment Tool'!E71:E2104,MATCH(FA_DATA!J55,'Assignment Tool'!D71:D2104,0)))</f>
        <v>4</v>
      </c>
    </row>
    <row r="56" spans="1:11" x14ac:dyDescent="0.25">
      <c r="A56" s="118" t="str">
        <f t="shared" si="0"/>
        <v>OPP 166-1 SALTERS PATH</v>
      </c>
      <c r="G56" t="str">
        <f>IF('Assignment Tool'!C56="","",IF('Assignment Tool'!C56="FST",'Assignment Tool'!D56,""))</f>
        <v/>
      </c>
      <c r="H56">
        <v>56</v>
      </c>
      <c r="I56">
        <f t="shared" si="1"/>
        <v>301</v>
      </c>
      <c r="J56" t="str">
        <f t="array" ref="J56">IFERROR(INDEX($G$2:$G$2050,_xlfn.AGGREGATE(15,6,(ROW($G$2:$G$2050)-ROW($G$2)+1)/($G$2:$G$2050&lt;&gt;""),ROWS(J$1:J56))),"")</f>
        <v>F 6512-1 HIGHWAY 16</v>
      </c>
      <c r="K56">
        <f>IF(J56="","",INDEX('Assignment Tool'!E72:E2105,MATCH(FA_DATA!J56,'Assignment Tool'!D72:D2105,0)))</f>
        <v>4</v>
      </c>
    </row>
    <row r="57" spans="1:11" x14ac:dyDescent="0.25">
      <c r="A57" s="118" t="str">
        <f t="shared" si="0"/>
        <v>OPP 166-1 SALTERS PATH</v>
      </c>
      <c r="G57" t="str">
        <f>IF('Assignment Tool'!C57="","",IF('Assignment Tool'!C57="FST",'Assignment Tool'!D57,""))</f>
        <v/>
      </c>
      <c r="H57">
        <v>57</v>
      </c>
      <c r="I57">
        <f t="shared" si="1"/>
        <v>305</v>
      </c>
      <c r="J57" t="str">
        <f t="array" ref="J57">IFERROR(INDEX($G$2:$G$2050,_xlfn.AGGREGATE(15,6,(ROW($G$2:$G$2050)-ROW($G$2)+1)/($G$2:$G$2050&lt;&gt;""),ROWS(J$1:J57))),"")</f>
        <v>F 6418-1 HIGHWAY 16</v>
      </c>
      <c r="K57">
        <f>IF(J57="","",INDEX('Assignment Tool'!E73:E2106,MATCH(FA_DATA!J57,'Assignment Tool'!D73:D2106,0)))</f>
        <v>4</v>
      </c>
    </row>
    <row r="58" spans="1:11" x14ac:dyDescent="0.25">
      <c r="A58" s="118" t="str">
        <f t="shared" si="0"/>
        <v>OPP 166-1 SALTERS PATH</v>
      </c>
      <c r="G58" t="str">
        <f>IF('Assignment Tool'!C58="","",IF('Assignment Tool'!C58="FST",'Assignment Tool'!D58,""))</f>
        <v>F 6475-1 HIGHWAY 22</v>
      </c>
      <c r="H58">
        <v>58</v>
      </c>
      <c r="I58">
        <f t="shared" si="1"/>
        <v>309</v>
      </c>
      <c r="J58" t="str">
        <f t="array" ref="J58">IFERROR(INDEX($G$2:$G$2050,_xlfn.AGGREGATE(15,6,(ROW($G$2:$G$2050)-ROW($G$2)+1)/($G$2:$G$2050&lt;&gt;""),ROWS(J$1:J58))),"")</f>
        <v>F 6305-1 HIGHWAY 16</v>
      </c>
      <c r="K58">
        <f>IF(J58="","",INDEX('Assignment Tool'!E74:E2107,MATCH(FA_DATA!J58,'Assignment Tool'!D74:D2107,0)))</f>
        <v>4</v>
      </c>
    </row>
    <row r="59" spans="1:11" x14ac:dyDescent="0.25">
      <c r="A59" s="118" t="str">
        <f t="shared" si="0"/>
        <v>OPP 166-1 SALTERS PATH</v>
      </c>
      <c r="G59" t="str">
        <f>IF('Assignment Tool'!C59="","",IF('Assignment Tool'!C59="FST",'Assignment Tool'!D59,""))</f>
        <v>OPP 29-1 SALTERS PATH</v>
      </c>
      <c r="H59">
        <v>59</v>
      </c>
      <c r="I59">
        <f t="shared" si="1"/>
        <v>313</v>
      </c>
      <c r="J59" t="str">
        <f t="array" ref="J59">IFERROR(INDEX($G$2:$G$2050,_xlfn.AGGREGATE(15,6,(ROW($G$2:$G$2050)-ROW($G$2)+1)/($G$2:$G$2050&lt;&gt;""),ROWS(J$1:J59))),"")</f>
        <v>OPP 200-1 STAMPS JUNCTION</v>
      </c>
      <c r="K59">
        <f>IF(J59="","",INDEX('Assignment Tool'!E75:E2108,MATCH(FA_DATA!J59,'Assignment Tool'!D75:D2108,0)))</f>
        <v>8</v>
      </c>
    </row>
    <row r="60" spans="1:11" x14ac:dyDescent="0.25">
      <c r="A60" s="118" t="str">
        <f t="shared" si="0"/>
        <v>OPP 166-1 SALTERS PATH</v>
      </c>
      <c r="G60" t="str">
        <f>IF('Assignment Tool'!C60="","",IF('Assignment Tool'!C60="FST",'Assignment Tool'!D60,""))</f>
        <v>F 6387-1 HIGHWAY 22</v>
      </c>
      <c r="H60">
        <v>60</v>
      </c>
      <c r="I60">
        <f t="shared" si="1"/>
        <v>321</v>
      </c>
      <c r="J60" t="str">
        <f t="array" ref="J60">IFERROR(INDEX($G$2:$G$2050,_xlfn.AGGREGATE(15,6,(ROW($G$2:$G$2050)-ROW($G$2)+1)/($G$2:$G$2050&lt;&gt;""),ROWS(J$1:J60))),"")</f>
        <v>F 7920-1 HIGHWAY 22</v>
      </c>
      <c r="K60">
        <f>IF(J60="","",INDEX('Assignment Tool'!E76:E2109,MATCH(FA_DATA!J60,'Assignment Tool'!D76:D2109,0)))</f>
        <v>4</v>
      </c>
    </row>
    <row r="61" spans="1:11" x14ac:dyDescent="0.25">
      <c r="A61" s="118" t="str">
        <f t="shared" si="0"/>
        <v>F 6199-1 HIGHWAY 22</v>
      </c>
      <c r="G61" t="str">
        <f>IF('Assignment Tool'!C61="","",IF('Assignment Tool'!C61="FST",'Assignment Tool'!D61,""))</f>
        <v>F 45-1 AUTUMN LN</v>
      </c>
      <c r="H61">
        <v>61</v>
      </c>
      <c r="I61">
        <f t="shared" si="1"/>
        <v>325</v>
      </c>
      <c r="J61" t="str">
        <f t="array" ref="J61">IFERROR(INDEX($G$2:$G$2050,_xlfn.AGGREGATE(15,6,(ROW($G$2:$G$2050)-ROW($G$2)+1)/($G$2:$G$2050&lt;&gt;""),ROWS(J$1:J61))),"")</f>
        <v>F 6233-1 HIGHWAY 16</v>
      </c>
      <c r="K61">
        <f>IF(J61="","",INDEX('Assignment Tool'!E77:E2110,MATCH(FA_DATA!J61,'Assignment Tool'!D77:D2110,0)))</f>
        <v>8</v>
      </c>
    </row>
    <row r="62" spans="1:11" x14ac:dyDescent="0.25">
      <c r="A62" s="118" t="str">
        <f t="shared" si="0"/>
        <v>F 6199-1 HIGHWAY 22</v>
      </c>
      <c r="G62" t="str">
        <f>IF('Assignment Tool'!C62="","",IF('Assignment Tool'!C62="FST",'Assignment Tool'!D62,""))</f>
        <v>OPP 166-1 SALTERS PATH</v>
      </c>
      <c r="H62">
        <v>62</v>
      </c>
      <c r="I62">
        <f t="shared" si="1"/>
        <v>333</v>
      </c>
      <c r="J62" t="str">
        <f t="array" ref="J62">IFERROR(INDEX($G$2:$G$2050,_xlfn.AGGREGATE(15,6,(ROW($G$2:$G$2050)-ROW($G$2)+1)/($G$2:$G$2050&lt;&gt;""),ROWS(J$1:J62))),"")</f>
        <v>F 6169-1 HIGHWAY 16</v>
      </c>
      <c r="K62">
        <f>IF(J62="","",INDEX('Assignment Tool'!E78:E2111,MATCH(FA_DATA!J62,'Assignment Tool'!D78:D2111,0)))</f>
        <v>8</v>
      </c>
    </row>
    <row r="63" spans="1:11" x14ac:dyDescent="0.25">
      <c r="A63" s="118" t="str">
        <f t="shared" si="0"/>
        <v>F 6199-1 HIGHWAY 22</v>
      </c>
      <c r="G63" t="str">
        <f>IF('Assignment Tool'!C63="","",IF('Assignment Tool'!C63="FST",'Assignment Tool'!D63,""))</f>
        <v/>
      </c>
      <c r="H63">
        <v>63</v>
      </c>
      <c r="I63">
        <f t="shared" si="1"/>
        <v>341</v>
      </c>
      <c r="J63" t="str">
        <f t="array" ref="J63">IFERROR(INDEX($G$2:$G$2050,_xlfn.AGGREGATE(15,6,(ROW($G$2:$G$2050)-ROW($G$2)+1)/($G$2:$G$2050&lt;&gt;""),ROWS(J$1:J63))),"")</f>
        <v>OPP 6116-1 HIGHWAY 16</v>
      </c>
      <c r="K63">
        <f>IF(J63="","",INDEX('Assignment Tool'!E79:E2112,MATCH(FA_DATA!J63,'Assignment Tool'!D79:D2112,0)))</f>
        <v>8</v>
      </c>
    </row>
    <row r="64" spans="1:11" x14ac:dyDescent="0.25">
      <c r="A64" s="118" t="str">
        <f t="shared" si="0"/>
        <v>F 6199-1 HIGHWAY 22</v>
      </c>
      <c r="G64" t="str">
        <f>IF('Assignment Tool'!C64="","",IF('Assignment Tool'!C64="FST",'Assignment Tool'!D64,""))</f>
        <v/>
      </c>
      <c r="H64">
        <v>64</v>
      </c>
      <c r="I64">
        <f t="shared" si="1"/>
        <v>349</v>
      </c>
      <c r="J64" t="str">
        <f t="array" ref="J64">IFERROR(INDEX($G$2:$G$2050,_xlfn.AGGREGATE(15,6,(ROW($G$2:$G$2050)-ROW($G$2)+1)/($G$2:$G$2050&lt;&gt;""),ROWS(J$1:J64))),"")</f>
        <v>F 6087-1 HIGHWAY 16</v>
      </c>
      <c r="K64">
        <f>IF(J64="","",INDEX('Assignment Tool'!E80:E2113,MATCH(FA_DATA!J64,'Assignment Tool'!D80:D2113,0)))</f>
        <v>4</v>
      </c>
    </row>
    <row r="65" spans="1:11" x14ac:dyDescent="0.25">
      <c r="A65" s="118" t="str">
        <f t="shared" si="0"/>
        <v>F 6065-1 HIGHWAY 22</v>
      </c>
      <c r="G65" t="str">
        <f>IF('Assignment Tool'!C65="","",IF('Assignment Tool'!C65="FST",'Assignment Tool'!D65,""))</f>
        <v/>
      </c>
      <c r="H65">
        <v>65</v>
      </c>
      <c r="I65">
        <f t="shared" si="1"/>
        <v>353</v>
      </c>
      <c r="J65" t="str">
        <f t="array" ref="J65">IFERROR(INDEX($G$2:$G$2050,_xlfn.AGGREGATE(15,6,(ROW($G$2:$G$2050)-ROW($G$2)+1)/($G$2:$G$2050&lt;&gt;""),ROWS(J$1:J65))),"")</f>
        <v>F 5691-1 HIGHWAY 16</v>
      </c>
      <c r="K65">
        <f>IF(J65="","",INDEX('Assignment Tool'!E81:E2114,MATCH(FA_DATA!J65,'Assignment Tool'!D81:D2114,0)))</f>
        <v>8</v>
      </c>
    </row>
    <row r="66" spans="1:11" x14ac:dyDescent="0.25">
      <c r="A66" s="118" t="str">
        <f t="shared" ref="A66:A129" si="2">VLOOKUP(H66,$I$1:$J$1000,2)</f>
        <v>F 6065-1 HIGHWAY 22</v>
      </c>
      <c r="G66" t="str">
        <f>IF('Assignment Tool'!C66="","",IF('Assignment Tool'!C66="FST",'Assignment Tool'!D66,""))</f>
        <v/>
      </c>
      <c r="H66">
        <v>66</v>
      </c>
      <c r="I66">
        <f t="shared" si="1"/>
        <v>361</v>
      </c>
      <c r="J66" t="str">
        <f t="array" ref="J66">IFERROR(INDEX($G$2:$G$2050,_xlfn.AGGREGATE(15,6,(ROW($G$2:$G$2050)-ROW($G$2)+1)/($G$2:$G$2050&lt;&gt;""),ROWS(J$1:J66))),"")</f>
        <v>F 5569-1 HIGHWAY 16</v>
      </c>
      <c r="K66">
        <f>IF(J66="","",INDEX('Assignment Tool'!E82:E2115,MATCH(FA_DATA!J66,'Assignment Tool'!D82:D2115,0)))</f>
        <v>8</v>
      </c>
    </row>
    <row r="67" spans="1:11" x14ac:dyDescent="0.25">
      <c r="A67" s="118" t="str">
        <f t="shared" si="2"/>
        <v>F 6065-1 HIGHWAY 22</v>
      </c>
      <c r="G67" t="str">
        <f>IF('Assignment Tool'!C67="","",IF('Assignment Tool'!C67="FST",'Assignment Tool'!D67,""))</f>
        <v/>
      </c>
      <c r="H67">
        <v>67</v>
      </c>
      <c r="I67">
        <f t="shared" ref="I67:I130" si="3">IFERROR((I66+K66),"")</f>
        <v>369</v>
      </c>
      <c r="J67" t="str">
        <f t="array" ref="J67">IFERROR(INDEX($G$2:$G$2050,_xlfn.AGGREGATE(15,6,(ROW($G$2:$G$2050)-ROW($G$2)+1)/($G$2:$G$2050&lt;&gt;""),ROWS(J$1:J67))),"")</f>
        <v>OPP 5464-1 HIGHWAY 16</v>
      </c>
      <c r="K67">
        <f>IF(J67="","",INDEX('Assignment Tool'!E83:E2116,MATCH(FA_DATA!J67,'Assignment Tool'!D83:D2116,0)))</f>
        <v>8</v>
      </c>
    </row>
    <row r="68" spans="1:11" x14ac:dyDescent="0.25">
      <c r="A68" s="118" t="str">
        <f t="shared" si="2"/>
        <v>F 6065-1 HIGHWAY 22</v>
      </c>
      <c r="G68" t="str">
        <f>IF('Assignment Tool'!C68="","",IF('Assignment Tool'!C68="FST",'Assignment Tool'!D68,""))</f>
        <v/>
      </c>
      <c r="H68">
        <v>68</v>
      </c>
      <c r="I68">
        <f t="shared" si="3"/>
        <v>377</v>
      </c>
      <c r="J68" t="str">
        <f t="array" ref="J68">IFERROR(INDEX($G$2:$G$2050,_xlfn.AGGREGATE(15,6,(ROW($G$2:$G$2050)-ROW($G$2)+1)/($G$2:$G$2050&lt;&gt;""),ROWS(J$1:J68))),"")</f>
        <v>F 5385-1 HIGHWAY 16</v>
      </c>
      <c r="K68">
        <f>IF(J68="","",INDEX('Assignment Tool'!E84:E2117,MATCH(FA_DATA!J68,'Assignment Tool'!D84:D2117,0)))</f>
        <v>4</v>
      </c>
    </row>
    <row r="69" spans="1:11" x14ac:dyDescent="0.25">
      <c r="A69" s="118" t="str">
        <f t="shared" si="2"/>
        <v>F 6011-1 HIGHWAY 22</v>
      </c>
      <c r="G69" t="str">
        <f>IF('Assignment Tool'!C69="","",IF('Assignment Tool'!C69="FST",'Assignment Tool'!D69,""))</f>
        <v/>
      </c>
      <c r="H69">
        <v>69</v>
      </c>
      <c r="I69">
        <f t="shared" si="3"/>
        <v>381</v>
      </c>
      <c r="J69" t="str">
        <f t="array" ref="J69">IFERROR(INDEX($G$2:$G$2050,_xlfn.AGGREGATE(15,6,(ROW($G$2:$G$2050)-ROW($G$2)+1)/($G$2:$G$2050&lt;&gt;""),ROWS(J$1:J69))),"")</f>
        <v>F 5343-1 HIGHWAY 16</v>
      </c>
      <c r="K69">
        <f>IF(J69="","",INDEX('Assignment Tool'!E85:E2118,MATCH(FA_DATA!J69,'Assignment Tool'!D85:D2118,0)))</f>
        <v>4</v>
      </c>
    </row>
    <row r="70" spans="1:11" x14ac:dyDescent="0.25">
      <c r="A70" s="118" t="str">
        <f t="shared" si="2"/>
        <v>F 6011-1 HIGHWAY 22</v>
      </c>
      <c r="G70" t="str">
        <f>IF('Assignment Tool'!C70="","",IF('Assignment Tool'!C70="FST",'Assignment Tool'!D70,""))</f>
        <v/>
      </c>
      <c r="H70">
        <v>70</v>
      </c>
      <c r="I70">
        <f t="shared" si="3"/>
        <v>385</v>
      </c>
      <c r="J70" t="str">
        <f t="array" ref="J70">IFERROR(INDEX($G$2:$G$2050,_xlfn.AGGREGATE(15,6,(ROW($G$2:$G$2050)-ROW($G$2)+1)/($G$2:$G$2050&lt;&gt;""),ROWS(J$1:J70))),"")</f>
        <v>F 7966-1 HIGHWAY 22</v>
      </c>
      <c r="K70">
        <f>IF(J70="","",INDEX('Assignment Tool'!E86:E2119,MATCH(FA_DATA!J70,'Assignment Tool'!D86:D2119,0)))</f>
        <v>2</v>
      </c>
    </row>
    <row r="71" spans="1:11" x14ac:dyDescent="0.25">
      <c r="A71" s="118" t="str">
        <f t="shared" si="2"/>
        <v>F 6011-1 HIGHWAY 22</v>
      </c>
      <c r="G71" t="str">
        <f>IF('Assignment Tool'!C71="","",IF('Assignment Tool'!C71="FST",'Assignment Tool'!D71,""))</f>
        <v/>
      </c>
      <c r="H71">
        <v>71</v>
      </c>
      <c r="I71">
        <f t="shared" si="3"/>
        <v>387</v>
      </c>
      <c r="J71" t="str">
        <f t="array" ref="J71">IFERROR(INDEX($G$2:$G$2050,_xlfn.AGGREGATE(15,6,(ROW($G$2:$G$2050)-ROW($G$2)+1)/($G$2:$G$2050&lt;&gt;""),ROWS(J$1:J71))),"")</f>
        <v>F 8154-1 HIGHWAY 22</v>
      </c>
      <c r="K71">
        <f>IF(J71="","",INDEX('Assignment Tool'!E87:E2120,MATCH(FA_DATA!J71,'Assignment Tool'!D87:D2120,0)))</f>
        <v>8</v>
      </c>
    </row>
    <row r="72" spans="1:11" x14ac:dyDescent="0.25">
      <c r="A72" s="118" t="str">
        <f t="shared" si="2"/>
        <v>F 6011-1 HIGHWAY 22</v>
      </c>
      <c r="G72" t="str">
        <f>IF('Assignment Tool'!C72="","",IF('Assignment Tool'!C72="FST",'Assignment Tool'!D72,""))</f>
        <v/>
      </c>
      <c r="H72">
        <v>72</v>
      </c>
      <c r="I72">
        <f t="shared" si="3"/>
        <v>395</v>
      </c>
      <c r="J72" t="str">
        <f t="array" ref="J72">IFERROR(INDEX($G$2:$G$2050,_xlfn.AGGREGATE(15,6,(ROW($G$2:$G$2050)-ROW($G$2)+1)/($G$2:$G$2050&lt;&gt;""),ROWS(J$1:J72))),"")</f>
        <v>F 8168-1 HIGHWAY 22</v>
      </c>
      <c r="K72">
        <f>IF(J72="","",INDEX('Assignment Tool'!E88:E2121,MATCH(FA_DATA!J72,'Assignment Tool'!D88:D2121,0)))</f>
        <v>2</v>
      </c>
    </row>
    <row r="73" spans="1:11" x14ac:dyDescent="0.25">
      <c r="A73" s="118" t="str">
        <f t="shared" si="2"/>
        <v>F 128-2 MOUNTAINVIEW DR</v>
      </c>
      <c r="G73" t="str">
        <f>IF('Assignment Tool'!C73="","",IF('Assignment Tool'!C73="FST",'Assignment Tool'!D73,""))</f>
        <v/>
      </c>
      <c r="H73">
        <v>73</v>
      </c>
      <c r="I73">
        <f t="shared" si="3"/>
        <v>397</v>
      </c>
      <c r="J73" t="str">
        <f t="array" ref="J73">IFERROR(INDEX($G$2:$G$2050,_xlfn.AGGREGATE(15,6,(ROW($G$2:$G$2050)-ROW($G$2)+1)/($G$2:$G$2050&lt;&gt;""),ROWS(J$1:J73))),"")</f>
        <v>F 30-1 HIGHWAY 107</v>
      </c>
      <c r="K73">
        <f>IF(J73="","",INDEX('Assignment Tool'!E89:E2122,MATCH(FA_DATA!J73,'Assignment Tool'!D89:D2122,0)))</f>
        <v>4</v>
      </c>
    </row>
    <row r="74" spans="1:11" x14ac:dyDescent="0.25">
      <c r="A74" s="118" t="str">
        <f t="shared" si="2"/>
        <v>F 128-2 MOUNTAINVIEW DR</v>
      </c>
      <c r="G74" t="str">
        <f>IF('Assignment Tool'!C74="","",IF('Assignment Tool'!C74="FST",'Assignment Tool'!D74,""))</f>
        <v/>
      </c>
      <c r="H74">
        <v>74</v>
      </c>
      <c r="I74">
        <f t="shared" si="3"/>
        <v>401</v>
      </c>
      <c r="J74" t="str">
        <f t="array" ref="J74">IFERROR(INDEX($G$2:$G$2050,_xlfn.AGGREGATE(15,6,(ROW($G$2:$G$2050)-ROW($G$2)+1)/($G$2:$G$2050&lt;&gt;""),ROWS(J$1:J74))),"")</f>
        <v>F 27-1 AMBERWOOD TRL</v>
      </c>
      <c r="K74">
        <f>IF(J74="","",INDEX('Assignment Tool'!E90:E2123,MATCH(FA_DATA!J74,'Assignment Tool'!D90:D2123,0)))</f>
        <v>8</v>
      </c>
    </row>
    <row r="75" spans="1:11" x14ac:dyDescent="0.25">
      <c r="A75" s="118" t="str">
        <f t="shared" si="2"/>
        <v>F 128-2 MOUNTAINVIEW DR</v>
      </c>
      <c r="G75" t="str">
        <f>IF('Assignment Tool'!C75="","",IF('Assignment Tool'!C75="FST",'Assignment Tool'!D75,""))</f>
        <v/>
      </c>
      <c r="H75">
        <v>75</v>
      </c>
      <c r="I75">
        <f t="shared" si="3"/>
        <v>409</v>
      </c>
      <c r="J75" t="str">
        <f t="array" ref="J75">IFERROR(INDEX($G$2:$G$2050,_xlfn.AGGREGATE(15,6,(ROW($G$2:$G$2050)-ROW($G$2)+1)/($G$2:$G$2050&lt;&gt;""),ROWS(J$1:J75))),"")</f>
        <v>F 1-2 HIGHWAY 107</v>
      </c>
      <c r="K75">
        <f>IF(J75="","",INDEX('Assignment Tool'!E91:E2124,MATCH(FA_DATA!J75,'Assignment Tool'!D91:D2124,0)))</f>
        <v>4</v>
      </c>
    </row>
    <row r="76" spans="1:11" x14ac:dyDescent="0.25">
      <c r="A76" s="118" t="str">
        <f t="shared" si="2"/>
        <v>F 128-2 MOUNTAINVIEW DR</v>
      </c>
      <c r="G76" t="str">
        <f>IF('Assignment Tool'!C76="","",IF('Assignment Tool'!C76="FST",'Assignment Tool'!D76,""))</f>
        <v/>
      </c>
      <c r="H76">
        <v>76</v>
      </c>
      <c r="I76">
        <f t="shared" si="3"/>
        <v>413</v>
      </c>
      <c r="J76" t="str">
        <f t="array" ref="J76">IFERROR(INDEX($G$2:$G$2050,_xlfn.AGGREGATE(15,6,(ROW($G$2:$G$2050)-ROW($G$2)+1)/($G$2:$G$2050&lt;&gt;""),ROWS(J$1:J76))),"")</f>
        <v>F 169-2 HIGHWAY 107</v>
      </c>
      <c r="K76">
        <f>IF(J76="","",INDEX('Assignment Tool'!E92:E2125,MATCH(FA_DATA!J76,'Assignment Tool'!D92:D2125,0)))</f>
        <v>4</v>
      </c>
    </row>
    <row r="77" spans="1:11" x14ac:dyDescent="0.25">
      <c r="A77" s="118" t="str">
        <f t="shared" si="2"/>
        <v>F 210-2 MOUNTAINVIEW DR</v>
      </c>
      <c r="G77" t="str">
        <f>IF('Assignment Tool'!C77="","",IF('Assignment Tool'!C77="FST",'Assignment Tool'!D77,""))</f>
        <v/>
      </c>
      <c r="H77">
        <v>77</v>
      </c>
      <c r="I77">
        <f t="shared" si="3"/>
        <v>417</v>
      </c>
      <c r="J77" t="str">
        <f t="array" ref="J77">IFERROR(INDEX($G$2:$G$2050,_xlfn.AGGREGATE(15,6,(ROW($G$2:$G$2050)-ROW($G$2)+1)/($G$2:$G$2050&lt;&gt;""),ROWS(J$1:J77))),"")</f>
        <v>OPP 314-2 HIGHWAY 107</v>
      </c>
      <c r="K77">
        <f>IF(J77="","",INDEX('Assignment Tool'!E93:E2126,MATCH(FA_DATA!J77,'Assignment Tool'!D93:D2126,0)))</f>
        <v>4</v>
      </c>
    </row>
    <row r="78" spans="1:11" x14ac:dyDescent="0.25">
      <c r="A78" s="118" t="str">
        <f t="shared" si="2"/>
        <v>F 210-2 MOUNTAINVIEW DR</v>
      </c>
      <c r="G78" t="str">
        <f>IF('Assignment Tool'!C78="","",IF('Assignment Tool'!C78="FST",'Assignment Tool'!D78,""))</f>
        <v/>
      </c>
      <c r="H78">
        <v>78</v>
      </c>
      <c r="I78">
        <f t="shared" si="3"/>
        <v>421</v>
      </c>
      <c r="J78" t="str">
        <f t="array" ref="J78">IFERROR(INDEX($G$2:$G$2050,_xlfn.AGGREGATE(15,6,(ROW($G$2:$G$2050)-ROW($G$2)+1)/($G$2:$G$2050&lt;&gt;""),ROWS(J$1:J78))),"")</f>
        <v>F 399-2 HIGHWAY 107</v>
      </c>
      <c r="K78">
        <f>IF(J78="","",INDEX('Assignment Tool'!E94:E2127,MATCH(FA_DATA!J78,'Assignment Tool'!D94:D2127,0)))</f>
        <v>4</v>
      </c>
    </row>
    <row r="79" spans="1:11" x14ac:dyDescent="0.25">
      <c r="A79" s="118" t="str">
        <f t="shared" si="2"/>
        <v>F 210-2 MOUNTAINVIEW DR</v>
      </c>
      <c r="G79" t="str">
        <f>IF('Assignment Tool'!C79="","",IF('Assignment Tool'!C79="FST",'Assignment Tool'!D79,""))</f>
        <v/>
      </c>
      <c r="H79">
        <v>79</v>
      </c>
      <c r="I79">
        <f t="shared" si="3"/>
        <v>425</v>
      </c>
      <c r="J79" t="str">
        <f t="array" ref="J79">IFERROR(INDEX($G$2:$G$2050,_xlfn.AGGREGATE(15,6,(ROW($G$2:$G$2050)-ROW($G$2)+1)/($G$2:$G$2050&lt;&gt;""),ROWS(J$1:J79))),"")</f>
        <v>OPP 480-2 HIGHWAY 107</v>
      </c>
      <c r="K79">
        <f>IF(J79="","",INDEX('Assignment Tool'!E95:E2128,MATCH(FA_DATA!J79,'Assignment Tool'!D95:D2128,0)))</f>
        <v>8</v>
      </c>
    </row>
    <row r="80" spans="1:11" x14ac:dyDescent="0.25">
      <c r="A80" s="118" t="str">
        <f t="shared" si="2"/>
        <v>F 210-2 MOUNTAINVIEW DR</v>
      </c>
      <c r="G80" t="str">
        <f>IF('Assignment Tool'!C80="","",IF('Assignment Tool'!C80="FST",'Assignment Tool'!D80,""))</f>
        <v/>
      </c>
      <c r="H80">
        <v>80</v>
      </c>
      <c r="I80">
        <f t="shared" si="3"/>
        <v>433</v>
      </c>
      <c r="J80" t="str">
        <f t="array" ref="J80">IFERROR(INDEX($G$2:$G$2050,_xlfn.AGGREGATE(15,6,(ROW($G$2:$G$2050)-ROW($G$2)+1)/($G$2:$G$2050&lt;&gt;""),ROWS(J$1:J80))),"")</f>
        <v>F 95-2 ALBRIGHT FARM RD</v>
      </c>
      <c r="K80">
        <f>IF(J80="","",INDEX('Assignment Tool'!E96:E2129,MATCH(FA_DATA!J80,'Assignment Tool'!D96:D2129,0)))</f>
        <v>8</v>
      </c>
    </row>
    <row r="81" spans="1:11" x14ac:dyDescent="0.25">
      <c r="A81" s="118" t="str">
        <f t="shared" si="2"/>
        <v>F 210-2 MOUNTAINVIEW DR</v>
      </c>
      <c r="G81" t="str">
        <f>IF('Assignment Tool'!C81="","",IF('Assignment Tool'!C81="FST",'Assignment Tool'!D81,""))</f>
        <v/>
      </c>
      <c r="H81">
        <v>81</v>
      </c>
      <c r="I81">
        <f t="shared" si="3"/>
        <v>441</v>
      </c>
      <c r="J81" t="str">
        <f t="array" ref="J81">IFERROR(INDEX($G$2:$G$2050,_xlfn.AGGREGATE(15,6,(ROW($G$2:$G$2050)-ROW($G$2)+1)/($G$2:$G$2050&lt;&gt;""),ROWS(J$1:J81))),"")</f>
        <v>OPP 566-2 HIGHWAY 107</v>
      </c>
      <c r="K81">
        <f>IF(J81="","",INDEX('Assignment Tool'!E97:E2130,MATCH(FA_DATA!J81,'Assignment Tool'!D97:D2130,0)))</f>
        <v>4</v>
      </c>
    </row>
    <row r="82" spans="1:11" x14ac:dyDescent="0.25">
      <c r="A82" s="118" t="str">
        <f t="shared" si="2"/>
        <v>F 210-2 MOUNTAINVIEW DR</v>
      </c>
      <c r="G82" t="str">
        <f>IF('Assignment Tool'!C82="","",IF('Assignment Tool'!C82="FST",'Assignment Tool'!D82,""))</f>
        <v/>
      </c>
      <c r="H82">
        <v>82</v>
      </c>
      <c r="I82">
        <f t="shared" si="3"/>
        <v>445</v>
      </c>
      <c r="J82" t="str">
        <f t="array" ref="J82">IFERROR(INDEX($G$2:$G$2050,_xlfn.AGGREGATE(15,6,(ROW($G$2:$G$2050)-ROW($G$2)+1)/($G$2:$G$2050&lt;&gt;""),ROWS(J$1:J82))),"")</f>
        <v>F 643-2 HIGHWAY 107</v>
      </c>
      <c r="K82">
        <f>IF(J82="","",INDEX('Assignment Tool'!E98:E2131,MATCH(FA_DATA!J82,'Assignment Tool'!D98:D2131,0)))</f>
        <v>4</v>
      </c>
    </row>
    <row r="83" spans="1:11" x14ac:dyDescent="0.25">
      <c r="A83" s="118" t="str">
        <f t="shared" si="2"/>
        <v>F 210-2 MOUNTAINVIEW DR</v>
      </c>
      <c r="G83" t="str">
        <f>IF('Assignment Tool'!C83="","",IF('Assignment Tool'!C83="FST",'Assignment Tool'!D83,""))</f>
        <v/>
      </c>
      <c r="H83">
        <v>83</v>
      </c>
      <c r="I83">
        <f t="shared" si="3"/>
        <v>449</v>
      </c>
      <c r="J83" t="str">
        <f t="array" ref="J83">IFERROR(INDEX($G$2:$G$2050,_xlfn.AGGREGATE(15,6,(ROW($G$2:$G$2050)-ROW($G$2)+1)/($G$2:$G$2050&lt;&gt;""),ROWS(J$1:J83))),"")</f>
        <v>F 661-2 HIGHWAY 107</v>
      </c>
      <c r="K83">
        <f>IF(J83="","",INDEX('Assignment Tool'!E99:E2132,MATCH(FA_DATA!J83,'Assignment Tool'!D99:D2132,0)))</f>
        <v>4</v>
      </c>
    </row>
    <row r="84" spans="1:11" x14ac:dyDescent="0.25">
      <c r="A84" s="118" t="str">
        <f t="shared" si="2"/>
        <v>F 210-2 MOUNTAINVIEW DR</v>
      </c>
      <c r="G84" t="str">
        <f>IF('Assignment Tool'!C84="","",IF('Assignment Tool'!C84="FST",'Assignment Tool'!D84,""))</f>
        <v/>
      </c>
      <c r="H84">
        <v>84</v>
      </c>
      <c r="I84">
        <f t="shared" si="3"/>
        <v>453</v>
      </c>
      <c r="J84" t="str">
        <f t="array" ref="J84">IFERROR(INDEX($G$2:$G$2050,_xlfn.AGGREGATE(15,6,(ROW($G$2:$G$2050)-ROW($G$2)+1)/($G$2:$G$2050&lt;&gt;""),ROWS(J$1:J84))),"")</f>
        <v>OPP 780-2 HIGHWAY 107</v>
      </c>
      <c r="K84">
        <f>IF(J84="","",INDEX('Assignment Tool'!E100:E2133,MATCH(FA_DATA!J84,'Assignment Tool'!D100:D2133,0)))</f>
        <v>4</v>
      </c>
    </row>
    <row r="85" spans="1:11" x14ac:dyDescent="0.25">
      <c r="A85" s="118" t="str">
        <f t="shared" si="2"/>
        <v>F 5926-1 HIGHWAY 22</v>
      </c>
      <c r="G85" t="str">
        <f>IF('Assignment Tool'!C85="","",IF('Assignment Tool'!C85="FST",'Assignment Tool'!D85,""))</f>
        <v/>
      </c>
      <c r="H85">
        <v>85</v>
      </c>
      <c r="I85">
        <f t="shared" si="3"/>
        <v>457</v>
      </c>
      <c r="J85" t="str">
        <f t="array" ref="J85">IFERROR(INDEX($G$2:$G$2050,_xlfn.AGGREGATE(15,6,(ROW($G$2:$G$2050)-ROW($G$2)+1)/($G$2:$G$2050&lt;&gt;""),ROWS(J$1:J85))),"")</f>
        <v>F 815-2 HIGHWAY 107</v>
      </c>
      <c r="K85">
        <f>IF(J85="","",INDEX('Assignment Tool'!E101:E2134,MATCH(FA_DATA!J85,'Assignment Tool'!D101:D2134,0)))</f>
        <v>4</v>
      </c>
    </row>
    <row r="86" spans="1:11" x14ac:dyDescent="0.25">
      <c r="A86" s="118" t="str">
        <f t="shared" si="2"/>
        <v>F 5926-1 HIGHWAY 22</v>
      </c>
      <c r="G86" t="str">
        <f>IF('Assignment Tool'!C86="","",IF('Assignment Tool'!C86="FST",'Assignment Tool'!D86,""))</f>
        <v/>
      </c>
      <c r="H86">
        <v>86</v>
      </c>
      <c r="I86">
        <f t="shared" si="3"/>
        <v>461</v>
      </c>
      <c r="J86" t="str">
        <f t="array" ref="J86">IFERROR(INDEX($G$2:$G$2050,_xlfn.AGGREGATE(15,6,(ROW($G$2:$G$2050)-ROW($G$2)+1)/($G$2:$G$2050&lt;&gt;""),ROWS(J$1:J86))),"")</f>
        <v>F 941-2 HIGHWAY 107</v>
      </c>
      <c r="K86">
        <f>IF(J86="","",INDEX('Assignment Tool'!E102:E2135,MATCH(FA_DATA!J86,'Assignment Tool'!D102:D2135,0)))</f>
        <v>8</v>
      </c>
    </row>
    <row r="87" spans="1:11" x14ac:dyDescent="0.25">
      <c r="A87" s="118" t="str">
        <f t="shared" si="2"/>
        <v>F 5926-1 HIGHWAY 22</v>
      </c>
      <c r="G87" t="str">
        <f>IF('Assignment Tool'!C87="","",IF('Assignment Tool'!C87="FST",'Assignment Tool'!D87,""))</f>
        <v/>
      </c>
      <c r="H87">
        <v>87</v>
      </c>
      <c r="I87">
        <f t="shared" si="3"/>
        <v>469</v>
      </c>
      <c r="J87" t="str">
        <f t="array" ref="J87">IFERROR(INDEX($G$2:$G$2050,_xlfn.AGGREGATE(15,6,(ROW($G$2:$G$2050)-ROW($G$2)+1)/($G$2:$G$2050&lt;&gt;""),ROWS(J$1:J87))),"")</f>
        <v>F 985-2 HIGHWAY 107</v>
      </c>
      <c r="K87">
        <f>IF(J87="","",INDEX('Assignment Tool'!E103:E2136,MATCH(FA_DATA!J87,'Assignment Tool'!D103:D2136,0)))</f>
        <v>4</v>
      </c>
    </row>
    <row r="88" spans="1:11" x14ac:dyDescent="0.25">
      <c r="A88" s="118" t="str">
        <f t="shared" si="2"/>
        <v>F 5926-1 HIGHWAY 22</v>
      </c>
      <c r="G88" t="str">
        <f>IF('Assignment Tool'!C88="","",IF('Assignment Tool'!C88="FST",'Assignment Tool'!D88,""))</f>
        <v/>
      </c>
      <c r="H88">
        <v>88</v>
      </c>
      <c r="I88">
        <f t="shared" si="3"/>
        <v>473</v>
      </c>
      <c r="J88" t="str">
        <f t="array" ref="J88">IFERROR(INDEX($G$2:$G$2050,_xlfn.AGGREGATE(15,6,(ROW($G$2:$G$2050)-ROW($G$2)+1)/($G$2:$G$2050&lt;&gt;""),ROWS(J$1:J88))),"")</f>
        <v>S 1023-2 HIGHWAY 107</v>
      </c>
      <c r="K88">
        <f>IF(J88="","",INDEX('Assignment Tool'!E104:E2137,MATCH(FA_DATA!J88,'Assignment Tool'!D104:D2137,0)))</f>
        <v>4</v>
      </c>
    </row>
    <row r="89" spans="1:11" x14ac:dyDescent="0.25">
      <c r="A89" s="118" t="str">
        <f t="shared" si="2"/>
        <v>F 5926-1 HIGHWAY 22</v>
      </c>
      <c r="G89" t="str">
        <f>IF('Assignment Tool'!C89="","",IF('Assignment Tool'!C89="FST",'Assignment Tool'!D89,""))</f>
        <v/>
      </c>
      <c r="H89">
        <v>89</v>
      </c>
      <c r="I89">
        <f t="shared" si="3"/>
        <v>477</v>
      </c>
      <c r="J89" t="str">
        <f t="array" ref="J89">IFERROR(INDEX($G$2:$G$2050,_xlfn.AGGREGATE(15,6,(ROW($G$2:$G$2050)-ROW($G$2)+1)/($G$2:$G$2050&lt;&gt;""),ROWS(J$1:J89))),"")</f>
        <v>F 1055-2 HIGHWAY 107</v>
      </c>
      <c r="K89">
        <f>IF(J89="","",INDEX('Assignment Tool'!E105:E2138,MATCH(FA_DATA!J89,'Assignment Tool'!D105:D2138,0)))</f>
        <v>4</v>
      </c>
    </row>
    <row r="90" spans="1:11" x14ac:dyDescent="0.25">
      <c r="A90" s="118" t="str">
        <f t="shared" si="2"/>
        <v>F 5926-1 HIGHWAY 22</v>
      </c>
      <c r="G90" t="str">
        <f>IF('Assignment Tool'!C90="","",IF('Assignment Tool'!C90="FST",'Assignment Tool'!D90,""))</f>
        <v/>
      </c>
      <c r="H90">
        <v>90</v>
      </c>
      <c r="I90">
        <f t="shared" si="3"/>
        <v>481</v>
      </c>
      <c r="J90" t="str">
        <f t="array" ref="J90">IFERROR(INDEX($G$2:$G$2050,_xlfn.AGGREGATE(15,6,(ROW($G$2:$G$2050)-ROW($G$2)+1)/($G$2:$G$2050&lt;&gt;""),ROWS(J$1:J90))),"")</f>
        <v>F 195-1 BUTTERCUP LN</v>
      </c>
      <c r="K90">
        <f>IF(J90="","",INDEX('Assignment Tool'!E106:E2139,MATCH(FA_DATA!J90,'Assignment Tool'!D106:D2139,0)))</f>
        <v>4</v>
      </c>
    </row>
    <row r="91" spans="1:11" x14ac:dyDescent="0.25">
      <c r="A91" s="118" t="str">
        <f t="shared" si="2"/>
        <v>F 5926-1 HIGHWAY 22</v>
      </c>
      <c r="G91" t="str">
        <f>IF('Assignment Tool'!C91="","",IF('Assignment Tool'!C91="FST",'Assignment Tool'!D91,""))</f>
        <v/>
      </c>
      <c r="H91">
        <v>91</v>
      </c>
      <c r="I91">
        <f t="shared" si="3"/>
        <v>485</v>
      </c>
      <c r="J91" t="str">
        <f t="array" ref="J91">IFERROR(INDEX($G$2:$G$2050,_xlfn.AGGREGATE(15,6,(ROW($G$2:$G$2050)-ROW($G$2)+1)/($G$2:$G$2050&lt;&gt;""),ROWS(J$1:J91))),"")</f>
        <v>OPP 180-1 BUTTERCUP LN</v>
      </c>
      <c r="K91">
        <f>IF(J91="","",INDEX('Assignment Tool'!E107:E2140,MATCH(FA_DATA!J91,'Assignment Tool'!D107:D2140,0)))</f>
        <v>8</v>
      </c>
    </row>
    <row r="92" spans="1:11" x14ac:dyDescent="0.25">
      <c r="A92" s="118" t="str">
        <f t="shared" si="2"/>
        <v>F 5926-1 HIGHWAY 22</v>
      </c>
      <c r="G92" t="str">
        <f>IF('Assignment Tool'!C92="","",IF('Assignment Tool'!C92="FST",'Assignment Tool'!D92,""))</f>
        <v/>
      </c>
      <c r="H92">
        <v>92</v>
      </c>
      <c r="I92">
        <f t="shared" si="3"/>
        <v>493</v>
      </c>
      <c r="J92" t="str">
        <f t="array" ref="J92">IFERROR(INDEX($G$2:$G$2050,_xlfn.AGGREGATE(15,6,(ROW($G$2:$G$2050)-ROW($G$2)+1)/($G$2:$G$2050&lt;&gt;""),ROWS(J$1:J92))),"")</f>
        <v>F 365-1 BUTTERCUP LN</v>
      </c>
      <c r="K92">
        <f>IF(J92="","",INDEX('Assignment Tool'!E108:E2141,MATCH(FA_DATA!J92,'Assignment Tool'!D108:D2141,0)))</f>
        <v>12</v>
      </c>
    </row>
    <row r="93" spans="1:11" x14ac:dyDescent="0.25">
      <c r="A93" s="118" t="str">
        <f t="shared" si="2"/>
        <v>F 5730-1 HIGHWAY 22</v>
      </c>
      <c r="G93" t="str">
        <f>IF('Assignment Tool'!C93="","",IF('Assignment Tool'!C93="FST",'Assignment Tool'!D93,""))</f>
        <v/>
      </c>
      <c r="H93">
        <v>93</v>
      </c>
      <c r="I93">
        <f t="shared" si="3"/>
        <v>505</v>
      </c>
      <c r="J93" t="str">
        <f t="array" ref="J93">IFERROR(INDEX($G$2:$G$2050,_xlfn.AGGREGATE(15,6,(ROW($G$2:$G$2050)-ROW($G$2)+1)/($G$2:$G$2050&lt;&gt;""),ROWS(J$1:J93))),"")</f>
        <v/>
      </c>
      <c r="K93" t="str">
        <f>IF(J93="","",INDEX('Assignment Tool'!E109:E2142,MATCH(FA_DATA!J93,'Assignment Tool'!D109:D2142,0)))</f>
        <v/>
      </c>
    </row>
    <row r="94" spans="1:11" x14ac:dyDescent="0.25">
      <c r="A94" s="118" t="str">
        <f t="shared" si="2"/>
        <v>F 5730-1 HIGHWAY 22</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5730-1 HIGHWAY 22</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5730-1 HIGHWAY 22</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5730-1 HIGHWAY 22</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5730-1 HIGHWAY 22</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5730-1 HIGHWAY 22</v>
      </c>
      <c r="G99" t="str">
        <f>IF('Assignment Tool'!C99="","",IF('Assignment Tool'!C99="FST",'Assignment Tool'!D99,""))</f>
        <v>F 6199-1 HIGHWAY 22</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5730-1 HIGHWAY 22</v>
      </c>
      <c r="G100" t="str">
        <f>IF('Assignment Tool'!C100="","",IF('Assignment Tool'!C100="FST",'Assignment Tool'!D100,""))</f>
        <v>F 6065-1 HIGHWAY 22</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130-1 TRIPLE B DR</v>
      </c>
      <c r="G101" t="str">
        <f>IF('Assignment Tool'!C101="","",IF('Assignment Tool'!C101="FST",'Assignment Tool'!D101,""))</f>
        <v>F 6011-1 HIGHWAY 22</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130-1 TRIPLE B DR</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130-1 TRIPLE B DR</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130-1 TRIPLE B DR</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130-1 TRIPLE B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130-1 TRIPLE B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130-1 TRIPLE B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130-1 TRIPLE B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4656-2 HIGHWAY 119</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4656-2 HIGHWAY 119</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4656-2 HIGHWAY 119</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4656-2 HIGHWAY 119</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4656-2 HIGHWAY 119</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4656-2 HIGHWAY 119</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4610-2 HIGHWAY 119</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4610-2 HIGHWAY 119</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4610-2 HIGHWAY 119</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4610-2 HIGHWAY 119</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4560-2 HIGHWAY 119</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4560-2 HIGHWAY 119</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4560-2 HIGHWAY 119</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4560-2 HIGHWAY 119</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4560-2 HIGHWAY 119</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4560-2 HIGHWAY 119</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S 4560-2 HIGHWAY 119</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S 4560-2 HIGHWAY 119</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S 4560-2 HIGHWAY 119</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S 4560-2 HIGHWAY 119</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S 4560-2 HIGHWAY 119</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S 4560-2 HIGHWAY 119</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S 4560-2 HIGHWAY 119</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S 4560-2 HIGHWAY 119</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OPP 7011-1 HIGHWAY 22</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OPP 7011-1 HIGHWAY 22</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OPP 7011-1 HIGHWAY 22</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OPP 7011-1 HIGHWAY 22</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OPP 7011-1 HIGHWAY 22</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OPP 7011-1 HIGHWAY 22</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OPP 7011-1 HIGHWAY 22</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OPP 7011-1 HIGHWAY 22</v>
      </c>
      <c r="G140" t="str">
        <f>IF('Assignment Tool'!C140="","",IF('Assignment Tool'!C140="FST",'Assignment Tool'!D140,""))</f>
        <v>F 128-2 MOUNTAINVIEW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7020-1 HIGHWAY 22</v>
      </c>
      <c r="G141" t="str">
        <f>IF('Assignment Tool'!C141="","",IF('Assignment Tool'!C141="FST",'Assignment Tool'!D141,""))</f>
        <v>F 210-2 MOUNTAINVIEW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7020-1 HIGHWAY 22</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7020-1 HIGHWAY 22</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7020-1 HIGHWAY 22</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4741-2 HIGHWAY 119</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4741-2 HIGHWAY 119</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4741-2 HIGHWAY 119</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4741-2 HIGHWAY 119</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4741-2 HIGHWAY 119</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4741-2 HIGHWAY 119</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4767-2 HIGHWAY 119</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4767-2 HIGHWAY 119</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4767-2 HIGHWAY 119</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4767-2 HIGHWAY 119</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4767-2 HIGHWAY 119</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4767-2 HIGHWAY 119</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200-1 AMMERSEE LAKES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200-1 AMMERSEE LAKES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200-1 AMMERSEE LAKES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200-1 AMMERSEE LAKES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204-1 AMMERSEE LAKES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204-1 AMMERSEE LAKES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204-1 AMMERSEE LAKES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204-1 AMMERSEE LAKES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212-2 AMMERSEE LAKES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212-2 AMMERSEE LAKES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212-2 AMMERSEE LAKES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212-2 AMMERSEE LAKES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212-2 AMMERSEE LAKES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212-2 AMMERSEE LAKES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212-2 AMMERSEE LAKES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212-2 AMMERSEE LAKES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220-1 AMMERSEE LAKES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220-1 AMMERSEE LAKES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220-1 AMMERSEE LAKES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220-1 AMMERSEE LAKES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226-1 AMMERSEE LAKES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226-1 AMMERSEE LAKES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226-1 AMMERSEE LAKES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226-1 AMMERSEE LAKES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226-1 AMMERSEE LAKES DR</v>
      </c>
      <c r="G181" t="str">
        <f>IF('Assignment Tool'!C181="","",IF('Assignment Tool'!C181="FST",'Assignment Tool'!D181,""))</f>
        <v>F 5926-1 HIGHWAY 22</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226-1 AMMERSEE LAKES DR</v>
      </c>
      <c r="G182" t="str">
        <f>IF('Assignment Tool'!C182="","",IF('Assignment Tool'!C182="FST",'Assignment Tool'!D182,""))</f>
        <v>F 5730-1 HIGHWAY 22</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226-1 AMMERSEE LAKES DR</v>
      </c>
      <c r="G183" t="str">
        <f>IF('Assignment Tool'!C183="","",IF('Assignment Tool'!C183="FST",'Assignment Tool'!D183,""))</f>
        <v>F 130-1 TRIPLE B DR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226-1 AMMERSEE LAKES DR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236-2 AMMERSEE LAKES DR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236-2 AMMERSEE LAKES DR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236-2 AMMERSEE LAKES DR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236-2 AMMERSEE LAKES DR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244-2 AMMERSEE LAKES DR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244-2 AMMERSEE LAKES DR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244-2 AMMERSEE LAKES DR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244-2 AMMERSEE LAKES DR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252-2 AMMERSEE LAKES DR</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252-2 AMMERSEE LAKES DR</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252-2 AMMERSEE LAKES DR</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252-2 AMMERSEE LAKES DR</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260-2 AMMERSEE LAKES DR</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260-2 AMMERSEE LAKES DR</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260-2 AMMERSEE LAKES DR</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260-2 AMMERSEE LAKES DR</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260-2 AMMERSEE LAKES DR</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260-2 AMMERSEE LAKES DR</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260-2 AMMERSEE LAKES DR</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260-2 AMMERSEE LAKES DR</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272-1 AMMERSEE LAKES DR</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272-1 AMMERSEE LAKES DR</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272-1 AMMERSEE LAKES DR</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272-1 AMMERSEE LAKES DR</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276-2 AMMERSEE LAKES DR</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276-2 AMMERSEE LAKES DR</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276-2 AMMERSEE LAKES DR</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276-2 AMMERSEE LAKES DR</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284-1 AMMERSEE LAKES DR</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284-1 AMMERSEE LAKES DR</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284-1 AMMERSEE LAKES DR</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284-1 AMMERSEE LAKES DR</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101-1 MOORES SPRING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101-1 MOORES SPRING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101-1 MOORES SPRING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101-1 MOORES SPRING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101-1 MOORES SPRING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101-1 MOORES SPRING RD</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101-1 MOORES SPRING RD</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101-1 MOORES SPRING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109-1 MOORES SPRING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109-1 MOORES SPRING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109-1 MOORES SPRING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109-1 MOORES SPRING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116-1 MOORES SPRING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116-1 MOORES SPRING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1005-1 PARKERS CV</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1005-1 PARKERS CV</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1013-1 PARKERS CV</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1013-1 PARKERS CV</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1013-1 PARKERS CV</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1013-1 PARKERS CV</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1021-1 PARKERS CV</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1021-1 PARKERS CV</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1021-1 PARKERS CV</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1021-1 PARKERS CV</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127-2 MOORES SPRING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127-2 MOORES SPRING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127-2 MOORES SPRING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127-2 MOORES SPRING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135-1 MOORES SPRING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135-1 MOORES SPRING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135-1 MOORES SPRING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135-1 MOORES SPRING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143-1 MOORES SPRING RD</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143-1 MOORES SPRING RD</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143-1 MOORES SPRING RD</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143-1 MOORES SPRING RD</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151-1 MOORES SPRING RD</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151-1 MOORES SPRING RD</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151-1 MOORES SPRING RD</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151-1 MOORES SPRING RD</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159-2 MOORES SPRING RD</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159-2 MOORES SPRING RD</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159-2 MOORES SPRING RD</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159-2 MOORES SPRING RD</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167-1 MOORES SPRING RD</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167-1 MOORES SPRING RD</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167-1 MOORES SPRING RD</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167-1 MOORES SPRING RD</v>
      </c>
      <c r="G264" t="str">
        <f>IF('Assignment Tool'!C264="","",IF('Assignment Tool'!C264="FST",'Assignment Tool'!D264,""))</f>
        <v>F 4656-2 HIGHWAY 119</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167-1 MOORES SPRING RD</v>
      </c>
      <c r="G265" t="str">
        <f>IF('Assignment Tool'!C265="","",IF('Assignment Tool'!C265="FST",'Assignment Tool'!D265,""))</f>
        <v>F 4610-2 HIGHWAY 119</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167-1 MOORES SPRING RD</v>
      </c>
      <c r="G266" t="str">
        <f>IF('Assignment Tool'!C266="","",IF('Assignment Tool'!C266="FST",'Assignment Tool'!D266,""))</f>
        <v>F 4560-2 HIGHWAY 119</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167-1 MOORES SPRING RD</v>
      </c>
      <c r="G267" t="str">
        <f>IF('Assignment Tool'!C267="","",IF('Assignment Tool'!C267="FST",'Assignment Tool'!D267,""))</f>
        <v>S 4560-2 HIGHWAY 119</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167-1 MOORES SPRING RD</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175-2 MOORES SPRING RD</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175-2 MOORES SPRING RD</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175-2 MOORES SPRING RD</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175-2 MOORES SPRING RD</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179-1 MOORES SPRING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179-1 MOORES SPRING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179-1 MOORES SPRING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179-1 MOORES SPRING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7390-1 HIGHWAY 22</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7390-1 HIGHWAY 22</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7390-1 HIGHWAY 22</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7390-1 HIGHWAY 22</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7390-1 HIGHWAY 22</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7390-1 HIGHWAY 22</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7390-1 HIGHWAY 22</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7390-1 HIGHWAY 22</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7390-1 HIGHWAY 22</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7390-1 HIGHWAY 22</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7390-1 HIGHWAY 22</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7390-1 HIGHWAY 22</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7490-1 HIGHWAY 22</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7490-1 HIGHWAY 22</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7490-1 HIGHWAY 22</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7490-1 HIGHWAY 22</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7615-1 HIGHWAY 22</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7615-1 HIGHWAY 22</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7615-1 HIGHWAY 22</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7615-1 HIGHWAY 22</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7706-1 HIGHWAY 22</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7706-1 HIGHWAY 22</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7706-1 HIGHWAY 22</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7706-1 HIGHWAY 22</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6512-1 HIGHWAY 16</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6512-1 HIGHWAY 16</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6512-1 HIGHWAY 16</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6512-1 HIGHWAY 16</v>
      </c>
      <c r="G304" t="str">
        <f>IF('Assignment Tool'!C304="","",IF('Assignment Tool'!C304="FST",'Assignment Tool'!D304,""))</f>
        <v>OPP 7011-1 HIGHWAY 22</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6418-1 HIGHWAY 16</v>
      </c>
      <c r="G305" t="str">
        <f>IF('Assignment Tool'!C305="","",IF('Assignment Tool'!C305="FST",'Assignment Tool'!D305,""))</f>
        <v>F 7020-1 HIGHWAY 22</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6418-1 HIGHWAY 16</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6418-1 HIGHWAY 16</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6418-1 HIGHWAY 16</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6305-1 HIGHWAY 16</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6305-1 HIGHWAY 16</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6305-1 HIGHWAY 16</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6305-1 HIGHWAY 16</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OPP 200-1 STAMPS JUNCTION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OPP 200-1 STAMPS JUNCTION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OPP 200-1 STAMPS JUNCTION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OPP 200-1 STAMPS JUNCTION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OPP 200-1 STAMPS JUNCTION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OPP 200-1 STAMPS JUNCTION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OPP 200-1 STAMPS JUNCTION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OPP 200-1 STAMPS JUNCTION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7920-1 HIGHWAY 22</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7920-1 HIGHWAY 22</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7920-1 HIGHWAY 22</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7920-1 HIGHWAY 22</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6233-1 HIGHWAY 16</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6233-1 HIGHWAY 16</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6233-1 HIGHWAY 16</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6233-1 HIGHWAY 16</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6233-1 HIGHWAY 16</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6233-1 HIGHWAY 16</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6233-1 HIGHWAY 16</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6233-1 HIGHWAY 16</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6169-1 HIGHWAY 16</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6169-1 HIGHWAY 16</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6169-1 HIGHWAY 16</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6169-1 HIGHWAY 16</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6169-1 HIGHWAY 16</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6169-1 HIGHWAY 16</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6169-1 HIGHWAY 16</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6169-1 HIGHWAY 16</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OPP 6116-1 HIGHWAY 16</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OPP 6116-1 HIGHWAY 16</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OPP 6116-1 HIGHWAY 16</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OPP 6116-1 HIGHWAY 16</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OPP 6116-1 HIGHWAY 16</v>
      </c>
      <c r="G345" t="str">
        <f>IF('Assignment Tool'!C345="","",IF('Assignment Tool'!C345="FST",'Assignment Tool'!D345,""))</f>
        <v>F 4741-2 HIGHWAY 119</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OPP 6116-1 HIGHWAY 16</v>
      </c>
      <c r="G346" t="str">
        <f>IF('Assignment Tool'!C346="","",IF('Assignment Tool'!C346="FST",'Assignment Tool'!D346,""))</f>
        <v>F 4767-2 HIGHWAY 119</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OPP 6116-1 HIGHWAY 16</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OPP 6116-1 HIGHWAY 16</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6087-1 HIGHWAY 16</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6087-1 HIGHWAY 16</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6087-1 HIGHWAY 16</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6087-1 HIGHWAY 16</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5691-1 HIGHWAY 16</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5691-1 HIGHWAY 16</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5691-1 HIGHWAY 16</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5691-1 HIGHWAY 16</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5691-1 HIGHWAY 16</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5691-1 HIGHWAY 16</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5691-1 HIGHWAY 16</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5691-1 HIGHWAY 16</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5569-1 HIGHWAY 16</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5569-1 HIGHWAY 16</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5569-1 HIGHWAY 16</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5569-1 HIGHWAY 16</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5569-1 HIGHWAY 16</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5569-1 HIGHWAY 16</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5569-1 HIGHWAY 16</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5569-1 HIGHWAY 16</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OPP 5464-1 HIGHWAY 16</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OPP 5464-1 HIGHWAY 16</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OPP 5464-1 HIGHWAY 16</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OPP 5464-1 HIGHWAY 16</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OPP 5464-1 HIGHWAY 16</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OPP 5464-1 HIGHWAY 16</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OPP 5464-1 HIGHWAY 16</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OPP 5464-1 HIGHWAY 16</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5385-1 HIGHWAY 16</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5385-1 HIGHWAY 16</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5385-1 HIGHWAY 16</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5385-1 HIGHWAY 16</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5343-1 HIGHWAY 16</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5343-1 HIGHWAY 16</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5343-1 HIGHWAY 16</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5343-1 HIGHWAY 16</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7966-1 HIGHWAY 22</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7966-1 HIGHWAY 22</v>
      </c>
      <c r="G386" t="str">
        <f>IF('Assignment Tool'!C386="","",IF('Assignment Tool'!C386="FST",'Assignment Tool'!D386,""))</f>
        <v>F 200-1 AMMERSEE LAKES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8154-1 HIGHWAY 22</v>
      </c>
      <c r="G387" t="str">
        <f>IF('Assignment Tool'!C387="","",IF('Assignment Tool'!C387="FST",'Assignment Tool'!D387,""))</f>
        <v>F 204-1 AMMERSEE LAKES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8154-1 HIGHWAY 22</v>
      </c>
      <c r="G388" t="str">
        <f>IF('Assignment Tool'!C388="","",IF('Assignment Tool'!C388="FST",'Assignment Tool'!D388,""))</f>
        <v>F 212-2 AMMERSEE LAKES DR</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8154-1 HIGHWAY 22</v>
      </c>
      <c r="G389" t="str">
        <f>IF('Assignment Tool'!C389="","",IF('Assignment Tool'!C389="FST",'Assignment Tool'!D389,""))</f>
        <v>F 220-1 AMMERSEE LAKES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8154-1 HIGHWAY 22</v>
      </c>
      <c r="G390" t="str">
        <f>IF('Assignment Tool'!C390="","",IF('Assignment Tool'!C390="FST",'Assignment Tool'!D390,""))</f>
        <v>F 226-1 AMMERSEE LAKES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8154-1 HIGHWAY 22</v>
      </c>
      <c r="G391" t="str">
        <f>IF('Assignment Tool'!C391="","",IF('Assignment Tool'!C391="FST",'Assignment Tool'!D391,""))</f>
        <v>F 236-2 AMMERSEE LAKES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8154-1 HIGHWAY 22</v>
      </c>
      <c r="G392" t="str">
        <f>IF('Assignment Tool'!C392="","",IF('Assignment Tool'!C392="FST",'Assignment Tool'!D392,""))</f>
        <v>F 244-2 AMMERSEE LAKES DR</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8154-1 HIGHWAY 22</v>
      </c>
      <c r="G393" t="str">
        <f>IF('Assignment Tool'!C393="","",IF('Assignment Tool'!C393="FST",'Assignment Tool'!D393,""))</f>
        <v>F 252-2 AMMERSEE LAKES DR</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8154-1 HIGHWAY 22</v>
      </c>
      <c r="G394" t="str">
        <f>IF('Assignment Tool'!C394="","",IF('Assignment Tool'!C394="FST",'Assignment Tool'!D394,""))</f>
        <v>F 260-2 AMMERSEE LAKES DR</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8168-1 HIGHWAY 22</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8168-1 HIGHWAY 22</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30-1 HIGHWAY 107</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30-1 HIGHWAY 107</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30-1 HIGHWAY 107</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30-1 HIGHWAY 107</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27-1 AMBERWOOD TRL</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27-1 AMBERWOOD TRL</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27-1 AMBERWOOD TRL</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27-1 AMBERWOOD TRL</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27-1 AMBERWOOD TRL</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27-1 AMBERWOOD TRL</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27-1 AMBERWOOD TRL</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27-1 AMBERWOOD TRL</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1-2 HIGHWAY 107</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1-2 HIGHWAY 107</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1-2 HIGHWAY 107</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1-2 HIGHWAY 107</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169-2 HIGHWAY 107</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169-2 HIGHWAY 107</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169-2 HIGHWAY 107</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169-2 HIGHWAY 107</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OPP 314-2 HIGHWAY 107</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OPP 314-2 HIGHWAY 107</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OPP 314-2 HIGHWAY 107</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OPP 314-2 HIGHWAY 107</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399-2 HIGHWAY 107</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399-2 HIGHWAY 107</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399-2 HIGHWAY 107</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399-2 HIGHWAY 107</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OPP 480-2 HIGHWAY 107</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OPP 480-2 HIGHWAY 107</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OPP 480-2 HIGHWAY 107</v>
      </c>
      <c r="G427" t="str">
        <f>IF('Assignment Tool'!C427="","",IF('Assignment Tool'!C427="FST",'Assignment Tool'!D427,""))</f>
        <v>F 272-1 AMMERSEE LAKES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OPP 480-2 HIGHWAY 107</v>
      </c>
      <c r="G428" t="str">
        <f>IF('Assignment Tool'!C428="","",IF('Assignment Tool'!C428="FST",'Assignment Tool'!D428,""))</f>
        <v>F 276-2 AMMERSEE LAKES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480-2 HIGHWAY 107</v>
      </c>
      <c r="G429" t="str">
        <f>IF('Assignment Tool'!C429="","",IF('Assignment Tool'!C429="FST",'Assignment Tool'!D429,""))</f>
        <v>F 284-1 AMMERSEE LAKES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480-2 HIGHWAY 107</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480-2 HIGHWAY 107</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480-2 HIGHWAY 107</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95-2 ALBRIGHT FARM RD</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95-2 ALBRIGHT FARM RD</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95-2 ALBRIGHT FARM RD</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95-2 ALBRIGHT FARM RD</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95-2 ALBRIGHT FARM RD</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95-2 ALBRIGHT FARM RD</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95-2 ALBRIGHT FARM RD</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95-2 ALBRIGHT FARM RD</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OPP 566-2 HIGHWAY 107</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OPP 566-2 HIGHWAY 107</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OPP 566-2 HIGHWAY 107</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OPP 566-2 HIGHWAY 107</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643-2 HIGHWAY 107</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643-2 HIGHWAY 107</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643-2 HIGHWAY 107</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643-2 HIGHWAY 107</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661-2 HIGHWAY 107</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661-2 HIGHWAY 107</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661-2 HIGHWAY 107</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661-2 HIGHWAY 107</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OPP 780-2 HIGHWAY 107</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OPP 780-2 HIGHWAY 107</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OPP 780-2 HIGHWAY 107</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OPP 780-2 HIGHWAY 107</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815-2 HIGHWAY 107</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815-2 HIGHWAY 107</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815-2 HIGHWAY 107</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815-2 HIGHWAY 107</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941-2 HIGHWAY 107</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941-2 HIGHWAY 107</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941-2 HIGHWAY 107</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941-2 HIGHWAY 107</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941-2 HIGHWAY 107</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941-2 HIGHWAY 107</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941-2 HIGHWAY 107</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941-2 HIGHWAY 107</v>
      </c>
      <c r="G468" t="str">
        <f>IF('Assignment Tool'!C468="","",IF('Assignment Tool'!C468="FST",'Assignment Tool'!D468,""))</f>
        <v>F 101-1 MOORES SPRING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985-2 HIGHWAY 107</v>
      </c>
      <c r="G469" t="str">
        <f>IF('Assignment Tool'!C469="","",IF('Assignment Tool'!C469="FST",'Assignment Tool'!D469,""))</f>
        <v>F 109-1 MOORES SPRING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985-2 HIGHWAY 107</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985-2 HIGHWAY 107</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985-2 HIGHWAY 107</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S 1023-2 HIGHWAY 107</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S 1023-2 HIGHWAY 107</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S 1023-2 HIGHWAY 107</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S 1023-2 HIGHWAY 107</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1055-2 HIGHWAY 107</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1055-2 HIGHWAY 107</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1055-2 HIGHWAY 107</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1055-2 HIGHWAY 107</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F 195-1 BUTTERCUP LN</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F 195-1 BUTTERCUP LN</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F 195-1 BUTTERCUP LN</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F 195-1 BUTTERCUP LN</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OPP 180-1 BUTTERCUP LN</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OPP 180-1 BUTTERCUP LN</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OPP 180-1 BUTTERCUP LN</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OPP 180-1 BUTTERCUP LN</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OPP 180-1 BUTTERCUP LN</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OPP 180-1 BUTTERCUP LN</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OPP 180-1 BUTTERCUP LN</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OPP 180-1 BUTTERCUP LN</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365-1 BUTTERCUP LN</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365-1 BUTTERCUP LN</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365-1 BUTTERCUP LN</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365-1 BUTTERCUP LN</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365-1 BUTTERCUP LN</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365-1 BUTTERCUP LN</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F 365-1 BUTTERCUP LN</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F 365-1 BUTTERCUP LN</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F 365-1 BUTTERCUP LN</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F 365-1 BUTTERCUP LN</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F 365-1 BUTTERCUP LN</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F 365-1 BUTTERCUP LN</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116-1 MOORES SPRING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1005-1 PARKERS CV</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1013-1 PARKERS CV</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1021-1 PARKERS CV</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127-2 MOORES SPRING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135-1 MOORES SPRING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143-1 MOORES SPRING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151-1 MOORES SPRING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159-2 MOORES SPRING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167-1 MOORES SPRING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175-2 MOORES SPRING RD</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179-1 MOORES SPRING RD</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7390-1 HIGHWAY 22</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7490-1 HIGHWAY 22</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OPP 7615-1 HIGHWAY 22</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7706-1 HIGHWAY 22</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6512-1 HIGHWAY 16</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6418-1 HIGHWAY 16</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6305-1 HIGHWAY 16</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OPP 200-1 STAMPS JUNCTION</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7920-1 HIGHWAY 22</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6233-1 HIGHWAY 16</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6169-1 HIGHWAY 16</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OPP 6116-1 HIGHWAY 16</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6087-1 HIGHWAY 16</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5691-1 HIGHWAY 16</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5569-1 HIGHWAY 16</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OPP 5464-1 HIGHWAY 16</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5385-1 HIGHWAY 16</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5343-1 HIGHWAY 16</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7966-1 HIGHWAY 22</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8154-1 HIGHWAY 22</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F 8168-1 HIGHWAY 22</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30-1 HIGHWAY 107</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27-1 AMBERWOOD TRL</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1-2 HIGHWAY 107</v>
      </c>
    </row>
    <row r="1002" spans="1:11" x14ac:dyDescent="0.25">
      <c r="G1002" t="str">
        <f>IF('Assignment Tool'!C1002="","",IF('Assignment Tool'!C1002="FST",'Assignment Tool'!D1002,""))</f>
        <v>F 169-2 HIGHWAY 107</v>
      </c>
    </row>
    <row r="1003" spans="1:11" x14ac:dyDescent="0.25">
      <c r="G1003" t="str">
        <f>IF('Assignment Tool'!C1003="","",IF('Assignment Tool'!C1003="FST",'Assignment Tool'!D1003,""))</f>
        <v>OPP 314-2 HIGHWAY 107</v>
      </c>
    </row>
    <row r="1004" spans="1:11" x14ac:dyDescent="0.25">
      <c r="G1004" t="str">
        <f>IF('Assignment Tool'!C1004="","",IF('Assignment Tool'!C1004="FST",'Assignment Tool'!D1004,""))</f>
        <v>F 399-2 HIGHWAY 107</v>
      </c>
    </row>
    <row r="1005" spans="1:11" x14ac:dyDescent="0.25">
      <c r="G1005" t="str">
        <f>IF('Assignment Tool'!C1005="","",IF('Assignment Tool'!C1005="FST",'Assignment Tool'!D1005,""))</f>
        <v>OPP 480-2 HIGHWAY 107</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95-2 ALBRIGHT FARM RD</v>
      </c>
    </row>
    <row r="1043" spans="7:7" x14ac:dyDescent="0.25">
      <c r="G1043" t="str">
        <f>IF('Assignment Tool'!C1043="","",IF('Assignment Tool'!C1043="FST",'Assignment Tool'!D1043,""))</f>
        <v>OPP 566-2 HIGHWAY 107</v>
      </c>
    </row>
    <row r="1044" spans="7:7" x14ac:dyDescent="0.25">
      <c r="G1044" t="str">
        <f>IF('Assignment Tool'!C1044="","",IF('Assignment Tool'!C1044="FST",'Assignment Tool'!D1044,""))</f>
        <v>F 643-2 HIGHWAY 107</v>
      </c>
    </row>
    <row r="1045" spans="7:7" x14ac:dyDescent="0.25">
      <c r="G1045" t="str">
        <f>IF('Assignment Tool'!C1045="","",IF('Assignment Tool'!C1045="FST",'Assignment Tool'!D1045,""))</f>
        <v>F 661-2 HIGHWAY 107</v>
      </c>
    </row>
    <row r="1046" spans="7:7" x14ac:dyDescent="0.25">
      <c r="G1046" t="str">
        <f>IF('Assignment Tool'!C1046="","",IF('Assignment Tool'!C1046="FST",'Assignment Tool'!D1046,""))</f>
        <v>OPP 780-2 HIGHWAY 107</v>
      </c>
    </row>
    <row r="1047" spans="7:7" x14ac:dyDescent="0.25">
      <c r="G1047" t="str">
        <f>IF('Assignment Tool'!C1047="","",IF('Assignment Tool'!C1047="FST",'Assignment Tool'!D1047,""))</f>
        <v>F 815-2 HIGHWAY 107</v>
      </c>
    </row>
    <row r="1048" spans="7:7" x14ac:dyDescent="0.25">
      <c r="G1048" t="str">
        <f>IF('Assignment Tool'!C1048="","",IF('Assignment Tool'!C1048="FST",'Assignment Tool'!D1048,""))</f>
        <v>F 941-2 HIGHWAY 107</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F 985-2 HIGHWAY 107</v>
      </c>
    </row>
    <row r="1086" spans="7:7" x14ac:dyDescent="0.25">
      <c r="G1086" t="str">
        <f>IF('Assignment Tool'!C1086="","",IF('Assignment Tool'!C1086="FST",'Assignment Tool'!D1086,""))</f>
        <v>S 1023-2 HIGHWAY 107</v>
      </c>
    </row>
    <row r="1087" spans="7:7" x14ac:dyDescent="0.25">
      <c r="G1087" t="str">
        <f>IF('Assignment Tool'!C1087="","",IF('Assignment Tool'!C1087="FST",'Assignment Tool'!D1087,""))</f>
        <v>F 1055-2 HIGHWAY 107</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195-1 BUTTERCUP LN</v>
      </c>
    </row>
    <row r="1125" spans="7:7" x14ac:dyDescent="0.25">
      <c r="G1125" t="str">
        <f>IF('Assignment Tool'!C1125="","",IF('Assignment Tool'!C1125="FST",'Assignment Tool'!D1125,""))</f>
        <v>OPP 180-1 BUTTERCUP LN</v>
      </c>
    </row>
    <row r="1126" spans="7:7" x14ac:dyDescent="0.25">
      <c r="G1126" t="str">
        <f>IF('Assignment Tool'!C1126="","",IF('Assignment Tool'!C1126="FST",'Assignment Tool'!D1126,""))</f>
        <v>F 365-1 BUTTERCUP LN</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8" sqref="B8:B31"/>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4</v>
      </c>
      <c r="C8" s="4">
        <v>58</v>
      </c>
      <c r="D8" s="4">
        <v>56</v>
      </c>
      <c r="E8" s="4">
        <v>58</v>
      </c>
      <c r="F8" s="4">
        <v>56</v>
      </c>
      <c r="G8" s="4"/>
      <c r="H8" s="4"/>
      <c r="I8" s="4"/>
      <c r="J8" s="4"/>
      <c r="K8" s="4"/>
      <c r="L8" s="4"/>
      <c r="M8" s="4"/>
      <c r="N8" s="4"/>
      <c r="O8" s="4"/>
      <c r="P8" s="4"/>
      <c r="Q8" s="4"/>
      <c r="R8" s="4"/>
      <c r="S8" s="4"/>
      <c r="T8" s="4"/>
      <c r="U8" s="4"/>
      <c r="V8" s="4"/>
      <c r="W8" s="4">
        <v>22</v>
      </c>
      <c r="X8" s="4">
        <v>22</v>
      </c>
      <c r="Y8" s="4"/>
      <c r="Z8" s="4">
        <v>20</v>
      </c>
      <c r="AA8" s="4"/>
      <c r="AB8" s="4"/>
      <c r="AC8" s="4"/>
      <c r="AD8" s="4"/>
      <c r="AE8" s="4"/>
      <c r="AF8" s="4"/>
      <c r="AG8" s="4"/>
      <c r="AH8" s="4"/>
      <c r="AI8" s="4"/>
      <c r="AJ8" s="4"/>
      <c r="AK8" s="4"/>
      <c r="AL8" s="4"/>
      <c r="AM8" s="4"/>
      <c r="AN8" s="4"/>
      <c r="AO8" s="4"/>
      <c r="AP8" s="4"/>
    </row>
    <row r="9" spans="1:42" x14ac:dyDescent="0.25">
      <c r="A9" s="6">
        <v>10</v>
      </c>
      <c r="B9" s="5">
        <v>2</v>
      </c>
      <c r="C9" s="4">
        <v>56</v>
      </c>
      <c r="D9" s="4">
        <v>56</v>
      </c>
      <c r="E9" s="4"/>
      <c r="F9" s="4"/>
      <c r="G9" s="4"/>
      <c r="H9" s="4"/>
      <c r="I9" s="4"/>
      <c r="J9" s="4"/>
      <c r="K9" s="4"/>
      <c r="L9" s="4"/>
      <c r="M9" s="4"/>
      <c r="N9" s="4"/>
      <c r="O9" s="4"/>
      <c r="P9" s="4"/>
      <c r="Q9" s="4"/>
      <c r="R9" s="4"/>
      <c r="S9" s="4"/>
      <c r="T9" s="4"/>
      <c r="U9" s="4"/>
      <c r="V9" s="4"/>
      <c r="W9" s="4">
        <v>12</v>
      </c>
      <c r="X9" s="4">
        <v>29</v>
      </c>
      <c r="Y9" s="4"/>
      <c r="Z9" s="4"/>
      <c r="AA9" s="4"/>
      <c r="AB9" s="4"/>
      <c r="AC9" s="4"/>
      <c r="AD9" s="4"/>
      <c r="AE9" s="4"/>
      <c r="AF9" s="4"/>
      <c r="AG9" s="4"/>
      <c r="AH9" s="4"/>
      <c r="AI9" s="4"/>
      <c r="AJ9" s="4"/>
      <c r="AK9" s="4"/>
      <c r="AL9" s="4"/>
      <c r="AM9" s="4"/>
      <c r="AN9" s="4"/>
      <c r="AO9" s="4"/>
      <c r="AP9" s="4"/>
    </row>
    <row r="10" spans="1:42" x14ac:dyDescent="0.25">
      <c r="A10" s="6">
        <v>11</v>
      </c>
      <c r="B10" s="5">
        <v>3</v>
      </c>
      <c r="C10" s="4">
        <v>58</v>
      </c>
      <c r="D10" s="4">
        <v>56</v>
      </c>
      <c r="E10" s="4">
        <v>58</v>
      </c>
      <c r="F10" s="4"/>
      <c r="G10" s="4"/>
      <c r="H10" s="4"/>
      <c r="I10" s="4"/>
      <c r="J10" s="4"/>
      <c r="K10" s="4"/>
      <c r="L10" s="4"/>
      <c r="M10" s="4"/>
      <c r="N10" s="4"/>
      <c r="O10" s="4"/>
      <c r="P10" s="4"/>
      <c r="Q10" s="4"/>
      <c r="R10" s="4"/>
      <c r="S10" s="4"/>
      <c r="T10" s="4"/>
      <c r="U10" s="4"/>
      <c r="V10" s="4"/>
      <c r="W10" s="4"/>
      <c r="X10" s="4">
        <v>112</v>
      </c>
      <c r="Y10" s="4"/>
      <c r="Z10" s="4"/>
      <c r="AA10" s="4"/>
      <c r="AB10" s="4"/>
      <c r="AC10" s="4"/>
      <c r="AD10" s="4"/>
      <c r="AE10" s="4"/>
      <c r="AF10" s="4"/>
      <c r="AG10" s="4"/>
      <c r="AH10" s="4"/>
      <c r="AI10" s="4"/>
      <c r="AJ10" s="4"/>
      <c r="AK10" s="4"/>
      <c r="AL10" s="4"/>
      <c r="AM10" s="4"/>
      <c r="AN10" s="4"/>
      <c r="AO10" s="4"/>
      <c r="AP10" s="4"/>
    </row>
    <row r="11" spans="1:42" x14ac:dyDescent="0.25">
      <c r="A11" s="6">
        <v>12</v>
      </c>
      <c r="B11" s="5">
        <v>5</v>
      </c>
      <c r="C11" s="4">
        <v>58</v>
      </c>
      <c r="D11" s="4">
        <v>56</v>
      </c>
      <c r="E11" s="4">
        <v>58</v>
      </c>
      <c r="F11" s="4">
        <v>56</v>
      </c>
      <c r="G11" s="4">
        <v>58</v>
      </c>
      <c r="H11" s="4"/>
      <c r="I11" s="4"/>
      <c r="J11" s="4"/>
      <c r="K11" s="4"/>
      <c r="L11" s="4"/>
      <c r="M11" s="4"/>
      <c r="N11" s="4"/>
      <c r="O11" s="4"/>
      <c r="P11" s="4"/>
      <c r="Q11" s="4"/>
      <c r="R11" s="4"/>
      <c r="S11" s="4"/>
      <c r="T11" s="4"/>
      <c r="U11" s="4"/>
      <c r="V11" s="4"/>
      <c r="W11" s="4"/>
      <c r="X11" s="4">
        <v>12</v>
      </c>
      <c r="Y11" s="4"/>
      <c r="Z11" s="4">
        <v>37</v>
      </c>
      <c r="AA11" s="4"/>
      <c r="AB11" s="4"/>
      <c r="AC11" s="4"/>
      <c r="AD11" s="4"/>
      <c r="AE11" s="4"/>
      <c r="AF11" s="4"/>
      <c r="AG11" s="4"/>
      <c r="AH11" s="4"/>
      <c r="AI11" s="4"/>
      <c r="AJ11" s="4"/>
      <c r="AK11" s="4"/>
      <c r="AL11" s="4"/>
      <c r="AM11" s="4"/>
      <c r="AN11" s="4"/>
      <c r="AO11" s="4"/>
      <c r="AP11" s="4"/>
    </row>
    <row r="12" spans="1:42" x14ac:dyDescent="0.25">
      <c r="A12" s="6">
        <v>13</v>
      </c>
      <c r="B12" s="5">
        <v>1</v>
      </c>
      <c r="C12" s="4">
        <v>40</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1</v>
      </c>
      <c r="C13" s="4">
        <v>40</v>
      </c>
      <c r="D13" s="4"/>
      <c r="E13" s="4"/>
      <c r="F13" s="4"/>
      <c r="G13" s="4"/>
      <c r="H13" s="4"/>
      <c r="I13" s="4"/>
      <c r="J13" s="4"/>
      <c r="K13" s="4"/>
      <c r="L13" s="4"/>
      <c r="M13" s="4"/>
      <c r="N13" s="4"/>
      <c r="O13" s="4"/>
      <c r="P13" s="4"/>
      <c r="Q13" s="4"/>
      <c r="R13" s="4"/>
      <c r="S13" s="4"/>
      <c r="T13" s="4"/>
      <c r="U13" s="4"/>
      <c r="V13" s="4"/>
      <c r="W13" s="4">
        <v>215</v>
      </c>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44</v>
      </c>
      <c r="D15" s="4">
        <v>42</v>
      </c>
      <c r="E15" s="4"/>
      <c r="F15" s="4"/>
      <c r="G15" s="4"/>
      <c r="H15" s="4"/>
      <c r="I15" s="4"/>
      <c r="J15" s="4"/>
      <c r="K15" s="4"/>
      <c r="L15" s="4"/>
      <c r="M15" s="4"/>
      <c r="N15" s="4"/>
      <c r="O15" s="4"/>
      <c r="P15" s="4"/>
      <c r="Q15" s="4"/>
      <c r="R15" s="4"/>
      <c r="S15" s="4"/>
      <c r="T15" s="4"/>
      <c r="U15" s="4"/>
      <c r="V15" s="4"/>
      <c r="W15" s="4"/>
      <c r="X15" s="4">
        <v>132</v>
      </c>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1</v>
      </c>
      <c r="C17" s="4">
        <v>42</v>
      </c>
      <c r="D17" s="4"/>
      <c r="E17" s="4"/>
      <c r="F17" s="4"/>
      <c r="G17" s="4"/>
      <c r="H17" s="4"/>
      <c r="I17" s="4"/>
      <c r="J17" s="4"/>
      <c r="K17" s="4"/>
      <c r="L17" s="4"/>
      <c r="M17" s="4"/>
      <c r="N17" s="4"/>
      <c r="O17" s="4"/>
      <c r="P17" s="4"/>
      <c r="Q17" s="4"/>
      <c r="R17" s="4"/>
      <c r="S17" s="4"/>
      <c r="T17" s="4"/>
      <c r="U17" s="4"/>
      <c r="V17" s="4"/>
      <c r="W17" s="4">
        <v>432</v>
      </c>
      <c r="X17" s="4"/>
      <c r="Y17" s="4"/>
      <c r="Z17" s="4"/>
      <c r="AA17" s="4"/>
      <c r="AB17" s="4"/>
      <c r="AC17" s="4"/>
      <c r="AD17" s="4"/>
      <c r="AE17" s="4"/>
      <c r="AF17" s="4"/>
      <c r="AG17" s="4"/>
      <c r="AH17" s="4"/>
      <c r="AI17" s="4"/>
      <c r="AJ17" s="4"/>
      <c r="AK17" s="4"/>
      <c r="AL17" s="4"/>
      <c r="AM17" s="4"/>
      <c r="AN17" s="4"/>
      <c r="AO17" s="4"/>
      <c r="AP17" s="4"/>
    </row>
    <row r="18" spans="1:42" x14ac:dyDescent="0.25">
      <c r="A18" s="6">
        <v>19</v>
      </c>
      <c r="B18" s="5">
        <v>2</v>
      </c>
      <c r="C18" s="4">
        <v>36</v>
      </c>
      <c r="D18" s="4">
        <v>36</v>
      </c>
      <c r="E18" s="4"/>
      <c r="F18" s="4"/>
      <c r="G18" s="4"/>
      <c r="H18" s="4"/>
      <c r="I18" s="4"/>
      <c r="J18" s="4"/>
      <c r="K18" s="4"/>
      <c r="L18" s="4"/>
      <c r="M18" s="4"/>
      <c r="N18" s="4"/>
      <c r="O18" s="4"/>
      <c r="P18" s="4"/>
      <c r="Q18" s="4"/>
      <c r="R18" s="4"/>
      <c r="S18" s="4"/>
      <c r="T18" s="4"/>
      <c r="U18" s="4"/>
      <c r="V18" s="4"/>
      <c r="W18" s="4">
        <v>70</v>
      </c>
      <c r="X18" s="4">
        <v>122</v>
      </c>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39</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1</v>
      </c>
      <c r="C21" s="4">
        <v>38</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36</v>
      </c>
      <c r="D22" s="4">
        <v>38</v>
      </c>
      <c r="E22" s="4"/>
      <c r="F22" s="4"/>
      <c r="G22" s="4"/>
      <c r="H22" s="4"/>
      <c r="I22" s="4"/>
      <c r="J22" s="4"/>
      <c r="K22" s="4"/>
      <c r="L22" s="4"/>
      <c r="M22" s="4"/>
      <c r="N22" s="4"/>
      <c r="O22" s="4"/>
      <c r="P22" s="4"/>
      <c r="Q22" s="4"/>
      <c r="R22" s="4"/>
      <c r="S22" s="4"/>
      <c r="T22" s="4"/>
      <c r="U22" s="4"/>
      <c r="V22" s="4"/>
      <c r="W22" s="4">
        <v>210</v>
      </c>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36</v>
      </c>
      <c r="D23" s="4">
        <v>36</v>
      </c>
      <c r="E23" s="4"/>
      <c r="F23" s="4"/>
      <c r="G23" s="4"/>
      <c r="H23" s="4"/>
      <c r="I23" s="4"/>
      <c r="J23" s="4"/>
      <c r="K23" s="4"/>
      <c r="L23" s="4"/>
      <c r="M23" s="4"/>
      <c r="N23" s="4"/>
      <c r="O23" s="4"/>
      <c r="P23" s="4"/>
      <c r="Q23" s="4"/>
      <c r="R23" s="4"/>
      <c r="S23" s="4"/>
      <c r="T23" s="4"/>
      <c r="U23" s="4"/>
      <c r="V23" s="4"/>
      <c r="W23" s="4">
        <v>207</v>
      </c>
      <c r="X23" s="4">
        <v>454</v>
      </c>
      <c r="Y23" s="4"/>
      <c r="Z23" s="4"/>
      <c r="AA23" s="4"/>
      <c r="AB23" s="4"/>
      <c r="AC23" s="4"/>
      <c r="AD23" s="4"/>
      <c r="AE23" s="4"/>
      <c r="AF23" s="4"/>
      <c r="AG23" s="4"/>
      <c r="AH23" s="4"/>
      <c r="AI23" s="4"/>
      <c r="AJ23" s="4"/>
      <c r="AK23" s="4"/>
      <c r="AL23" s="4"/>
      <c r="AM23" s="4"/>
      <c r="AN23" s="4"/>
      <c r="AO23" s="4"/>
      <c r="AP23" s="4"/>
    </row>
    <row r="24" spans="1:42" x14ac:dyDescent="0.25">
      <c r="A24" s="6">
        <v>25</v>
      </c>
      <c r="B24" s="5">
        <v>1</v>
      </c>
      <c r="C24" s="4">
        <v>36</v>
      </c>
      <c r="D24" s="4"/>
      <c r="E24" s="4"/>
      <c r="F24" s="4"/>
      <c r="G24" s="4"/>
      <c r="H24" s="4"/>
      <c r="I24" s="4"/>
      <c r="J24" s="4"/>
      <c r="K24" s="4"/>
      <c r="L24" s="4"/>
      <c r="M24" s="4"/>
      <c r="N24" s="4"/>
      <c r="O24" s="4"/>
      <c r="P24" s="4"/>
      <c r="Q24" s="4"/>
      <c r="R24" s="4"/>
      <c r="S24" s="4"/>
      <c r="T24" s="4"/>
      <c r="U24" s="4"/>
      <c r="V24" s="4"/>
      <c r="W24" s="4">
        <v>252</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36</v>
      </c>
      <c r="D25" s="4">
        <v>36</v>
      </c>
      <c r="E25" s="4"/>
      <c r="F25" s="4"/>
      <c r="G25" s="4"/>
      <c r="H25" s="4"/>
      <c r="I25" s="4"/>
      <c r="J25" s="4"/>
      <c r="K25" s="4"/>
      <c r="L25" s="4"/>
      <c r="M25" s="4"/>
      <c r="N25" s="4"/>
      <c r="O25" s="4"/>
      <c r="P25" s="4"/>
      <c r="Q25" s="4"/>
      <c r="R25" s="4"/>
      <c r="S25" s="4"/>
      <c r="T25" s="4"/>
      <c r="U25" s="4"/>
      <c r="V25" s="4"/>
      <c r="W25" s="4">
        <v>46</v>
      </c>
      <c r="X25" s="4">
        <v>82</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3</v>
      </c>
      <c r="C31" s="4">
        <v>32</v>
      </c>
      <c r="D31" s="4">
        <v>34</v>
      </c>
      <c r="E31" s="4">
        <v>32</v>
      </c>
      <c r="F31" s="4"/>
      <c r="G31" s="4"/>
      <c r="H31" s="4"/>
      <c r="I31" s="4"/>
      <c r="J31" s="4"/>
      <c r="K31" s="4"/>
      <c r="L31" s="4"/>
      <c r="M31" s="4"/>
      <c r="N31" s="4"/>
      <c r="O31" s="4"/>
      <c r="P31" s="4"/>
      <c r="Q31" s="4"/>
      <c r="R31" s="4"/>
      <c r="S31" s="4"/>
      <c r="T31" s="4"/>
      <c r="U31" s="4"/>
      <c r="V31" s="4"/>
      <c r="W31" s="4">
        <v>34</v>
      </c>
      <c r="X31" s="4"/>
      <c r="Y31" s="4">
        <v>118</v>
      </c>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4304</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4172</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2797</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33</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54</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5</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21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2</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DI1" zoomScale="115" zoomScaleNormal="115" workbookViewId="0">
      <pane ySplit="8" topLeftCell="A9" activePane="bottomLeft" state="frozen"/>
      <selection pane="bottomLeft" activeCell="DG2" sqref="A2:XFD2"/>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1892</v>
      </c>
      <c r="F2" s="276" t="s">
        <v>173</v>
      </c>
      <c r="G2" s="276"/>
      <c r="H2" s="276"/>
      <c r="I2" s="14">
        <f>IF(I3="","",IF(AND(I5="Y",I6="N"),I3,IF(I3&lt;1000,I3+10,I3+20)))</f>
        <v>1821</v>
      </c>
      <c r="K2" s="276" t="s">
        <v>173</v>
      </c>
      <c r="L2" s="276"/>
      <c r="M2" s="276"/>
      <c r="N2" s="14">
        <f>IF(N3="","",IF(AND(N5="Y",N6="N"),N3,IF(N3&lt;1000,N3+10,N3+20)))</f>
        <v>1815</v>
      </c>
      <c r="P2" s="276" t="s">
        <v>173</v>
      </c>
      <c r="Q2" s="276"/>
      <c r="R2" s="276"/>
      <c r="S2" s="14">
        <f>IF(S3="","",IF(AND(S5="Y",S6="N"),S3,IF(S3&lt;1000,S3+10,S3+20)))</f>
        <v>1579</v>
      </c>
      <c r="U2" s="276" t="s">
        <v>173</v>
      </c>
      <c r="V2" s="276"/>
      <c r="W2" s="276"/>
      <c r="X2" s="14">
        <f>IF(X3="","",IF(AND(X5="Y",X6="N"),X3,IF(X3&lt;1000,X3+10,X3+20)))</f>
        <v>1978</v>
      </c>
      <c r="Z2" s="276" t="s">
        <v>173</v>
      </c>
      <c r="AA2" s="276"/>
      <c r="AB2" s="276"/>
      <c r="AC2" s="14">
        <f>IF(AC3="","",IF(AND(AC5="Y",AC6="N"),AC3,IF(AC3&lt;1000,AC3+10,AC3+20)))</f>
        <v>554</v>
      </c>
      <c r="AE2" s="276" t="s">
        <v>173</v>
      </c>
      <c r="AF2" s="276"/>
      <c r="AG2" s="276"/>
      <c r="AH2" s="14">
        <f>IF(AH3="","",IF(AND(AH5="Y",AH6="N"),AH3,IF(AH3&lt;1000,AH3+10,AH3+20)))</f>
        <v>1942</v>
      </c>
      <c r="AJ2" s="276" t="s">
        <v>173</v>
      </c>
      <c r="AK2" s="276"/>
      <c r="AL2" s="276"/>
      <c r="AM2" s="14">
        <f>IF(AM3="","",IF(AND(AM5="Y",AM6="N"),AM3,IF(AM3&lt;1000,AM3+10,AM3+20)))</f>
        <v>1332</v>
      </c>
      <c r="AO2" s="276" t="s">
        <v>173</v>
      </c>
      <c r="AP2" s="276"/>
      <c r="AQ2" s="276"/>
      <c r="AR2" s="14">
        <f>IF(AR3="","",IF(AND(AR5="Y",AR6="N"),AR3,IF(AR3&lt;1000,AR3+10,AR3+20)))</f>
        <v>553</v>
      </c>
      <c r="AT2" s="276" t="s">
        <v>173</v>
      </c>
      <c r="AU2" s="276"/>
      <c r="AV2" s="276"/>
      <c r="AW2" s="14">
        <f>IF(AW3="","",IF(AND(AW5="Y",AW6="N"),AW3,IF(AW3&lt;1000,AW3+10,AW3+20)))</f>
        <v>1961</v>
      </c>
      <c r="AY2" s="276" t="s">
        <v>173</v>
      </c>
      <c r="AZ2" s="276"/>
      <c r="BA2" s="276"/>
      <c r="BB2" s="14">
        <f>IF(BB3="","",IF(AND(BB5="Y",BB6="N"),BB3,IF(BB3&lt;1000,BB3+10,BB3+20)))</f>
        <v>323</v>
      </c>
      <c r="BD2" s="276" t="s">
        <v>173</v>
      </c>
      <c r="BE2" s="276"/>
      <c r="BF2" s="276"/>
      <c r="BG2" s="14">
        <f>IF(BG3="","",IF(AND(BG5="Y",BG6="N"),BG3,IF(BG3&lt;1000,BG3+10,BG3+20)))</f>
        <v>469</v>
      </c>
      <c r="BI2" s="276" t="s">
        <v>173</v>
      </c>
      <c r="BJ2" s="276"/>
      <c r="BK2" s="276"/>
      <c r="BL2" s="14">
        <f>IF(BL3="","",IF(AND(BL5="Y",BL6="N"),BL3,IF(BL3&lt;1000,BL3+10,BL3+20)))</f>
        <v>500</v>
      </c>
      <c r="BN2" s="276" t="s">
        <v>173</v>
      </c>
      <c r="BO2" s="276"/>
      <c r="BP2" s="276"/>
      <c r="BQ2" s="14">
        <f>IF(BQ3="","",IF(AND(BQ5="Y",BQ6="N"),BQ3,IF(BQ3&lt;1000,BQ3+10,BQ3+20)))</f>
        <v>1090</v>
      </c>
      <c r="BS2" s="276" t="s">
        <v>173</v>
      </c>
      <c r="BT2" s="276"/>
      <c r="BU2" s="276"/>
      <c r="BV2" s="14">
        <f>IF(BV3="","",IF(AND(BV5="Y",BV6="N"),BV3,IF(BV3&lt;1000,BV3+10,BV3+20)))</f>
        <v>1609</v>
      </c>
      <c r="BX2" s="276" t="s">
        <v>173</v>
      </c>
      <c r="BY2" s="276"/>
      <c r="BZ2" s="276"/>
      <c r="CA2" s="14">
        <f>IF(CA3="","",IF(AND(CA5="Y",CA6="N"),CA3,IF(CA3&lt;1000,CA3+10,CA3+20)))</f>
        <v>1566</v>
      </c>
      <c r="CC2" s="276" t="s">
        <v>173</v>
      </c>
      <c r="CD2" s="276"/>
      <c r="CE2" s="276"/>
      <c r="CF2" s="14">
        <f>IF(CF3="","",IF(AND(CF5="Y",CF6="N"),CF3,IF(CF3&lt;1000,CF3+10,CF3+20)))</f>
        <v>1761</v>
      </c>
      <c r="CH2" s="276" t="s">
        <v>173</v>
      </c>
      <c r="CI2" s="276"/>
      <c r="CJ2" s="276"/>
      <c r="CK2" s="14">
        <f>IF(CK3="","",IF(AND(CK5="Y",CK6="N"),CK3,IF(CK3&lt;1000,CK3+10,CK3+20)))</f>
        <v>1418</v>
      </c>
      <c r="CM2" s="276" t="s">
        <v>173</v>
      </c>
      <c r="CN2" s="276"/>
      <c r="CO2" s="276"/>
      <c r="CP2" s="14">
        <f>IF(CP3="","",IF(AND(CP5="Y",CP6="N"),CP3,IF(CP3&lt;1000,CP3+10,CP3+20)))</f>
        <v>1505</v>
      </c>
      <c r="CR2" s="276" t="s">
        <v>173</v>
      </c>
      <c r="CS2" s="276"/>
      <c r="CT2" s="276"/>
      <c r="CU2" s="14">
        <f>IF(CU3="","",IF(AND(CU5="Y",CU6="N"),CU3,IF(CU3&lt;1000,CU3+10,CU3+20)))</f>
        <v>1975</v>
      </c>
      <c r="CW2" s="276" t="s">
        <v>173</v>
      </c>
      <c r="CX2" s="276"/>
      <c r="CY2" s="276"/>
      <c r="CZ2" s="14">
        <f>IF(CZ3="","",IF(AND(CZ5="Y",CZ6="N"),CZ3,IF(CZ3&lt;1000,CZ3+10,CZ3+20)))</f>
        <v>958</v>
      </c>
      <c r="DB2" s="276" t="s">
        <v>173</v>
      </c>
      <c r="DC2" s="276"/>
      <c r="DD2" s="276"/>
      <c r="DE2" s="14">
        <f>IF(DE3="","",IF(AND(DE5="Y",DE6="N"),DE3,IF(DE3&lt;1000,DE3+10,DE3+20)))</f>
        <v>1458</v>
      </c>
      <c r="DG2" s="276" t="s">
        <v>173</v>
      </c>
      <c r="DH2" s="276"/>
      <c r="DI2" s="276"/>
      <c r="DJ2" s="14">
        <f>IF(DJ3="","",IF(AND(DJ5="Y",DJ6="N"),DJ3,IF(DJ3&lt;1000,DJ3+10,DJ3+20)))</f>
        <v>1844</v>
      </c>
      <c r="DL2" s="276" t="s">
        <v>173</v>
      </c>
      <c r="DM2" s="276"/>
      <c r="DN2" s="276"/>
      <c r="DO2" s="14">
        <f>IF(DO3="","",IF(AND(DO5="Y",DO6="N"),DO3,IF(DO3&lt;1000,DO3+10,DO3+20)))</f>
        <v>757</v>
      </c>
      <c r="DQ2" s="276" t="s">
        <v>173</v>
      </c>
      <c r="DR2" s="276"/>
      <c r="DS2" s="276"/>
      <c r="DT2" s="14">
        <f>IF(DT3="","",IF(AND(DT5="Y",DT6="N"),DT3,IF(DT3&lt;1000,DT3+10,DT3+20)))</f>
        <v>2789</v>
      </c>
      <c r="DV2" s="276" t="s">
        <v>173</v>
      </c>
      <c r="DW2" s="276"/>
      <c r="DX2" s="276"/>
      <c r="DY2" s="14">
        <f>IF(DY3="","",IF(AND(DY5="Y",DY6="N"),DY3,IF(DY3&lt;1000,DY3+10,DY3+20)))</f>
        <v>2881</v>
      </c>
      <c r="EA2" s="276" t="s">
        <v>173</v>
      </c>
      <c r="EB2" s="276"/>
      <c r="EC2" s="276"/>
      <c r="ED2" s="14">
        <f>IF(ED3="","",IF(AND(ED5="Y",ED6="N"),ED3,IF(ED3&lt;1000,ED3+10,ED3+20)))</f>
        <v>1311</v>
      </c>
      <c r="EF2" s="276" t="s">
        <v>173</v>
      </c>
      <c r="EG2" s="276"/>
      <c r="EH2" s="276"/>
      <c r="EI2" s="14">
        <f>IF(EI3="","",IF(AND(EI5="Y",EI6="N"),EI3,IF(EI3&lt;1000,EI3+10,EI3+20)))</f>
        <v>2040</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1872</v>
      </c>
      <c r="E3" s="16">
        <f>IF(E9="","",SUM(E9:E208,B9:B208,D9:D208))</f>
        <v>1872</v>
      </c>
      <c r="F3" s="276" t="s">
        <v>174</v>
      </c>
      <c r="G3" s="276"/>
      <c r="H3" s="276"/>
      <c r="I3" s="15">
        <f>IF(J3="","",SUM(J3,J5,J6))</f>
        <v>1801</v>
      </c>
      <c r="J3" s="16">
        <f>IF(J9="","",SUM(J9:J208,G9:G208,I9:I208))</f>
        <v>1801</v>
      </c>
      <c r="K3" s="276" t="s">
        <v>174</v>
      </c>
      <c r="L3" s="276"/>
      <c r="M3" s="276"/>
      <c r="N3" s="15">
        <f>IF(O3="","",SUM(O3,O5,O6))</f>
        <v>1795</v>
      </c>
      <c r="O3" s="16">
        <f>IF(O9="","",SUM(O9:O208,L9:L208,N9:N208))</f>
        <v>1770</v>
      </c>
      <c r="P3" s="276" t="s">
        <v>174</v>
      </c>
      <c r="Q3" s="276"/>
      <c r="R3" s="276"/>
      <c r="S3" s="15">
        <f>IF(T3="","",SUM(T3,T5,T6))</f>
        <v>1579</v>
      </c>
      <c r="T3" s="16">
        <f>IF(T9="","",SUM(T9:T208,Q9:Q208,S9:S208))</f>
        <v>1529</v>
      </c>
      <c r="U3" s="276" t="s">
        <v>174</v>
      </c>
      <c r="V3" s="276"/>
      <c r="W3" s="276"/>
      <c r="X3" s="15">
        <f>IF(Y3="","",SUM(Y3,Y5,Y6))</f>
        <v>1978</v>
      </c>
      <c r="Y3" s="16">
        <f>IF(Y9="","",SUM(Y9:Y208,V9:V208,X9:X208))</f>
        <v>1928</v>
      </c>
      <c r="Z3" s="276" t="s">
        <v>174</v>
      </c>
      <c r="AA3" s="276"/>
      <c r="AB3" s="276"/>
      <c r="AC3" s="15">
        <f>IF(AD3="","",SUM(AD3,AD5,AD6))</f>
        <v>544</v>
      </c>
      <c r="AD3" s="16">
        <f>IF(AD9="","",SUM(AD9:AD208,AA9:AA208,AC9:AC208))</f>
        <v>544</v>
      </c>
      <c r="AE3" s="276" t="s">
        <v>174</v>
      </c>
      <c r="AF3" s="276"/>
      <c r="AG3" s="276"/>
      <c r="AH3" s="15">
        <f>IF(AI3="","",SUM(AI3,AI5,AI6))</f>
        <v>1922</v>
      </c>
      <c r="AI3" s="16">
        <f>IF(AI9="","",SUM(AI9:AI208,AF9:AF208,AH9:AH208))</f>
        <v>1922</v>
      </c>
      <c r="AJ3" s="276" t="s">
        <v>174</v>
      </c>
      <c r="AK3" s="276"/>
      <c r="AL3" s="276"/>
      <c r="AM3" s="15">
        <f>IF(AN3="","",SUM(AN3,AN5,AN6))</f>
        <v>1312</v>
      </c>
      <c r="AN3" s="16">
        <f>IF(AN9="","",SUM(AN9:AN208,AK9:AK208,AM9:AM208))</f>
        <v>1312</v>
      </c>
      <c r="AO3" s="276" t="s">
        <v>174</v>
      </c>
      <c r="AP3" s="276"/>
      <c r="AQ3" s="276"/>
      <c r="AR3" s="15">
        <f>IF(AS3="","",SUM(AS3,AS5,AS6))</f>
        <v>553</v>
      </c>
      <c r="AS3" s="16">
        <f>IF(AS9="","",SUM(AS9:AS208,AP9:AP208,AR9:AR208))</f>
        <v>523</v>
      </c>
      <c r="AT3" s="276" t="s">
        <v>174</v>
      </c>
      <c r="AU3" s="276"/>
      <c r="AV3" s="276"/>
      <c r="AW3" s="15">
        <f>IF(AX3="","",SUM(AX3,AX5,AX6))</f>
        <v>1941</v>
      </c>
      <c r="AX3" s="16">
        <f>IF(AX9="","",SUM(AX9:AX208,AU9:AU208,AW9:AW208))</f>
        <v>1941</v>
      </c>
      <c r="AY3" s="276" t="s">
        <v>174</v>
      </c>
      <c r="AZ3" s="276"/>
      <c r="BA3" s="276"/>
      <c r="BB3" s="15">
        <f>IF(BC3="","",SUM(BC3,BC5,BC6))</f>
        <v>313</v>
      </c>
      <c r="BC3" s="16">
        <f>IF(BC9="","",SUM(BC9:BC208,AZ9:AZ208,BB9:BB208))</f>
        <v>288</v>
      </c>
      <c r="BD3" s="276" t="s">
        <v>174</v>
      </c>
      <c r="BE3" s="276"/>
      <c r="BF3" s="276"/>
      <c r="BG3" s="15">
        <f>IF(BH3="","",SUM(BH3,BH5,BH6))</f>
        <v>459</v>
      </c>
      <c r="BH3" s="16">
        <f>IF(BH9="","",SUM(BH9:BH208,BE9:BE208,BG9:BG208))</f>
        <v>459</v>
      </c>
      <c r="BI3" s="276" t="s">
        <v>174</v>
      </c>
      <c r="BJ3" s="276"/>
      <c r="BK3" s="276"/>
      <c r="BL3" s="15">
        <f>IF(BM3="","",SUM(BM3,BM5,BM6))</f>
        <v>490</v>
      </c>
      <c r="BM3" s="16">
        <f>IF(BM9="","",SUM(BM9:BM208,BJ9:BJ208,BL9:BL208))</f>
        <v>465</v>
      </c>
      <c r="BN3" s="276" t="s">
        <v>174</v>
      </c>
      <c r="BO3" s="276"/>
      <c r="BP3" s="276"/>
      <c r="BQ3" s="15">
        <f>IF(BR3="","",SUM(BR3,BR5,BR6))</f>
        <v>1070</v>
      </c>
      <c r="BR3" s="16">
        <f>IF(BR9="","",SUM(BR9:BR208,BO9:BO208,BQ9:BQ208))</f>
        <v>1045</v>
      </c>
      <c r="BS3" s="276" t="s">
        <v>174</v>
      </c>
      <c r="BT3" s="276"/>
      <c r="BU3" s="276"/>
      <c r="BV3" s="15">
        <f>IF(BW3="","",SUM(BW3,BW5,BW6))</f>
        <v>1589</v>
      </c>
      <c r="BW3" s="16">
        <f>IF(BW9="","",SUM(BW9:BW208,BT9:BT208,BV9:BV208))</f>
        <v>1589</v>
      </c>
      <c r="BX3" s="276" t="s">
        <v>174</v>
      </c>
      <c r="BY3" s="276"/>
      <c r="BZ3" s="276"/>
      <c r="CA3" s="15">
        <f>IF(CB3="","",SUM(CB3,CB5,CB6))</f>
        <v>1546</v>
      </c>
      <c r="CB3" s="16">
        <f>IF(CB9="","",SUM(CB9:CB208,BY9:BY208,CA9:CA208))</f>
        <v>1546</v>
      </c>
      <c r="CC3" s="276" t="s">
        <v>174</v>
      </c>
      <c r="CD3" s="276"/>
      <c r="CE3" s="276"/>
      <c r="CF3" s="15">
        <f>IF(CG3="","",SUM(CG3,CG5,CG6))</f>
        <v>1741</v>
      </c>
      <c r="CG3" s="16">
        <f>IF(CG9="","",SUM(CG9:CG208,CD9:CD208,CF9:CF208))</f>
        <v>1741</v>
      </c>
      <c r="CH3" s="276" t="s">
        <v>174</v>
      </c>
      <c r="CI3" s="276"/>
      <c r="CJ3" s="276"/>
      <c r="CK3" s="15">
        <f>IF(CL3="","",SUM(CL3,CL5,CL6))</f>
        <v>1398</v>
      </c>
      <c r="CL3" s="16">
        <f>IF(CL9="","",SUM(CL9:CL208,CI9:CI208,CK9:CK208))</f>
        <v>1398</v>
      </c>
      <c r="CM3" s="276" t="s">
        <v>174</v>
      </c>
      <c r="CN3" s="276"/>
      <c r="CO3" s="276"/>
      <c r="CP3" s="15">
        <f>IF(CQ3="","",SUM(CQ3,CQ5,CQ6))</f>
        <v>1485</v>
      </c>
      <c r="CQ3" s="16">
        <f>IF(CQ9="","",SUM(CQ9:CQ208,CN9:CN208,CP9:CP208))</f>
        <v>1460</v>
      </c>
      <c r="CR3" s="276" t="s">
        <v>174</v>
      </c>
      <c r="CS3" s="276"/>
      <c r="CT3" s="276"/>
      <c r="CU3" s="15">
        <f>IF(CV3="","",SUM(CV3,CV5,CV6))</f>
        <v>1955</v>
      </c>
      <c r="CV3" s="16">
        <f>IF(CV9="","",SUM(CV9:CV208,CS9:CS208,CU9:CU208))</f>
        <v>1930</v>
      </c>
      <c r="CW3" s="276" t="s">
        <v>174</v>
      </c>
      <c r="CX3" s="276"/>
      <c r="CY3" s="276"/>
      <c r="CZ3" s="15">
        <f>IF(DA3="","",SUM(DA3,DA5,DA6))</f>
        <v>948</v>
      </c>
      <c r="DA3" s="16">
        <f>IF(DA9="","",SUM(DA9:DA208,CX9:CX208,CZ9:CZ208))</f>
        <v>948</v>
      </c>
      <c r="DB3" s="276" t="s">
        <v>174</v>
      </c>
      <c r="DC3" s="276"/>
      <c r="DD3" s="276"/>
      <c r="DE3" s="15">
        <f>IF(DF3="","",SUM(DF3,DF5,DF6))</f>
        <v>1438</v>
      </c>
      <c r="DF3" s="16">
        <f>IF(DF9="","",SUM(DF9:DF208,DC9:DC208,DE9:DE208))</f>
        <v>1413</v>
      </c>
      <c r="DG3" s="276" t="s">
        <v>174</v>
      </c>
      <c r="DH3" s="276"/>
      <c r="DI3" s="276"/>
      <c r="DJ3" s="15">
        <f>IF(DK3="","",SUM(DK3,DK5,DK6))</f>
        <v>1824</v>
      </c>
      <c r="DK3" s="16">
        <f>IF(DK9="","",SUM(DK9:DK208,DH9:DH208,DJ9:DJ208))</f>
        <v>1824</v>
      </c>
      <c r="DL3" s="276" t="s">
        <v>174</v>
      </c>
      <c r="DM3" s="276"/>
      <c r="DN3" s="276"/>
      <c r="DO3" s="15">
        <f>IF(DP3="","",SUM(DP3,DP5,DP6))</f>
        <v>757</v>
      </c>
      <c r="DP3" s="16">
        <f>IF(DP9="","",SUM(DP9:DP208,DM9:DM208,DO9:DO208))</f>
        <v>707</v>
      </c>
      <c r="DQ3" s="276" t="s">
        <v>174</v>
      </c>
      <c r="DR3" s="276"/>
      <c r="DS3" s="276"/>
      <c r="DT3" s="15">
        <f>IF(DU3="","",SUM(DU3,DU5,DU6))</f>
        <v>2769</v>
      </c>
      <c r="DU3" s="16">
        <f>IF(DU9="","",SUM(DU9:DU208,DR9:DR208,DT9:DT208))</f>
        <v>2769</v>
      </c>
      <c r="DV3" s="276" t="s">
        <v>174</v>
      </c>
      <c r="DW3" s="276"/>
      <c r="DX3" s="276"/>
      <c r="DY3" s="15">
        <f>IF(DZ3="","",SUM(DZ3,DZ5,DZ6))</f>
        <v>2861</v>
      </c>
      <c r="DZ3" s="16">
        <f>IF(DZ9="","",SUM(DZ9:DZ208,DW9:DW208,DY9:DY208))</f>
        <v>2846</v>
      </c>
      <c r="EA3" s="276" t="s">
        <v>174</v>
      </c>
      <c r="EB3" s="276"/>
      <c r="EC3" s="276"/>
      <c r="ED3" s="15">
        <f>IF(EE3="","",SUM(EE3,EE5,EE6))</f>
        <v>1311</v>
      </c>
      <c r="EE3" s="16">
        <f>IF(EE9="","",SUM(EE9:EE208,EB9:EB208,ED9:ED208))</f>
        <v>1281</v>
      </c>
      <c r="EF3" s="276" t="s">
        <v>174</v>
      </c>
      <c r="EG3" s="276"/>
      <c r="EH3" s="276"/>
      <c r="EI3" s="15">
        <f>IF(EJ3="","",SUM(EJ3,EJ5,EJ6))</f>
        <v>2040</v>
      </c>
      <c r="EJ3" s="16">
        <f>IF(EJ9="","",SUM(EJ9:EJ208,EG9:EG208,EI9:EI208))</f>
        <v>1990</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179</v>
      </c>
      <c r="CM4" s="272" t="s">
        <v>175</v>
      </c>
      <c r="CN4" s="273"/>
      <c r="CO4" s="274"/>
      <c r="CP4" s="117" t="s">
        <v>179</v>
      </c>
      <c r="CR4" s="272" t="s">
        <v>175</v>
      </c>
      <c r="CS4" s="273"/>
      <c r="CT4" s="274"/>
      <c r="CU4" s="117" t="s">
        <v>179</v>
      </c>
      <c r="CW4" s="272" t="s">
        <v>175</v>
      </c>
      <c r="CX4" s="273"/>
      <c r="CY4" s="274"/>
      <c r="CZ4" s="117" t="s">
        <v>178</v>
      </c>
      <c r="DB4" s="272" t="s">
        <v>175</v>
      </c>
      <c r="DC4" s="273"/>
      <c r="DD4" s="274"/>
      <c r="DE4" s="117" t="s">
        <v>179</v>
      </c>
      <c r="DG4" s="272" t="s">
        <v>175</v>
      </c>
      <c r="DH4" s="273"/>
      <c r="DI4" s="274"/>
      <c r="DJ4" s="117" t="s">
        <v>179</v>
      </c>
      <c r="DL4" s="272" t="s">
        <v>175</v>
      </c>
      <c r="DM4" s="273"/>
      <c r="DN4" s="274"/>
      <c r="DO4" s="117" t="s">
        <v>179</v>
      </c>
      <c r="DQ4" s="272" t="s">
        <v>175</v>
      </c>
      <c r="DR4" s="273"/>
      <c r="DS4" s="274"/>
      <c r="DT4" s="117" t="s">
        <v>179</v>
      </c>
      <c r="DV4" s="272" t="s">
        <v>175</v>
      </c>
      <c r="DW4" s="273"/>
      <c r="DX4" s="274"/>
      <c r="DY4" s="117" t="s">
        <v>179</v>
      </c>
      <c r="EA4" s="272" t="s">
        <v>175</v>
      </c>
      <c r="EB4" s="273"/>
      <c r="EC4" s="274"/>
      <c r="ED4" s="117" t="s">
        <v>179</v>
      </c>
      <c r="EF4" s="272" t="s">
        <v>175</v>
      </c>
      <c r="EG4" s="273"/>
      <c r="EH4" s="274"/>
      <c r="EI4" s="117" t="s">
        <v>179</v>
      </c>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179</v>
      </c>
      <c r="Y5" s="16">
        <f>IF(X4="N","0",IF(X5="Y",Y7/2,"0"))</f>
        <v>25</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179</v>
      </c>
      <c r="AS5" s="16">
        <f>IF(AR4="N","0",IF(AR5="Y",AS7/2,"0"))</f>
        <v>15</v>
      </c>
      <c r="AT5" s="272" t="s">
        <v>176</v>
      </c>
      <c r="AU5" s="273"/>
      <c r="AV5" s="274"/>
      <c r="AW5" s="117" t="s">
        <v>178</v>
      </c>
      <c r="AX5" s="16" t="str">
        <f>IF(AW4="N","0",IF(AW5="Y",AX7/2,"0"))</f>
        <v>0</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178</v>
      </c>
      <c r="BW5" s="16" t="str">
        <f>IF(BV4="N","0",IF(BV5="Y",BW7/2,"0"))</f>
        <v>0</v>
      </c>
      <c r="BX5" s="272" t="s">
        <v>176</v>
      </c>
      <c r="BY5" s="273"/>
      <c r="BZ5" s="274"/>
      <c r="CA5" s="117" t="s">
        <v>178</v>
      </c>
      <c r="CB5" s="16" t="str">
        <f>IF(CA4="N","0",IF(CA5="Y",CB7/2,"0"))</f>
        <v>0</v>
      </c>
      <c r="CC5" s="272" t="s">
        <v>176</v>
      </c>
      <c r="CD5" s="273"/>
      <c r="CE5" s="274"/>
      <c r="CF5" s="117" t="s">
        <v>178</v>
      </c>
      <c r="CG5" s="16" t="str">
        <f>IF(CF4="N","0",IF(CF5="Y",CG7/2,"0"))</f>
        <v>0</v>
      </c>
      <c r="CH5" s="272" t="s">
        <v>176</v>
      </c>
      <c r="CI5" s="273"/>
      <c r="CJ5" s="274"/>
      <c r="CK5" s="117" t="s">
        <v>178</v>
      </c>
      <c r="CL5" s="16" t="str">
        <f>IF(CK4="N","0",IF(CK5="Y",CL7/2,"0"))</f>
        <v>0</v>
      </c>
      <c r="CM5" s="272" t="s">
        <v>176</v>
      </c>
      <c r="CN5" s="273"/>
      <c r="CO5" s="274"/>
      <c r="CP5" s="117" t="s">
        <v>178</v>
      </c>
      <c r="CQ5" s="16" t="str">
        <f>IF(CP4="N","0",IF(CP5="Y",CQ7/2,"0"))</f>
        <v>0</v>
      </c>
      <c r="CR5" s="272" t="s">
        <v>176</v>
      </c>
      <c r="CS5" s="273"/>
      <c r="CT5" s="274"/>
      <c r="CU5" s="117" t="s">
        <v>179</v>
      </c>
      <c r="CV5" s="16">
        <f>IF(CU4="N","0",IF(CU5="Y",CV7/2,"0"))</f>
        <v>25</v>
      </c>
      <c r="CW5" s="272" t="s">
        <v>176</v>
      </c>
      <c r="CX5" s="273"/>
      <c r="CY5" s="274"/>
      <c r="CZ5" s="117" t="s">
        <v>178</v>
      </c>
      <c r="DA5" s="16" t="str">
        <f>IF(CZ4="N","0",IF(CZ5="Y",DA7/2,"0"))</f>
        <v>0</v>
      </c>
      <c r="DB5" s="272" t="s">
        <v>176</v>
      </c>
      <c r="DC5" s="273"/>
      <c r="DD5" s="274"/>
      <c r="DE5" s="117" t="s">
        <v>178</v>
      </c>
      <c r="DF5" s="16" t="str">
        <f>IF(DE4="N","0",IF(DE5="Y",DF7/2,"0"))</f>
        <v>0</v>
      </c>
      <c r="DG5" s="272" t="s">
        <v>176</v>
      </c>
      <c r="DH5" s="273"/>
      <c r="DI5" s="274"/>
      <c r="DJ5" s="117" t="s">
        <v>178</v>
      </c>
      <c r="DK5" s="16" t="str">
        <f>IF(DJ4="N","0",IF(DJ5="Y",DK7/2,"0"))</f>
        <v>0</v>
      </c>
      <c r="DL5" s="272" t="s">
        <v>176</v>
      </c>
      <c r="DM5" s="273"/>
      <c r="DN5" s="274"/>
      <c r="DO5" s="117" t="s">
        <v>179</v>
      </c>
      <c r="DP5" s="16">
        <f>IF(DO4="N","0",IF(DO5="Y",DP7/2,"0"))</f>
        <v>25</v>
      </c>
      <c r="DQ5" s="272" t="s">
        <v>176</v>
      </c>
      <c r="DR5" s="273"/>
      <c r="DS5" s="274"/>
      <c r="DT5" s="117" t="s">
        <v>178</v>
      </c>
      <c r="DU5" s="16" t="str">
        <f>IF(DT4="N","0",IF(DT5="Y",DU7/2,"0"))</f>
        <v>0</v>
      </c>
      <c r="DV5" s="272" t="s">
        <v>176</v>
      </c>
      <c r="DW5" s="273"/>
      <c r="DX5" s="274"/>
      <c r="DY5" s="117" t="s">
        <v>178</v>
      </c>
      <c r="DZ5" s="16" t="str">
        <f>IF(DY4="N","0",IF(DY5="Y",DZ7/2,"0"))</f>
        <v>0</v>
      </c>
      <c r="EA5" s="272" t="s">
        <v>176</v>
      </c>
      <c r="EB5" s="273"/>
      <c r="EC5" s="274"/>
      <c r="ED5" s="117" t="s">
        <v>179</v>
      </c>
      <c r="EE5" s="16">
        <f>IF(ED4="N","0",IF(ED5="Y",EE7/2,"0"))</f>
        <v>15</v>
      </c>
      <c r="EF5" s="272" t="s">
        <v>176</v>
      </c>
      <c r="EG5" s="273"/>
      <c r="EH5" s="274"/>
      <c r="EI5" s="117" t="s">
        <v>179</v>
      </c>
      <c r="EJ5" s="16">
        <f>IF(EI4="N","0",IF(EI5="Y",EJ7/2,"0"))</f>
        <v>25</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179</v>
      </c>
      <c r="J6" s="16" t="str">
        <f>IF(I4="N","0",IF(I6="N",J7/2,"0"))</f>
        <v>0</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179</v>
      </c>
      <c r="AN6" s="16" t="str">
        <f>IF(AM4="N","0",IF(AM6="N",AN7/2,"0"))</f>
        <v>0</v>
      </c>
      <c r="AO6" s="272" t="s">
        <v>177</v>
      </c>
      <c r="AP6" s="273"/>
      <c r="AQ6" s="274"/>
      <c r="AR6" s="117" t="s">
        <v>178</v>
      </c>
      <c r="AS6" s="16">
        <f>IF(AR4="N","0",IF(AR6="N",AS7/2,"0"))</f>
        <v>15</v>
      </c>
      <c r="AT6" s="272" t="s">
        <v>177</v>
      </c>
      <c r="AU6" s="273"/>
      <c r="AV6" s="274"/>
      <c r="AW6" s="117" t="s">
        <v>179</v>
      </c>
      <c r="AX6" s="16" t="str">
        <f>IF(AW4="N","0",IF(AW6="N",AX7/2,"0"))</f>
        <v>0</v>
      </c>
      <c r="AY6" s="272" t="s">
        <v>177</v>
      </c>
      <c r="AZ6" s="273"/>
      <c r="BA6" s="274"/>
      <c r="BB6" s="117" t="s">
        <v>178</v>
      </c>
      <c r="BC6" s="16">
        <f>IF(BB4="N","0",IF(BB6="N",BC7/2,"0"))</f>
        <v>25</v>
      </c>
      <c r="BD6" s="272" t="s">
        <v>177</v>
      </c>
      <c r="BE6" s="273"/>
      <c r="BF6" s="274"/>
      <c r="BG6" s="117" t="s">
        <v>179</v>
      </c>
      <c r="BH6" s="16" t="str">
        <f>IF(BG4="N","0",IF(BG6="N",BH7/2,"0"))</f>
        <v>0</v>
      </c>
      <c r="BI6" s="272" t="s">
        <v>177</v>
      </c>
      <c r="BJ6" s="273"/>
      <c r="BK6" s="274"/>
      <c r="BL6" s="117" t="s">
        <v>178</v>
      </c>
      <c r="BM6" s="16">
        <f>IF(BL4="N","0",IF(BL6="N",BM7/2,"0"))</f>
        <v>25</v>
      </c>
      <c r="BN6" s="272" t="s">
        <v>177</v>
      </c>
      <c r="BO6" s="273"/>
      <c r="BP6" s="274"/>
      <c r="BQ6" s="117" t="s">
        <v>178</v>
      </c>
      <c r="BR6" s="16">
        <f>IF(BQ4="N","0",IF(BQ6="N",BR7/2,"0"))</f>
        <v>25</v>
      </c>
      <c r="BS6" s="272" t="s">
        <v>177</v>
      </c>
      <c r="BT6" s="273"/>
      <c r="BU6" s="274"/>
      <c r="BV6" s="117" t="s">
        <v>179</v>
      </c>
      <c r="BW6" s="16" t="str">
        <f>IF(BV4="N","0",IF(BV6="N",BW7/2,"0"))</f>
        <v>0</v>
      </c>
      <c r="BX6" s="272" t="s">
        <v>177</v>
      </c>
      <c r="BY6" s="273"/>
      <c r="BZ6" s="274"/>
      <c r="CA6" s="117" t="s">
        <v>179</v>
      </c>
      <c r="CB6" s="16" t="str">
        <f>IF(CA4="N","0",IF(CA6="N",CB7/2,"0"))</f>
        <v>0</v>
      </c>
      <c r="CC6" s="272" t="s">
        <v>177</v>
      </c>
      <c r="CD6" s="273"/>
      <c r="CE6" s="274"/>
      <c r="CF6" s="117" t="s">
        <v>179</v>
      </c>
      <c r="CG6" s="16" t="str">
        <f>IF(CF4="N","0",IF(CF6="N",CG7/2,"0"))</f>
        <v>0</v>
      </c>
      <c r="CH6" s="272" t="s">
        <v>177</v>
      </c>
      <c r="CI6" s="273"/>
      <c r="CJ6" s="274"/>
      <c r="CK6" s="117" t="s">
        <v>179</v>
      </c>
      <c r="CL6" s="16" t="str">
        <f>IF(CK4="N","0",IF(CK6="N",CL7/2,"0"))</f>
        <v>0</v>
      </c>
      <c r="CM6" s="272" t="s">
        <v>177</v>
      </c>
      <c r="CN6" s="273"/>
      <c r="CO6" s="274"/>
      <c r="CP6" s="117" t="s">
        <v>178</v>
      </c>
      <c r="CQ6" s="16">
        <f>IF(CP4="N","0",IF(CP6="N",CQ7/2,"0"))</f>
        <v>25</v>
      </c>
      <c r="CR6" s="272" t="s">
        <v>177</v>
      </c>
      <c r="CS6" s="273"/>
      <c r="CT6" s="274"/>
      <c r="CU6" s="117" t="s">
        <v>179</v>
      </c>
      <c r="CV6" s="16" t="str">
        <f>IF(CU4="N","0",IF(CU6="N",CV7/2,"0"))</f>
        <v>0</v>
      </c>
      <c r="CW6" s="272" t="s">
        <v>177</v>
      </c>
      <c r="CX6" s="273"/>
      <c r="CY6" s="274"/>
      <c r="CZ6" s="117" t="s">
        <v>179</v>
      </c>
      <c r="DA6" s="16" t="str">
        <f>IF(CZ4="N","0",IF(CZ6="N",DA7/2,"0"))</f>
        <v>0</v>
      </c>
      <c r="DB6" s="272" t="s">
        <v>177</v>
      </c>
      <c r="DC6" s="273"/>
      <c r="DD6" s="274"/>
      <c r="DE6" s="117" t="s">
        <v>178</v>
      </c>
      <c r="DF6" s="16">
        <f>IF(DE4="N","0",IF(DE6="N",DF7/2,"0"))</f>
        <v>25</v>
      </c>
      <c r="DG6" s="272" t="s">
        <v>177</v>
      </c>
      <c r="DH6" s="273"/>
      <c r="DI6" s="274"/>
      <c r="DJ6" s="117" t="s">
        <v>179</v>
      </c>
      <c r="DK6" s="16" t="str">
        <f>IF(DJ4="N","0",IF(DJ6="N",DK7/2,"0"))</f>
        <v>0</v>
      </c>
      <c r="DL6" s="272" t="s">
        <v>177</v>
      </c>
      <c r="DM6" s="273"/>
      <c r="DN6" s="274"/>
      <c r="DO6" s="117" t="s">
        <v>178</v>
      </c>
      <c r="DP6" s="16">
        <f>IF(DO4="N","0",IF(DO6="N",DP7/2,"0"))</f>
        <v>25</v>
      </c>
      <c r="DQ6" s="272" t="s">
        <v>177</v>
      </c>
      <c r="DR6" s="273"/>
      <c r="DS6" s="274"/>
      <c r="DT6" s="117" t="s">
        <v>179</v>
      </c>
      <c r="DU6" s="16" t="str">
        <f>IF(DT4="N","0",IF(DT6="N",DU7/2,"0"))</f>
        <v>0</v>
      </c>
      <c r="DV6" s="272" t="s">
        <v>177</v>
      </c>
      <c r="DW6" s="273"/>
      <c r="DX6" s="274"/>
      <c r="DY6" s="117" t="s">
        <v>178</v>
      </c>
      <c r="DZ6" s="16">
        <f>IF(DY4="N","0",IF(DY6="N",DZ7/2,"0"))</f>
        <v>15</v>
      </c>
      <c r="EA6" s="272" t="s">
        <v>177</v>
      </c>
      <c r="EB6" s="273"/>
      <c r="EC6" s="274"/>
      <c r="ED6" s="117" t="s">
        <v>178</v>
      </c>
      <c r="EE6" s="16">
        <f>IF(ED4="N","0",IF(ED6="N",EE7/2,"0"))</f>
        <v>15</v>
      </c>
      <c r="EF6" s="272" t="s">
        <v>177</v>
      </c>
      <c r="EG6" s="273"/>
      <c r="EH6" s="274"/>
      <c r="EI6" s="117" t="s">
        <v>178</v>
      </c>
      <c r="EJ6" s="16">
        <f>IF(EI4="N","0",IF(EI6="N",EJ7/2,"0"))</f>
        <v>25</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487</v>
      </c>
      <c r="AS7" s="16">
        <f>IF(OR(AR7="RPX",AR7="SS"),30,IF(OR(AR7="RPX-T",AR7="EUC"),50,0))</f>
        <v>30</v>
      </c>
      <c r="AT7" s="272" t="s">
        <v>180</v>
      </c>
      <c r="AU7" s="273"/>
      <c r="AV7" s="274"/>
      <c r="AW7" s="117" t="s">
        <v>492</v>
      </c>
      <c r="AX7" s="16">
        <f>IF(OR(AW7="RPX",AW7="SS"),30,IF(OR(AW7="RPX-T",AW7="EUC"),50,0))</f>
        <v>50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t="s">
        <v>492</v>
      </c>
      <c r="CG7" s="16">
        <f>IF(OR(CF7="RPX",CF7="SS"),30,IF(OR(CF7="RPX-T",CF7="EUC"),50,0))</f>
        <v>50</v>
      </c>
      <c r="CH7" s="272" t="s">
        <v>180</v>
      </c>
      <c r="CI7" s="273"/>
      <c r="CJ7" s="274"/>
      <c r="CK7" s="117" t="s">
        <v>492</v>
      </c>
      <c r="CL7" s="16">
        <f>IF(OR(CK7="RPX",CK7="SS"),30,IF(OR(CK7="RPX-T",CK7="EUC"),50,0))</f>
        <v>50</v>
      </c>
      <c r="CM7" s="272" t="s">
        <v>180</v>
      </c>
      <c r="CN7" s="273"/>
      <c r="CO7" s="274"/>
      <c r="CP7" s="117" t="s">
        <v>492</v>
      </c>
      <c r="CQ7" s="16">
        <f>IF(OR(CP7="RPX",CP7="SS"),30,IF(OR(CP7="RPX-T",CP7="EUC"),50,0))</f>
        <v>50</v>
      </c>
      <c r="CR7" s="272" t="s">
        <v>180</v>
      </c>
      <c r="CS7" s="273"/>
      <c r="CT7" s="274"/>
      <c r="CU7" s="117" t="s">
        <v>492</v>
      </c>
      <c r="CV7" s="16">
        <f>IF(OR(CU7="RPX",CU7="SS"),30,IF(OR(CU7="RPX-T",CU7="EUC"),50,0))</f>
        <v>50</v>
      </c>
      <c r="CW7" s="272" t="s">
        <v>180</v>
      </c>
      <c r="CX7" s="273"/>
      <c r="CY7" s="274"/>
      <c r="CZ7" s="117"/>
      <c r="DA7" s="16">
        <f>IF(OR(CZ7="RPX",CZ7="SS"),30,IF(OR(CZ7="RPX-T",CZ7="EUC"),50,0))</f>
        <v>0</v>
      </c>
      <c r="DB7" s="272" t="s">
        <v>180</v>
      </c>
      <c r="DC7" s="273"/>
      <c r="DD7" s="274"/>
      <c r="DE7" s="117" t="s">
        <v>492</v>
      </c>
      <c r="DF7" s="16">
        <f>IF(OR(DE7="RPX",DE7="SS"),30,IF(OR(DE7="RPX-T",DE7="EUC"),50,0))</f>
        <v>50</v>
      </c>
      <c r="DG7" s="272" t="s">
        <v>180</v>
      </c>
      <c r="DH7" s="273"/>
      <c r="DI7" s="274"/>
      <c r="DJ7" s="117" t="s">
        <v>492</v>
      </c>
      <c r="DK7" s="16">
        <f>IF(OR(DJ7="RPX",DJ7="SS"),30,IF(OR(DJ7="RPX-T",DJ7="EUC"),50,0))</f>
        <v>50</v>
      </c>
      <c r="DL7" s="272" t="s">
        <v>180</v>
      </c>
      <c r="DM7" s="273"/>
      <c r="DN7" s="274"/>
      <c r="DO7" s="117" t="s">
        <v>492</v>
      </c>
      <c r="DP7" s="16">
        <f>IF(OR(DO7="RPX",DO7="SS"),30,IF(OR(DO7="RPX-T",DO7="EUC"),50,0))</f>
        <v>50</v>
      </c>
      <c r="DQ7" s="272" t="s">
        <v>180</v>
      </c>
      <c r="DR7" s="273"/>
      <c r="DS7" s="274"/>
      <c r="DT7" s="117" t="s">
        <v>487</v>
      </c>
      <c r="DU7" s="16">
        <f>IF(OR(DT7="RPX",DT7="SS"),30,IF(OR(DT7="RPX-T",DT7="EUC"),50,0))</f>
        <v>30</v>
      </c>
      <c r="DV7" s="272" t="s">
        <v>180</v>
      </c>
      <c r="DW7" s="273"/>
      <c r="DX7" s="274"/>
      <c r="DY7" s="117" t="s">
        <v>487</v>
      </c>
      <c r="DZ7" s="16">
        <f>IF(OR(DY7="RPX",DY7="SS"),30,IF(OR(DY7="RPX-T",DY7="EUC"),50,0))</f>
        <v>30</v>
      </c>
      <c r="EA7" s="272" t="s">
        <v>180</v>
      </c>
      <c r="EB7" s="273"/>
      <c r="EC7" s="274"/>
      <c r="ED7" s="117" t="s">
        <v>487</v>
      </c>
      <c r="EE7" s="16">
        <f>IF(OR(ED7="RPX",ED7="SS"),30,IF(OR(ED7="RPX-T",ED7="EUC"),50,0))</f>
        <v>30</v>
      </c>
      <c r="EF7" s="272" t="s">
        <v>180</v>
      </c>
      <c r="EG7" s="273"/>
      <c r="EH7" s="274"/>
      <c r="EI7" s="117" t="s">
        <v>492</v>
      </c>
      <c r="EJ7" s="16">
        <f>IF(OR(EI7="RPX",EI7="SS"),30,IF(OR(EI7="RPX-T",EI7="EUC"),50,0))</f>
        <v>50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c r="AP9" s="90"/>
      <c r="AQ9" s="90">
        <v>0</v>
      </c>
      <c r="AR9" s="116"/>
      <c r="AS9" s="16">
        <f>IF(AO9="",IF(AQ9="","",AQ9),AO9)</f>
        <v>0</v>
      </c>
      <c r="AT9" s="90"/>
      <c r="AU9" s="90"/>
      <c r="AV9" s="90">
        <v>0</v>
      </c>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c r="DR9" s="90"/>
      <c r="DS9" s="90">
        <v>0</v>
      </c>
      <c r="DT9" s="90"/>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c r="AQ10" s="90"/>
      <c r="AR10" s="116">
        <v>50</v>
      </c>
      <c r="AS10" s="16">
        <f>IF(AO10="",AQ10,AO10)</f>
        <v>0</v>
      </c>
      <c r="AT10" s="90"/>
      <c r="AU10" s="90"/>
      <c r="AV10" s="90"/>
      <c r="AW10" s="116">
        <v>50</v>
      </c>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c r="DS10" s="90"/>
      <c r="DT10" s="90">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166</v>
      </c>
      <c r="B11" s="90"/>
      <c r="C11" s="116"/>
      <c r="D11" s="116"/>
      <c r="E11" s="16">
        <f t="shared" ref="E11:E74" si="1">IF(A11="",C11,A11)</f>
        <v>166</v>
      </c>
      <c r="F11" s="90">
        <v>595</v>
      </c>
      <c r="G11" s="90"/>
      <c r="H11" s="90"/>
      <c r="I11" s="116"/>
      <c r="J11" s="16">
        <f t="shared" ref="J11:J74" si="2">IF(F11="",H11,F11)</f>
        <v>595</v>
      </c>
      <c r="K11" s="90">
        <v>383</v>
      </c>
      <c r="L11" s="90"/>
      <c r="M11" s="90"/>
      <c r="N11" s="116"/>
      <c r="O11" s="16">
        <f t="shared" ref="O11:O74" si="3">IF(K11="",M11,K11)</f>
        <v>383</v>
      </c>
      <c r="P11" s="90">
        <v>85</v>
      </c>
      <c r="Q11" s="90"/>
      <c r="R11" s="90"/>
      <c r="S11" s="116"/>
      <c r="T11" s="16">
        <f t="shared" ref="T11:T74" si="4">IF(P11="",R11,P11)</f>
        <v>85</v>
      </c>
      <c r="U11" s="90">
        <v>120</v>
      </c>
      <c r="V11" s="90"/>
      <c r="W11" s="90"/>
      <c r="X11" s="116"/>
      <c r="Y11" s="16">
        <f t="shared" ref="Y11:Y74" si="5">IF(U11="",W11,U11)</f>
        <v>120</v>
      </c>
      <c r="Z11" s="90">
        <v>444</v>
      </c>
      <c r="AA11" s="90"/>
      <c r="AB11" s="90"/>
      <c r="AC11" s="116"/>
      <c r="AD11" s="16">
        <f t="shared" ref="AD11:AD74" si="6">IF(Z11="",AB11,Z11)</f>
        <v>444</v>
      </c>
      <c r="AE11" s="90">
        <v>45</v>
      </c>
      <c r="AF11" s="90"/>
      <c r="AG11" s="90"/>
      <c r="AH11" s="116"/>
      <c r="AI11" s="16">
        <f t="shared" ref="AI11:AI74" si="7">IF(AE11="",AG11,AE11)</f>
        <v>45</v>
      </c>
      <c r="AJ11" s="90">
        <v>382</v>
      </c>
      <c r="AK11" s="90"/>
      <c r="AL11" s="90"/>
      <c r="AM11" s="116"/>
      <c r="AN11" s="16">
        <f t="shared" ref="AN11:AN74" si="8">IF(AJ11="",AL11,AJ11)</f>
        <v>382</v>
      </c>
      <c r="AO11" s="90"/>
      <c r="AP11" s="90"/>
      <c r="AQ11" s="90">
        <v>190</v>
      </c>
      <c r="AR11" s="116"/>
      <c r="AS11" s="16">
        <f t="shared" ref="AS11:AS74" si="9">IF(AO11="",AQ11,AO11)</f>
        <v>190</v>
      </c>
      <c r="AT11" s="90"/>
      <c r="AU11" s="90">
        <v>26</v>
      </c>
      <c r="AV11" s="90"/>
      <c r="AW11" s="116"/>
      <c r="AX11" s="16">
        <f t="shared" ref="AX11:AX74" si="10">IF(AT11="",AV11,AT11)</f>
        <v>0</v>
      </c>
      <c r="AY11" s="90">
        <v>2</v>
      </c>
      <c r="AZ11" s="90"/>
      <c r="BA11" s="90"/>
      <c r="BB11" s="116"/>
      <c r="BC11" s="16">
        <f>IF(AY11="",BA11,AY11)</f>
        <v>2</v>
      </c>
      <c r="BD11" s="90">
        <v>104</v>
      </c>
      <c r="BE11" s="90"/>
      <c r="BF11" s="90"/>
      <c r="BG11" s="116"/>
      <c r="BH11" s="16">
        <f t="shared" ref="BH11:BH74" si="11">IF(BD11="",BF11,BD11)</f>
        <v>104</v>
      </c>
      <c r="BI11" s="90">
        <v>54</v>
      </c>
      <c r="BJ11" s="90"/>
      <c r="BK11" s="90"/>
      <c r="BL11" s="116"/>
      <c r="BM11" s="16">
        <f t="shared" ref="BM11:BM74" si="12">IF(BI11="",BK11,BI11)</f>
        <v>54</v>
      </c>
      <c r="BN11" s="90">
        <v>110</v>
      </c>
      <c r="BO11" s="90"/>
      <c r="BP11" s="90"/>
      <c r="BQ11" s="116"/>
      <c r="BR11" s="16">
        <f t="shared" ref="BR11:BR74" si="13">IF(BN11="",BP11,BN11)</f>
        <v>110</v>
      </c>
      <c r="BS11" s="90">
        <v>1004</v>
      </c>
      <c r="BT11" s="90"/>
      <c r="BU11" s="90"/>
      <c r="BV11" s="116"/>
      <c r="BW11" s="16">
        <f t="shared" ref="BW11:BW74" si="14">IF(BS11="",BU11,BS11)</f>
        <v>1004</v>
      </c>
      <c r="BX11" s="90">
        <v>2</v>
      </c>
      <c r="BY11" s="90"/>
      <c r="BZ11" s="90"/>
      <c r="CA11" s="116"/>
      <c r="CB11" s="16">
        <f t="shared" ref="CB11:CB74" si="15">IF(BX11="",BZ11,BX11)</f>
        <v>2</v>
      </c>
      <c r="CC11" s="90">
        <v>452</v>
      </c>
      <c r="CD11" s="90"/>
      <c r="CE11" s="90"/>
      <c r="CF11" s="116"/>
      <c r="CG11" s="16">
        <f t="shared" ref="CG11:CG74" si="16">IF(CC11="",CE11,CC11)</f>
        <v>452</v>
      </c>
      <c r="CH11" s="90">
        <v>2</v>
      </c>
      <c r="CI11" s="90"/>
      <c r="CJ11" s="90"/>
      <c r="CK11" s="116"/>
      <c r="CL11" s="16">
        <f t="shared" ref="CL11:CL74" si="17">IF(CH11="",CJ11,CH11)</f>
        <v>2</v>
      </c>
      <c r="CM11" s="90">
        <v>2</v>
      </c>
      <c r="CN11" s="90"/>
      <c r="CO11" s="90"/>
      <c r="CP11" s="116"/>
      <c r="CQ11" s="16">
        <f t="shared" ref="CQ11:CQ74" si="18">IF(CM11="",CO11,CM11)</f>
        <v>2</v>
      </c>
      <c r="CR11" s="90">
        <v>340</v>
      </c>
      <c r="CS11" s="90"/>
      <c r="CT11" s="90"/>
      <c r="CU11" s="116"/>
      <c r="CV11" s="16">
        <f t="shared" ref="CV11:CV74" si="19">IF(CR11="",CT11,CR11)</f>
        <v>340</v>
      </c>
      <c r="CW11" s="90">
        <v>848</v>
      </c>
      <c r="CX11" s="90"/>
      <c r="CY11" s="90"/>
      <c r="CZ11" s="116"/>
      <c r="DA11" s="16">
        <f t="shared" ref="DA11:DA74" si="20">IF(CW11="",CY11,CW11)</f>
        <v>848</v>
      </c>
      <c r="DB11" s="90">
        <v>316</v>
      </c>
      <c r="DC11" s="90"/>
      <c r="DD11" s="90"/>
      <c r="DE11" s="116"/>
      <c r="DF11" s="16">
        <f t="shared" ref="DF11:DF74" si="21">IF(DB11="",DD11,DB11)</f>
        <v>316</v>
      </c>
      <c r="DG11" s="90">
        <v>435</v>
      </c>
      <c r="DH11" s="90"/>
      <c r="DI11" s="90"/>
      <c r="DJ11" s="116"/>
      <c r="DK11" s="16">
        <f t="shared" ref="DK11:DK74" si="22">IF(DG11="",DI11,DG11)</f>
        <v>435</v>
      </c>
      <c r="DL11" s="90">
        <v>657</v>
      </c>
      <c r="DM11" s="90"/>
      <c r="DN11" s="90"/>
      <c r="DO11" s="116"/>
      <c r="DP11" s="16">
        <f t="shared" ref="DP11:DP74" si="23">IF(DL11="",DN11,DL11)</f>
        <v>657</v>
      </c>
      <c r="DQ11" s="90"/>
      <c r="DR11" s="90"/>
      <c r="DS11" s="90">
        <v>259</v>
      </c>
      <c r="DT11" s="90"/>
      <c r="DU11" s="16">
        <f t="shared" ref="DU11:DU74" si="24">IF(DQ11="",DS11,DQ11)</f>
        <v>259</v>
      </c>
      <c r="DV11" s="90"/>
      <c r="DW11" s="90"/>
      <c r="DX11" s="90">
        <v>345</v>
      </c>
      <c r="DY11" s="116"/>
      <c r="DZ11" s="16">
        <f t="shared" ref="DZ11:DZ74" si="25">IF(DV11="",DX11,DV11)</f>
        <v>345</v>
      </c>
      <c r="EA11" s="90"/>
      <c r="EB11" s="90"/>
      <c r="EC11" s="90">
        <v>229</v>
      </c>
      <c r="ED11" s="116"/>
      <c r="EE11" s="16">
        <f t="shared" ref="EE11:EE74" si="26">IF(EA11="",EC11,EA11)</f>
        <v>229</v>
      </c>
      <c r="EF11" s="90"/>
      <c r="EG11" s="90"/>
      <c r="EH11" s="90">
        <v>67</v>
      </c>
      <c r="EI11" s="116"/>
      <c r="EJ11" s="16">
        <f t="shared" ref="EJ11:EJ74" si="27">IF(EF11="",EH11,EF11)</f>
        <v>67</v>
      </c>
      <c r="EK11" s="90"/>
      <c r="EL11" s="90"/>
      <c r="EM11" s="90"/>
      <c r="EN11" s="116"/>
      <c r="EO11" s="16">
        <f t="shared" ref="EO11:EO74" si="28">IF(EK11="",EM11,EK11)</f>
        <v>0</v>
      </c>
      <c r="EP11" s="90"/>
      <c r="EQ11" s="90"/>
      <c r="ER11" s="90"/>
      <c r="ES11" s="116"/>
      <c r="ET11" s="16">
        <f t="shared" ref="ET11:ET74" si="29">IF(EP11="",ER11,EP11)</f>
        <v>0</v>
      </c>
      <c r="EU11" s="90"/>
      <c r="EV11" s="90"/>
      <c r="EW11" s="90"/>
      <c r="EX11" s="116"/>
      <c r="EY11" s="16">
        <f t="shared" ref="EY11:EY74" si="30">IF(EU11="",EW11,EU11)</f>
        <v>0</v>
      </c>
      <c r="EZ11" s="90"/>
      <c r="FA11" s="90"/>
      <c r="FB11" s="90"/>
      <c r="FC11" s="116"/>
      <c r="FD11" s="16">
        <f t="shared" ref="FD11:FD74" si="31">IF(EZ11="",FB11,EZ11)</f>
        <v>0</v>
      </c>
      <c r="FE11" s="90"/>
      <c r="FF11" s="90"/>
      <c r="FG11" s="90"/>
      <c r="FH11" s="116"/>
      <c r="FI11" s="16">
        <f t="shared" si="0"/>
        <v>0</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748</v>
      </c>
      <c r="B12" s="90"/>
      <c r="C12" s="116"/>
      <c r="D12" s="116"/>
      <c r="E12" s="16">
        <f t="shared" si="1"/>
        <v>748</v>
      </c>
      <c r="F12" s="90">
        <v>243</v>
      </c>
      <c r="G12" s="90"/>
      <c r="H12" s="90"/>
      <c r="I12" s="116"/>
      <c r="J12" s="16">
        <f t="shared" si="2"/>
        <v>243</v>
      </c>
      <c r="K12" s="90">
        <v>666</v>
      </c>
      <c r="L12" s="90"/>
      <c r="M12" s="90"/>
      <c r="N12" s="116"/>
      <c r="O12" s="16">
        <f t="shared" si="3"/>
        <v>666</v>
      </c>
      <c r="P12" s="90"/>
      <c r="Q12" s="90">
        <v>22</v>
      </c>
      <c r="R12" s="90"/>
      <c r="S12" s="116"/>
      <c r="T12" s="16">
        <f t="shared" si="4"/>
        <v>0</v>
      </c>
      <c r="U12" s="90"/>
      <c r="V12" s="90">
        <v>20</v>
      </c>
      <c r="W12" s="90"/>
      <c r="X12" s="116"/>
      <c r="Y12" s="16">
        <f t="shared" si="5"/>
        <v>0</v>
      </c>
      <c r="Z12" s="90"/>
      <c r="AA12" s="90">
        <v>50</v>
      </c>
      <c r="AB12" s="90"/>
      <c r="AC12" s="116"/>
      <c r="AD12" s="16">
        <f t="shared" si="6"/>
        <v>0</v>
      </c>
      <c r="AE12" s="90"/>
      <c r="AF12" s="90">
        <v>25</v>
      </c>
      <c r="AG12" s="90"/>
      <c r="AH12" s="116"/>
      <c r="AI12" s="16">
        <f t="shared" si="7"/>
        <v>0</v>
      </c>
      <c r="AJ12" s="90">
        <v>170</v>
      </c>
      <c r="AK12" s="90"/>
      <c r="AL12" s="90"/>
      <c r="AM12" s="116"/>
      <c r="AN12" s="16">
        <f t="shared" si="8"/>
        <v>170</v>
      </c>
      <c r="AO12" s="90"/>
      <c r="AP12" s="90"/>
      <c r="AQ12" s="90">
        <v>283</v>
      </c>
      <c r="AR12" s="116"/>
      <c r="AS12" s="16">
        <f t="shared" si="9"/>
        <v>283</v>
      </c>
      <c r="AT12" s="90">
        <v>420</v>
      </c>
      <c r="AU12" s="90"/>
      <c r="AV12" s="90"/>
      <c r="AW12" s="116"/>
      <c r="AX12" s="16">
        <f t="shared" si="10"/>
        <v>420</v>
      </c>
      <c r="AY12" s="90">
        <v>161</v>
      </c>
      <c r="AZ12" s="90"/>
      <c r="BA12" s="90"/>
      <c r="BB12" s="116"/>
      <c r="BC12" s="16">
        <f>IF(AY12="",BA12,AY12)</f>
        <v>161</v>
      </c>
      <c r="BD12" s="90">
        <v>84</v>
      </c>
      <c r="BE12" s="90"/>
      <c r="BF12" s="90"/>
      <c r="BG12" s="116"/>
      <c r="BH12" s="16">
        <f t="shared" si="11"/>
        <v>84</v>
      </c>
      <c r="BI12" s="90">
        <v>136</v>
      </c>
      <c r="BJ12" s="90"/>
      <c r="BK12" s="90"/>
      <c r="BL12" s="116"/>
      <c r="BM12" s="16">
        <f t="shared" si="12"/>
        <v>136</v>
      </c>
      <c r="BN12" s="90">
        <v>142</v>
      </c>
      <c r="BO12" s="90"/>
      <c r="BP12" s="90"/>
      <c r="BQ12" s="116"/>
      <c r="BR12" s="16">
        <f t="shared" si="13"/>
        <v>142</v>
      </c>
      <c r="BS12" s="90"/>
      <c r="BT12" s="90">
        <v>20</v>
      </c>
      <c r="BU12" s="90"/>
      <c r="BV12" s="116"/>
      <c r="BW12" s="16">
        <f t="shared" si="14"/>
        <v>0</v>
      </c>
      <c r="BX12" s="90">
        <v>358</v>
      </c>
      <c r="BY12" s="90"/>
      <c r="BZ12" s="90"/>
      <c r="CA12" s="116"/>
      <c r="CB12" s="16">
        <f t="shared" si="15"/>
        <v>358</v>
      </c>
      <c r="CC12" s="90">
        <v>590</v>
      </c>
      <c r="CD12" s="90"/>
      <c r="CE12" s="90"/>
      <c r="CF12" s="116"/>
      <c r="CG12" s="16">
        <f t="shared" si="16"/>
        <v>590</v>
      </c>
      <c r="CH12" s="90">
        <v>696</v>
      </c>
      <c r="CI12" s="90"/>
      <c r="CJ12" s="90"/>
      <c r="CK12" s="116"/>
      <c r="CL12" s="16">
        <f t="shared" si="17"/>
        <v>696</v>
      </c>
      <c r="CM12" s="90">
        <v>740</v>
      </c>
      <c r="CN12" s="90"/>
      <c r="CO12" s="90"/>
      <c r="CP12" s="116"/>
      <c r="CQ12" s="16">
        <f t="shared" si="18"/>
        <v>740</v>
      </c>
      <c r="CR12" s="90"/>
      <c r="CS12" s="90">
        <v>20</v>
      </c>
      <c r="CT12" s="90"/>
      <c r="CU12" s="116"/>
      <c r="CV12" s="16">
        <f t="shared" si="19"/>
        <v>0</v>
      </c>
      <c r="CW12" s="90"/>
      <c r="CX12" s="90">
        <v>50</v>
      </c>
      <c r="CY12" s="90"/>
      <c r="CZ12" s="116"/>
      <c r="DA12" s="16">
        <f t="shared" si="20"/>
        <v>0</v>
      </c>
      <c r="DB12" s="90">
        <v>500</v>
      </c>
      <c r="DC12" s="90"/>
      <c r="DD12" s="90"/>
      <c r="DE12" s="116"/>
      <c r="DF12" s="16">
        <f t="shared" si="21"/>
        <v>500</v>
      </c>
      <c r="DG12" s="90"/>
      <c r="DH12" s="90">
        <v>20</v>
      </c>
      <c r="DI12" s="90"/>
      <c r="DJ12" s="116"/>
      <c r="DK12" s="16">
        <f t="shared" si="22"/>
        <v>0</v>
      </c>
      <c r="DL12" s="90"/>
      <c r="DM12" s="90"/>
      <c r="DN12" s="90"/>
      <c r="DO12" s="116"/>
      <c r="DP12" s="16">
        <f t="shared" si="23"/>
        <v>0</v>
      </c>
      <c r="DQ12" s="90"/>
      <c r="DR12" s="90"/>
      <c r="DS12" s="90">
        <v>195</v>
      </c>
      <c r="DT12" s="90"/>
      <c r="DU12" s="16">
        <f t="shared" si="24"/>
        <v>195</v>
      </c>
      <c r="DV12" s="90"/>
      <c r="DW12" s="90"/>
      <c r="DX12" s="90"/>
      <c r="DY12" s="116">
        <v>50</v>
      </c>
      <c r="DZ12" s="16">
        <f t="shared" si="25"/>
        <v>0</v>
      </c>
      <c r="EA12" s="90"/>
      <c r="EB12" s="90"/>
      <c r="EC12" s="90"/>
      <c r="ED12" s="116">
        <v>50</v>
      </c>
      <c r="EE12" s="16">
        <f t="shared" si="26"/>
        <v>0</v>
      </c>
      <c r="EF12" s="90"/>
      <c r="EG12" s="90">
        <v>26</v>
      </c>
      <c r="EH12" s="90"/>
      <c r="EI12" s="116"/>
      <c r="EJ12" s="16">
        <f t="shared" si="27"/>
        <v>0</v>
      </c>
      <c r="EK12" s="90"/>
      <c r="EL12" s="90"/>
      <c r="EM12" s="90"/>
      <c r="EN12" s="116"/>
      <c r="EO12" s="16">
        <f t="shared" si="28"/>
        <v>0</v>
      </c>
      <c r="EP12" s="90"/>
      <c r="EQ12" s="90"/>
      <c r="ER12" s="90"/>
      <c r="ES12" s="116"/>
      <c r="ET12" s="16">
        <f t="shared" si="29"/>
        <v>0</v>
      </c>
      <c r="EU12" s="90"/>
      <c r="EV12" s="90"/>
      <c r="EW12" s="90"/>
      <c r="EX12" s="116"/>
      <c r="EY12" s="16">
        <f t="shared" si="30"/>
        <v>0</v>
      </c>
      <c r="EZ12" s="90"/>
      <c r="FA12" s="90"/>
      <c r="FB12" s="90"/>
      <c r="FC12" s="116"/>
      <c r="FD12" s="16">
        <f t="shared" si="31"/>
        <v>0</v>
      </c>
      <c r="FE12" s="90"/>
      <c r="FF12" s="90"/>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c r="G13" s="90">
        <v>20</v>
      </c>
      <c r="H13" s="90"/>
      <c r="I13" s="116"/>
      <c r="J13" s="16">
        <f t="shared" si="2"/>
        <v>0</v>
      </c>
      <c r="K13" s="90"/>
      <c r="L13" s="90">
        <v>20</v>
      </c>
      <c r="M13" s="90"/>
      <c r="N13" s="116"/>
      <c r="O13" s="16">
        <f t="shared" si="3"/>
        <v>0</v>
      </c>
      <c r="P13" s="90"/>
      <c r="Q13" s="90"/>
      <c r="R13" s="90">
        <v>276</v>
      </c>
      <c r="S13" s="116"/>
      <c r="T13" s="16">
        <f t="shared" si="4"/>
        <v>276</v>
      </c>
      <c r="U13" s="90">
        <v>883</v>
      </c>
      <c r="V13" s="90"/>
      <c r="W13" s="90"/>
      <c r="X13" s="116"/>
      <c r="Y13" s="16">
        <f t="shared" si="5"/>
        <v>883</v>
      </c>
      <c r="Z13" s="90"/>
      <c r="AA13" s="90"/>
      <c r="AB13" s="90"/>
      <c r="AC13" s="116"/>
      <c r="AD13" s="16">
        <f t="shared" si="6"/>
        <v>0</v>
      </c>
      <c r="AE13" s="90"/>
      <c r="AF13" s="90"/>
      <c r="AG13" s="90">
        <v>25</v>
      </c>
      <c r="AH13" s="116"/>
      <c r="AI13" s="16">
        <f t="shared" si="7"/>
        <v>25</v>
      </c>
      <c r="AJ13" s="90">
        <v>660</v>
      </c>
      <c r="AK13" s="90"/>
      <c r="AL13" s="90"/>
      <c r="AM13" s="116"/>
      <c r="AN13" s="16">
        <f t="shared" si="8"/>
        <v>660</v>
      </c>
      <c r="AO13" s="90"/>
      <c r="AP13" s="90"/>
      <c r="AQ13" s="90"/>
      <c r="AR13" s="116"/>
      <c r="AS13" s="16">
        <f t="shared" si="9"/>
        <v>0</v>
      </c>
      <c r="AT13" s="90">
        <v>149</v>
      </c>
      <c r="AU13" s="90"/>
      <c r="AV13" s="90"/>
      <c r="AW13" s="116"/>
      <c r="AX13" s="16">
        <f t="shared" si="10"/>
        <v>149</v>
      </c>
      <c r="AY13" s="90">
        <v>75</v>
      </c>
      <c r="AZ13" s="90"/>
      <c r="BA13" s="90"/>
      <c r="BB13" s="116"/>
      <c r="BC13" s="16">
        <f>IF(AY13="",BA13,AY13)</f>
        <v>75</v>
      </c>
      <c r="BD13" s="90">
        <v>169</v>
      </c>
      <c r="BE13" s="90"/>
      <c r="BF13" s="90"/>
      <c r="BG13" s="116"/>
      <c r="BH13" s="16">
        <f t="shared" si="11"/>
        <v>169</v>
      </c>
      <c r="BI13" s="90">
        <v>142</v>
      </c>
      <c r="BJ13" s="90"/>
      <c r="BK13" s="90"/>
      <c r="BL13" s="116"/>
      <c r="BM13" s="16">
        <f t="shared" si="12"/>
        <v>142</v>
      </c>
      <c r="BN13" s="90">
        <v>129</v>
      </c>
      <c r="BO13" s="90"/>
      <c r="BP13" s="90"/>
      <c r="BQ13" s="116"/>
      <c r="BR13" s="16">
        <f t="shared" si="13"/>
        <v>129</v>
      </c>
      <c r="BS13" s="90">
        <v>465</v>
      </c>
      <c r="BT13" s="90"/>
      <c r="BU13" s="90"/>
      <c r="BV13" s="116"/>
      <c r="BW13" s="16">
        <f t="shared" si="14"/>
        <v>465</v>
      </c>
      <c r="BX13" s="90"/>
      <c r="BY13" s="90">
        <v>20</v>
      </c>
      <c r="BZ13" s="90"/>
      <c r="CA13" s="116"/>
      <c r="CB13" s="16">
        <f t="shared" si="15"/>
        <v>0</v>
      </c>
      <c r="CC13" s="90"/>
      <c r="CD13" s="90">
        <v>20</v>
      </c>
      <c r="CE13" s="90"/>
      <c r="CF13" s="116"/>
      <c r="CG13" s="16">
        <f t="shared" si="16"/>
        <v>0</v>
      </c>
      <c r="CH13" s="90"/>
      <c r="CI13" s="90">
        <v>20</v>
      </c>
      <c r="CJ13" s="90"/>
      <c r="CK13" s="116"/>
      <c r="CL13" s="16">
        <f t="shared" si="17"/>
        <v>0</v>
      </c>
      <c r="CM13" s="90"/>
      <c r="CN13" s="90">
        <v>20</v>
      </c>
      <c r="CO13" s="90"/>
      <c r="CP13" s="116"/>
      <c r="CQ13" s="16">
        <f t="shared" si="18"/>
        <v>0</v>
      </c>
      <c r="CR13" s="90">
        <v>1468</v>
      </c>
      <c r="CS13" s="90"/>
      <c r="CT13" s="90"/>
      <c r="CU13" s="116"/>
      <c r="CV13" s="16">
        <f t="shared" si="19"/>
        <v>1468</v>
      </c>
      <c r="CW13" s="90"/>
      <c r="CX13" s="90"/>
      <c r="CY13" s="90"/>
      <c r="CZ13" s="116"/>
      <c r="DA13" s="16">
        <f t="shared" si="20"/>
        <v>0</v>
      </c>
      <c r="DB13" s="90"/>
      <c r="DC13" s="90">
        <v>20</v>
      </c>
      <c r="DD13" s="90"/>
      <c r="DE13" s="116"/>
      <c r="DF13" s="16">
        <f t="shared" si="21"/>
        <v>0</v>
      </c>
      <c r="DG13" s="90">
        <v>922</v>
      </c>
      <c r="DH13" s="90"/>
      <c r="DI13" s="90"/>
      <c r="DJ13" s="116"/>
      <c r="DK13" s="16">
        <f t="shared" si="22"/>
        <v>922</v>
      </c>
      <c r="DL13" s="90"/>
      <c r="DM13" s="90"/>
      <c r="DN13" s="90"/>
      <c r="DO13" s="116"/>
      <c r="DP13" s="16">
        <f t="shared" si="23"/>
        <v>0</v>
      </c>
      <c r="DQ13" s="90"/>
      <c r="DR13" s="90"/>
      <c r="DS13" s="90">
        <v>366</v>
      </c>
      <c r="DT13" s="90"/>
      <c r="DU13" s="16">
        <f t="shared" si="24"/>
        <v>366</v>
      </c>
      <c r="DV13" s="90"/>
      <c r="DW13" s="90"/>
      <c r="DX13" s="90">
        <v>320</v>
      </c>
      <c r="DY13" s="116"/>
      <c r="DZ13" s="16">
        <f t="shared" si="25"/>
        <v>320</v>
      </c>
      <c r="EA13" s="90"/>
      <c r="EB13" s="90"/>
      <c r="EC13" s="90">
        <v>205</v>
      </c>
      <c r="ED13" s="116"/>
      <c r="EE13" s="16">
        <f t="shared" si="26"/>
        <v>205</v>
      </c>
      <c r="EF13" s="90">
        <v>640</v>
      </c>
      <c r="EG13" s="90"/>
      <c r="EH13" s="90"/>
      <c r="EI13" s="116"/>
      <c r="EJ13" s="16">
        <f t="shared" si="27"/>
        <v>640</v>
      </c>
      <c r="EK13" s="90"/>
      <c r="EL13" s="90"/>
      <c r="EM13" s="90"/>
      <c r="EN13" s="116"/>
      <c r="EO13" s="16">
        <f t="shared" si="28"/>
        <v>0</v>
      </c>
      <c r="EP13" s="90"/>
      <c r="EQ13" s="90"/>
      <c r="ER13" s="90"/>
      <c r="ES13" s="116"/>
      <c r="ET13" s="16">
        <f t="shared" si="29"/>
        <v>0</v>
      </c>
      <c r="EU13" s="90"/>
      <c r="EV13" s="90"/>
      <c r="EW13" s="90"/>
      <c r="EX13" s="116"/>
      <c r="EY13" s="16">
        <f t="shared" si="30"/>
        <v>0</v>
      </c>
      <c r="EZ13" s="90"/>
      <c r="FA13" s="90"/>
      <c r="FB13" s="90"/>
      <c r="FC13" s="116"/>
      <c r="FD13" s="16">
        <f t="shared" si="31"/>
        <v>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588</v>
      </c>
      <c r="B14" s="90"/>
      <c r="C14" s="116"/>
      <c r="D14" s="116"/>
      <c r="E14" s="16">
        <f t="shared" si="1"/>
        <v>588</v>
      </c>
      <c r="F14" s="90">
        <v>253</v>
      </c>
      <c r="G14" s="90"/>
      <c r="H14" s="90"/>
      <c r="I14" s="116"/>
      <c r="J14" s="16">
        <f t="shared" si="2"/>
        <v>253</v>
      </c>
      <c r="K14" s="90">
        <v>306</v>
      </c>
      <c r="L14" s="90"/>
      <c r="M14" s="90"/>
      <c r="N14" s="116"/>
      <c r="O14" s="16">
        <f t="shared" si="3"/>
        <v>306</v>
      </c>
      <c r="P14" s="90"/>
      <c r="Q14" s="90"/>
      <c r="R14" s="90">
        <v>203</v>
      </c>
      <c r="S14" s="116"/>
      <c r="T14" s="16">
        <f t="shared" si="4"/>
        <v>203</v>
      </c>
      <c r="U14" s="90"/>
      <c r="V14" s="90">
        <v>20</v>
      </c>
      <c r="W14" s="90"/>
      <c r="X14" s="116"/>
      <c r="Y14" s="16">
        <f t="shared" si="5"/>
        <v>0</v>
      </c>
      <c r="Z14" s="90"/>
      <c r="AA14" s="90"/>
      <c r="AB14" s="90"/>
      <c r="AC14" s="116"/>
      <c r="AD14" s="16">
        <f t="shared" si="6"/>
        <v>0</v>
      </c>
      <c r="AE14" s="90"/>
      <c r="AF14" s="90"/>
      <c r="AG14" s="90">
        <v>61</v>
      </c>
      <c r="AH14" s="116"/>
      <c r="AI14" s="16">
        <f t="shared" si="7"/>
        <v>61</v>
      </c>
      <c r="AJ14" s="90"/>
      <c r="AK14" s="90">
        <v>50</v>
      </c>
      <c r="AL14" s="90"/>
      <c r="AM14" s="116"/>
      <c r="AN14" s="16">
        <f t="shared" si="8"/>
        <v>0</v>
      </c>
      <c r="AO14" s="90"/>
      <c r="AP14" s="90"/>
      <c r="AQ14" s="90"/>
      <c r="AR14" s="116"/>
      <c r="AS14" s="16">
        <f t="shared" si="9"/>
        <v>0</v>
      </c>
      <c r="AT14" s="90"/>
      <c r="AU14" s="90">
        <v>20</v>
      </c>
      <c r="AV14" s="90"/>
      <c r="AW14" s="116"/>
      <c r="AX14" s="16">
        <f t="shared" si="10"/>
        <v>0</v>
      </c>
      <c r="AY14" s="90"/>
      <c r="AZ14" s="90"/>
      <c r="BA14" s="90"/>
      <c r="BB14" s="116"/>
      <c r="BC14" s="16">
        <f t="shared" ref="BC14:BC74" si="49">IF(AY14="",BA14,AY14)</f>
        <v>0</v>
      </c>
      <c r="BD14" s="90">
        <v>2</v>
      </c>
      <c r="BE14" s="90">
        <v>50</v>
      </c>
      <c r="BF14" s="90"/>
      <c r="BG14" s="116"/>
      <c r="BH14" s="16">
        <f t="shared" si="11"/>
        <v>2</v>
      </c>
      <c r="BI14" s="90">
        <v>83</v>
      </c>
      <c r="BJ14" s="90"/>
      <c r="BK14" s="90"/>
      <c r="BL14" s="116"/>
      <c r="BM14" s="16">
        <f t="shared" si="12"/>
        <v>83</v>
      </c>
      <c r="BN14" s="90">
        <v>121</v>
      </c>
      <c r="BO14" s="90"/>
      <c r="BP14" s="90"/>
      <c r="BQ14" s="116"/>
      <c r="BR14" s="16">
        <f t="shared" si="13"/>
        <v>121</v>
      </c>
      <c r="BS14" s="90"/>
      <c r="BT14" s="90">
        <v>50</v>
      </c>
      <c r="BU14" s="90"/>
      <c r="BV14" s="116"/>
      <c r="BW14" s="16">
        <f t="shared" si="14"/>
        <v>0</v>
      </c>
      <c r="BX14" s="90">
        <v>650</v>
      </c>
      <c r="BY14" s="90"/>
      <c r="BZ14" s="90"/>
      <c r="CA14" s="116"/>
      <c r="CB14" s="16">
        <f t="shared" si="15"/>
        <v>650</v>
      </c>
      <c r="CC14" s="90">
        <v>579</v>
      </c>
      <c r="CD14" s="90"/>
      <c r="CE14" s="90"/>
      <c r="CF14" s="116"/>
      <c r="CG14" s="16">
        <f t="shared" si="16"/>
        <v>579</v>
      </c>
      <c r="CH14" s="90">
        <v>580</v>
      </c>
      <c r="CI14" s="90"/>
      <c r="CJ14" s="90"/>
      <c r="CK14" s="116"/>
      <c r="CL14" s="16">
        <f t="shared" si="17"/>
        <v>580</v>
      </c>
      <c r="CM14" s="90">
        <v>140</v>
      </c>
      <c r="CN14" s="90"/>
      <c r="CO14" s="90"/>
      <c r="CP14" s="116"/>
      <c r="CQ14" s="16">
        <f t="shared" si="18"/>
        <v>140</v>
      </c>
      <c r="CR14" s="90">
        <v>2</v>
      </c>
      <c r="CS14" s="90"/>
      <c r="CT14" s="90"/>
      <c r="CU14" s="116"/>
      <c r="CV14" s="16">
        <f t="shared" si="19"/>
        <v>2</v>
      </c>
      <c r="CW14" s="90"/>
      <c r="CX14" s="90"/>
      <c r="CY14" s="90"/>
      <c r="CZ14" s="116"/>
      <c r="DA14" s="16">
        <f t="shared" si="20"/>
        <v>0</v>
      </c>
      <c r="DB14" s="90">
        <v>457</v>
      </c>
      <c r="DC14" s="90"/>
      <c r="DD14" s="90"/>
      <c r="DE14" s="116"/>
      <c r="DF14" s="16">
        <f t="shared" si="21"/>
        <v>457</v>
      </c>
      <c r="DG14" s="90"/>
      <c r="DH14" s="90">
        <v>20</v>
      </c>
      <c r="DI14" s="90"/>
      <c r="DJ14" s="116"/>
      <c r="DK14" s="16">
        <f t="shared" si="22"/>
        <v>0</v>
      </c>
      <c r="DL14" s="90"/>
      <c r="DM14" s="90"/>
      <c r="DN14" s="90"/>
      <c r="DO14" s="116"/>
      <c r="DP14" s="16">
        <f t="shared" si="23"/>
        <v>0</v>
      </c>
      <c r="DQ14" s="90"/>
      <c r="DR14" s="90"/>
      <c r="DS14" s="90">
        <v>115</v>
      </c>
      <c r="DT14" s="90"/>
      <c r="DU14" s="16">
        <f t="shared" si="24"/>
        <v>115</v>
      </c>
      <c r="DV14" s="90"/>
      <c r="DW14" s="90"/>
      <c r="DX14" s="90">
        <v>361</v>
      </c>
      <c r="DY14" s="116"/>
      <c r="DZ14" s="16">
        <f t="shared" si="25"/>
        <v>361</v>
      </c>
      <c r="EA14" s="90"/>
      <c r="EB14" s="90"/>
      <c r="EC14" s="90">
        <v>195</v>
      </c>
      <c r="ED14" s="116"/>
      <c r="EE14" s="16">
        <f t="shared" si="26"/>
        <v>195</v>
      </c>
      <c r="EF14" s="90"/>
      <c r="EG14" s="90">
        <v>20</v>
      </c>
      <c r="EH14" s="90"/>
      <c r="EI14" s="116"/>
      <c r="EJ14" s="16">
        <f t="shared" si="27"/>
        <v>0</v>
      </c>
      <c r="EK14" s="90"/>
      <c r="EL14" s="90"/>
      <c r="EM14" s="90"/>
      <c r="EN14" s="116"/>
      <c r="EO14" s="16">
        <f t="shared" si="28"/>
        <v>0</v>
      </c>
      <c r="EP14" s="90"/>
      <c r="EQ14" s="90"/>
      <c r="ER14" s="90"/>
      <c r="ES14" s="116"/>
      <c r="ET14" s="16">
        <f t="shared" si="29"/>
        <v>0</v>
      </c>
      <c r="EU14" s="90"/>
      <c r="EV14" s="90"/>
      <c r="EW14" s="90"/>
      <c r="EX14" s="116"/>
      <c r="EY14" s="16">
        <f t="shared" si="30"/>
        <v>0</v>
      </c>
      <c r="EZ14" s="90"/>
      <c r="FA14" s="90"/>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248</v>
      </c>
      <c r="B15" s="90"/>
      <c r="C15" s="116"/>
      <c r="D15" s="116"/>
      <c r="E15" s="16">
        <f t="shared" si="1"/>
        <v>248</v>
      </c>
      <c r="F15" s="90">
        <v>590</v>
      </c>
      <c r="G15" s="90"/>
      <c r="H15" s="90"/>
      <c r="I15" s="116"/>
      <c r="J15" s="16">
        <f t="shared" si="2"/>
        <v>590</v>
      </c>
      <c r="K15" s="90">
        <v>345</v>
      </c>
      <c r="L15" s="90"/>
      <c r="M15" s="90"/>
      <c r="N15" s="116"/>
      <c r="O15" s="16">
        <f t="shared" si="3"/>
        <v>345</v>
      </c>
      <c r="P15" s="90"/>
      <c r="Q15" s="90"/>
      <c r="R15" s="90">
        <v>91</v>
      </c>
      <c r="S15" s="116"/>
      <c r="T15" s="16">
        <f t="shared" si="4"/>
        <v>91</v>
      </c>
      <c r="U15" s="90">
        <v>835</v>
      </c>
      <c r="V15" s="90"/>
      <c r="W15" s="90"/>
      <c r="X15" s="116"/>
      <c r="Y15" s="16">
        <f t="shared" si="5"/>
        <v>835</v>
      </c>
      <c r="Z15" s="90"/>
      <c r="AA15" s="90"/>
      <c r="AB15" s="90"/>
      <c r="AC15" s="116"/>
      <c r="AD15" s="16">
        <f t="shared" si="6"/>
        <v>0</v>
      </c>
      <c r="AE15" s="90"/>
      <c r="AF15" s="90"/>
      <c r="AG15" s="90"/>
      <c r="AH15" s="116">
        <v>50</v>
      </c>
      <c r="AI15" s="16">
        <f t="shared" si="7"/>
        <v>0</v>
      </c>
      <c r="AJ15" s="90"/>
      <c r="AK15" s="90"/>
      <c r="AL15" s="90"/>
      <c r="AM15" s="116"/>
      <c r="AN15" s="16">
        <f t="shared" si="8"/>
        <v>0</v>
      </c>
      <c r="AO15" s="90"/>
      <c r="AP15" s="90"/>
      <c r="AQ15" s="90"/>
      <c r="AR15" s="116"/>
      <c r="AS15" s="16">
        <f t="shared" si="9"/>
        <v>0</v>
      </c>
      <c r="AT15" s="90">
        <v>143</v>
      </c>
      <c r="AU15" s="90"/>
      <c r="AV15" s="90"/>
      <c r="AW15" s="116"/>
      <c r="AX15" s="16">
        <f t="shared" si="10"/>
        <v>143</v>
      </c>
      <c r="AY15" s="90"/>
      <c r="AZ15" s="90"/>
      <c r="BA15" s="90"/>
      <c r="BB15" s="116"/>
      <c r="BC15" s="16">
        <f t="shared" si="49"/>
        <v>0</v>
      </c>
      <c r="BD15" s="90"/>
      <c r="BE15" s="90"/>
      <c r="BF15" s="90"/>
      <c r="BG15" s="116"/>
      <c r="BH15" s="16">
        <f t="shared" si="11"/>
        <v>0</v>
      </c>
      <c r="BI15" s="90"/>
      <c r="BJ15" s="90"/>
      <c r="BK15" s="90"/>
      <c r="BL15" s="116"/>
      <c r="BM15" s="16">
        <f t="shared" si="12"/>
        <v>0</v>
      </c>
      <c r="BN15" s="90"/>
      <c r="BO15" s="90">
        <v>20</v>
      </c>
      <c r="BP15" s="90"/>
      <c r="BQ15" s="116"/>
      <c r="BR15" s="16">
        <f t="shared" si="13"/>
        <v>0</v>
      </c>
      <c r="BS15" s="90"/>
      <c r="BT15" s="90"/>
      <c r="BU15" s="90"/>
      <c r="BV15" s="116"/>
      <c r="BW15" s="16">
        <f t="shared" si="14"/>
        <v>0</v>
      </c>
      <c r="BX15" s="90"/>
      <c r="BY15" s="90">
        <v>20</v>
      </c>
      <c r="BZ15" s="90"/>
      <c r="CA15" s="116"/>
      <c r="CB15" s="16">
        <f t="shared" si="15"/>
        <v>0</v>
      </c>
      <c r="CC15" s="90"/>
      <c r="CD15" s="90">
        <v>50</v>
      </c>
      <c r="CE15" s="90"/>
      <c r="CF15" s="116"/>
      <c r="CG15" s="16">
        <f t="shared" si="16"/>
        <v>0</v>
      </c>
      <c r="CH15" s="90"/>
      <c r="CI15" s="90">
        <v>50</v>
      </c>
      <c r="CJ15" s="90"/>
      <c r="CK15" s="116"/>
      <c r="CL15" s="16">
        <f t="shared" si="17"/>
        <v>0</v>
      </c>
      <c r="CM15" s="90">
        <v>458</v>
      </c>
      <c r="CN15" s="90"/>
      <c r="CO15" s="90"/>
      <c r="CP15" s="116"/>
      <c r="CQ15" s="16">
        <f t="shared" si="18"/>
        <v>458</v>
      </c>
      <c r="CR15" s="90"/>
      <c r="CS15" s="90">
        <v>50</v>
      </c>
      <c r="CT15" s="90"/>
      <c r="CU15" s="116"/>
      <c r="CV15" s="16">
        <f t="shared" si="19"/>
        <v>0</v>
      </c>
      <c r="CW15" s="90"/>
      <c r="CX15" s="90"/>
      <c r="CY15" s="90"/>
      <c r="CZ15" s="116"/>
      <c r="DA15" s="16">
        <f t="shared" si="20"/>
        <v>0</v>
      </c>
      <c r="DB15" s="90">
        <v>70</v>
      </c>
      <c r="DC15" s="90"/>
      <c r="DD15" s="90"/>
      <c r="DE15" s="116"/>
      <c r="DF15" s="16">
        <f t="shared" si="21"/>
        <v>70</v>
      </c>
      <c r="DG15" s="90">
        <v>34</v>
      </c>
      <c r="DH15" s="90"/>
      <c r="DI15" s="90"/>
      <c r="DJ15" s="116"/>
      <c r="DK15" s="16">
        <f t="shared" si="22"/>
        <v>34</v>
      </c>
      <c r="DL15" s="90"/>
      <c r="DM15" s="90"/>
      <c r="DN15" s="90"/>
      <c r="DO15" s="116"/>
      <c r="DP15" s="16">
        <f t="shared" si="23"/>
        <v>0</v>
      </c>
      <c r="DQ15" s="90"/>
      <c r="DR15" s="90"/>
      <c r="DS15" s="90"/>
      <c r="DT15" s="90">
        <v>50</v>
      </c>
      <c r="DU15" s="16">
        <f t="shared" si="24"/>
        <v>0</v>
      </c>
      <c r="DV15" s="90"/>
      <c r="DW15" s="90"/>
      <c r="DX15" s="90">
        <v>114</v>
      </c>
      <c r="DY15" s="116"/>
      <c r="DZ15" s="16">
        <f t="shared" si="25"/>
        <v>114</v>
      </c>
      <c r="EA15" s="90"/>
      <c r="EB15" s="90"/>
      <c r="EC15" s="90">
        <v>301</v>
      </c>
      <c r="ED15" s="116"/>
      <c r="EE15" s="16">
        <f t="shared" si="26"/>
        <v>301</v>
      </c>
      <c r="EF15" s="90">
        <v>648</v>
      </c>
      <c r="EG15" s="90"/>
      <c r="EH15" s="90"/>
      <c r="EI15" s="116"/>
      <c r="EJ15" s="16">
        <f t="shared" si="27"/>
        <v>648</v>
      </c>
      <c r="EK15" s="90"/>
      <c r="EL15" s="90"/>
      <c r="EM15" s="90"/>
      <c r="EN15" s="116"/>
      <c r="EO15" s="16">
        <f t="shared" si="28"/>
        <v>0</v>
      </c>
      <c r="EP15" s="90"/>
      <c r="EQ15" s="90"/>
      <c r="ER15" s="90"/>
      <c r="ES15" s="116"/>
      <c r="ET15" s="16">
        <f t="shared" si="29"/>
        <v>0</v>
      </c>
      <c r="EU15" s="90"/>
      <c r="EV15" s="90"/>
      <c r="EW15" s="90"/>
      <c r="EX15" s="116"/>
      <c r="EY15" s="16">
        <f t="shared" si="30"/>
        <v>0</v>
      </c>
      <c r="EZ15" s="90"/>
      <c r="FA15" s="90"/>
      <c r="FB15" s="90"/>
      <c r="FC15" s="116"/>
      <c r="FD15" s="16">
        <f t="shared" si="31"/>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v>2</v>
      </c>
      <c r="B16" s="90"/>
      <c r="C16" s="116"/>
      <c r="D16" s="116"/>
      <c r="E16" s="16">
        <f t="shared" si="1"/>
        <v>2</v>
      </c>
      <c r="F16" s="90"/>
      <c r="G16" s="90">
        <v>50</v>
      </c>
      <c r="H16" s="90"/>
      <c r="I16" s="116"/>
      <c r="J16" s="16">
        <f t="shared" si="2"/>
        <v>0</v>
      </c>
      <c r="K16" s="90"/>
      <c r="L16" s="90" t="s">
        <v>827</v>
      </c>
      <c r="M16" s="90"/>
      <c r="N16" s="116"/>
      <c r="O16" s="16">
        <f t="shared" si="3"/>
        <v>0</v>
      </c>
      <c r="P16" s="90"/>
      <c r="Q16" s="90"/>
      <c r="R16" s="90"/>
      <c r="S16" s="116">
        <v>50</v>
      </c>
      <c r="T16" s="16">
        <f t="shared" si="4"/>
        <v>0</v>
      </c>
      <c r="U16" s="90"/>
      <c r="V16" s="90"/>
      <c r="W16" s="90"/>
      <c r="X16" s="116"/>
      <c r="Y16" s="16">
        <f t="shared" si="5"/>
        <v>0</v>
      </c>
      <c r="Z16" s="90"/>
      <c r="AA16" s="90"/>
      <c r="AB16" s="90"/>
      <c r="AC16" s="116"/>
      <c r="AD16" s="16">
        <f t="shared" si="6"/>
        <v>0</v>
      </c>
      <c r="AE16" s="90"/>
      <c r="AF16" s="90"/>
      <c r="AG16" s="90">
        <v>220</v>
      </c>
      <c r="AH16" s="116"/>
      <c r="AI16" s="16">
        <f t="shared" si="7"/>
        <v>220</v>
      </c>
      <c r="AJ16" s="90"/>
      <c r="AK16" s="90"/>
      <c r="AL16" s="90"/>
      <c r="AM16" s="116"/>
      <c r="AN16" s="16">
        <f t="shared" si="8"/>
        <v>0</v>
      </c>
      <c r="AO16" s="90"/>
      <c r="AP16" s="90"/>
      <c r="AQ16" s="90"/>
      <c r="AR16" s="116"/>
      <c r="AS16" s="16">
        <f t="shared" si="9"/>
        <v>0</v>
      </c>
      <c r="AT16" s="90">
        <v>165</v>
      </c>
      <c r="AU16" s="90"/>
      <c r="AV16" s="90"/>
      <c r="AW16" s="116"/>
      <c r="AX16" s="16">
        <f t="shared" si="10"/>
        <v>165</v>
      </c>
      <c r="AY16" s="90"/>
      <c r="AZ16" s="90"/>
      <c r="BA16" s="90"/>
      <c r="BB16" s="116"/>
      <c r="BC16" s="16">
        <f t="shared" si="49"/>
        <v>0</v>
      </c>
      <c r="BD16" s="90"/>
      <c r="BE16" s="90"/>
      <c r="BF16" s="90"/>
      <c r="BG16" s="116"/>
      <c r="BH16" s="16">
        <f t="shared" si="11"/>
        <v>0</v>
      </c>
      <c r="BI16" s="90"/>
      <c r="BJ16" s="90"/>
      <c r="BK16" s="90"/>
      <c r="BL16" s="116"/>
      <c r="BM16" s="16">
        <f t="shared" si="12"/>
        <v>0</v>
      </c>
      <c r="BN16" s="90">
        <v>117</v>
      </c>
      <c r="BO16" s="90"/>
      <c r="BP16" s="90"/>
      <c r="BQ16" s="116"/>
      <c r="BR16" s="16">
        <f t="shared" si="13"/>
        <v>117</v>
      </c>
      <c r="BS16" s="90"/>
      <c r="BT16" s="90"/>
      <c r="BU16" s="90"/>
      <c r="BV16" s="116"/>
      <c r="BW16" s="16">
        <f t="shared" si="14"/>
        <v>0</v>
      </c>
      <c r="BX16" s="90">
        <v>396</v>
      </c>
      <c r="BY16" s="90"/>
      <c r="BZ16" s="90"/>
      <c r="CA16" s="116"/>
      <c r="CB16" s="16">
        <f t="shared" si="15"/>
        <v>396</v>
      </c>
      <c r="CC16" s="90"/>
      <c r="CD16" s="90"/>
      <c r="CE16" s="90"/>
      <c r="CF16" s="116"/>
      <c r="CG16" s="16">
        <f t="shared" si="16"/>
        <v>0</v>
      </c>
      <c r="CH16" s="90"/>
      <c r="CI16" s="90"/>
      <c r="CJ16" s="90"/>
      <c r="CK16" s="116"/>
      <c r="CL16" s="16">
        <f t="shared" si="17"/>
        <v>0</v>
      </c>
      <c r="CM16" s="90"/>
      <c r="CN16" s="90">
        <v>50</v>
      </c>
      <c r="CO16" s="90"/>
      <c r="CP16" s="116"/>
      <c r="CQ16" s="16">
        <f t="shared" si="18"/>
        <v>0</v>
      </c>
      <c r="CR16" s="90"/>
      <c r="CS16" s="90"/>
      <c r="CT16" s="90"/>
      <c r="CU16" s="116"/>
      <c r="CV16" s="16">
        <f t="shared" si="19"/>
        <v>0</v>
      </c>
      <c r="CW16" s="90"/>
      <c r="CX16" s="90"/>
      <c r="CY16" s="90"/>
      <c r="CZ16" s="116"/>
      <c r="DA16" s="16">
        <f t="shared" si="20"/>
        <v>0</v>
      </c>
      <c r="DB16" s="90"/>
      <c r="DC16" s="90"/>
      <c r="DD16" s="90"/>
      <c r="DE16" s="116"/>
      <c r="DF16" s="16">
        <f t="shared" si="21"/>
        <v>0</v>
      </c>
      <c r="DG16" s="90">
        <v>270</v>
      </c>
      <c r="DH16" s="90"/>
      <c r="DI16" s="90"/>
      <c r="DJ16" s="116"/>
      <c r="DK16" s="16">
        <f t="shared" si="22"/>
        <v>270</v>
      </c>
      <c r="DL16" s="90"/>
      <c r="DM16" s="90"/>
      <c r="DN16" s="90"/>
      <c r="DO16" s="116"/>
      <c r="DP16" s="16">
        <f t="shared" si="23"/>
        <v>0</v>
      </c>
      <c r="DQ16" s="90"/>
      <c r="DR16" s="90"/>
      <c r="DS16" s="90">
        <v>301</v>
      </c>
      <c r="DT16" s="90"/>
      <c r="DU16" s="16">
        <f t="shared" si="24"/>
        <v>301</v>
      </c>
      <c r="DV16" s="90"/>
      <c r="DW16" s="90"/>
      <c r="DX16" s="90"/>
      <c r="DY16" s="116">
        <v>50</v>
      </c>
      <c r="DZ16" s="16">
        <f t="shared" si="25"/>
        <v>0</v>
      </c>
      <c r="EA16" s="90"/>
      <c r="EB16" s="90"/>
      <c r="EC16" s="90">
        <v>251</v>
      </c>
      <c r="ED16" s="116"/>
      <c r="EE16" s="16">
        <f t="shared" si="26"/>
        <v>251</v>
      </c>
      <c r="EF16" s="90"/>
      <c r="EG16" s="90">
        <v>20</v>
      </c>
      <c r="EH16" s="90"/>
      <c r="EI16" s="116"/>
      <c r="EJ16" s="16">
        <f t="shared" si="27"/>
        <v>0</v>
      </c>
      <c r="EK16" s="90"/>
      <c r="EL16" s="90"/>
      <c r="EM16" s="90"/>
      <c r="EN16" s="116"/>
      <c r="EO16" s="16">
        <f t="shared" si="28"/>
        <v>0</v>
      </c>
      <c r="EP16" s="90"/>
      <c r="EQ16" s="90"/>
      <c r="ER16" s="90"/>
      <c r="ES16" s="116"/>
      <c r="ET16" s="16">
        <f t="shared" si="29"/>
        <v>0</v>
      </c>
      <c r="EU16" s="90"/>
      <c r="EV16" s="90"/>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v>50</v>
      </c>
      <c r="C17" s="116"/>
      <c r="D17" s="116"/>
      <c r="E17" s="16">
        <f t="shared" si="1"/>
        <v>0</v>
      </c>
      <c r="F17" s="90"/>
      <c r="G17" s="90"/>
      <c r="H17" s="90"/>
      <c r="I17" s="116"/>
      <c r="J17" s="16">
        <f t="shared" si="2"/>
        <v>0</v>
      </c>
      <c r="K17" s="90"/>
      <c r="L17" s="90"/>
      <c r="M17" s="90"/>
      <c r="N17" s="116"/>
      <c r="O17" s="16">
        <f t="shared" si="3"/>
        <v>0</v>
      </c>
      <c r="P17" s="90"/>
      <c r="Q17" s="90"/>
      <c r="R17" s="90">
        <v>258</v>
      </c>
      <c r="S17" s="116"/>
      <c r="T17" s="16">
        <f t="shared" si="4"/>
        <v>258</v>
      </c>
      <c r="U17" s="90"/>
      <c r="V17" s="90"/>
      <c r="W17" s="90"/>
      <c r="X17" s="116"/>
      <c r="Y17" s="16">
        <f t="shared" si="5"/>
        <v>0</v>
      </c>
      <c r="Z17" s="90"/>
      <c r="AA17" s="90"/>
      <c r="AB17" s="90"/>
      <c r="AC17" s="116"/>
      <c r="AD17" s="16">
        <f t="shared" si="6"/>
        <v>0</v>
      </c>
      <c r="AE17" s="90"/>
      <c r="AF17" s="90"/>
      <c r="AG17" s="90">
        <v>81</v>
      </c>
      <c r="AH17" s="116"/>
      <c r="AI17" s="16">
        <f t="shared" si="7"/>
        <v>81</v>
      </c>
      <c r="AJ17" s="90"/>
      <c r="AK17" s="90"/>
      <c r="AL17" s="90"/>
      <c r="AM17" s="116"/>
      <c r="AN17" s="16">
        <f t="shared" si="8"/>
        <v>0</v>
      </c>
      <c r="AO17" s="90"/>
      <c r="AP17" s="90"/>
      <c r="AQ17" s="90"/>
      <c r="AR17" s="116"/>
      <c r="AS17" s="16">
        <f t="shared" si="9"/>
        <v>0</v>
      </c>
      <c r="AT17" s="90">
        <v>173</v>
      </c>
      <c r="AU17" s="90"/>
      <c r="AV17" s="90"/>
      <c r="AW17" s="116"/>
      <c r="AX17" s="16">
        <f t="shared" si="10"/>
        <v>173</v>
      </c>
      <c r="AY17" s="90"/>
      <c r="AZ17" s="90"/>
      <c r="BA17" s="90"/>
      <c r="BB17" s="116"/>
      <c r="BC17" s="16">
        <f t="shared" si="49"/>
        <v>0</v>
      </c>
      <c r="BD17" s="90"/>
      <c r="BE17" s="90"/>
      <c r="BF17" s="90"/>
      <c r="BG17" s="116"/>
      <c r="BH17" s="16">
        <f t="shared" si="11"/>
        <v>0</v>
      </c>
      <c r="BI17" s="90"/>
      <c r="BJ17" s="90"/>
      <c r="BK17" s="90"/>
      <c r="BL17" s="116"/>
      <c r="BM17" s="16">
        <f t="shared" si="12"/>
        <v>0</v>
      </c>
      <c r="BN17" s="90">
        <v>145</v>
      </c>
      <c r="BO17" s="90"/>
      <c r="BP17" s="90"/>
      <c r="BQ17" s="116"/>
      <c r="BR17" s="16">
        <f t="shared" si="13"/>
        <v>145</v>
      </c>
      <c r="BS17" s="90"/>
      <c r="BT17" s="90"/>
      <c r="BU17" s="90"/>
      <c r="BV17" s="116"/>
      <c r="BW17" s="16">
        <f t="shared" si="14"/>
        <v>0</v>
      </c>
      <c r="BX17" s="90"/>
      <c r="BY17" s="90">
        <v>50</v>
      </c>
      <c r="BZ17" s="90"/>
      <c r="CA17" s="116"/>
      <c r="CB17" s="16">
        <f t="shared" si="15"/>
        <v>0</v>
      </c>
      <c r="CC17" s="90"/>
      <c r="CD17" s="90"/>
      <c r="CE17" s="90"/>
      <c r="CF17" s="116"/>
      <c r="CG17" s="16">
        <f t="shared" si="16"/>
        <v>0</v>
      </c>
      <c r="CH17" s="90"/>
      <c r="CI17" s="90"/>
      <c r="CJ17" s="90"/>
      <c r="CK17" s="116"/>
      <c r="CL17" s="16">
        <f t="shared" si="17"/>
        <v>0</v>
      </c>
      <c r="CM17" s="90"/>
      <c r="CN17" s="90"/>
      <c r="CO17" s="90"/>
      <c r="CP17" s="116"/>
      <c r="CQ17" s="16">
        <f t="shared" si="18"/>
        <v>0</v>
      </c>
      <c r="CR17" s="90"/>
      <c r="CS17" s="90"/>
      <c r="CT17" s="90"/>
      <c r="CU17" s="116"/>
      <c r="CV17" s="16">
        <f t="shared" si="19"/>
        <v>0</v>
      </c>
      <c r="CW17" s="90"/>
      <c r="CX17" s="90"/>
      <c r="CY17" s="90"/>
      <c r="CZ17" s="116"/>
      <c r="DA17" s="16">
        <f t="shared" si="20"/>
        <v>0</v>
      </c>
      <c r="DB17" s="90"/>
      <c r="DC17" s="90"/>
      <c r="DD17" s="90"/>
      <c r="DE17" s="116"/>
      <c r="DF17" s="16">
        <f t="shared" si="21"/>
        <v>0</v>
      </c>
      <c r="DG17" s="90"/>
      <c r="DH17" s="90">
        <v>23</v>
      </c>
      <c r="DI17" s="90"/>
      <c r="DJ17" s="116"/>
      <c r="DK17" s="16">
        <f t="shared" si="22"/>
        <v>0</v>
      </c>
      <c r="DL17" s="90"/>
      <c r="DM17" s="90"/>
      <c r="DN17" s="90"/>
      <c r="DO17" s="116"/>
      <c r="DP17" s="16">
        <f t="shared" si="23"/>
        <v>0</v>
      </c>
      <c r="DQ17" s="90"/>
      <c r="DR17" s="90"/>
      <c r="DS17" s="90">
        <v>276</v>
      </c>
      <c r="DT17" s="90"/>
      <c r="DU17" s="16">
        <f t="shared" si="24"/>
        <v>276</v>
      </c>
      <c r="DV17" s="90"/>
      <c r="DW17" s="90"/>
      <c r="DX17" s="90">
        <v>191</v>
      </c>
      <c r="DY17" s="116"/>
      <c r="DZ17" s="16">
        <f t="shared" si="25"/>
        <v>191</v>
      </c>
      <c r="EA17" s="90"/>
      <c r="EB17" s="90"/>
      <c r="EC17" s="90"/>
      <c r="ED17" s="116"/>
      <c r="EE17" s="16">
        <f t="shared" si="26"/>
        <v>0</v>
      </c>
      <c r="EF17" s="90">
        <v>519</v>
      </c>
      <c r="EG17" s="90"/>
      <c r="EH17" s="90"/>
      <c r="EI17" s="116"/>
      <c r="EJ17" s="16">
        <f t="shared" si="27"/>
        <v>519</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v>272</v>
      </c>
      <c r="S18" s="116"/>
      <c r="T18" s="16">
        <f t="shared" si="4"/>
        <v>272</v>
      </c>
      <c r="U18" s="90"/>
      <c r="V18" s="90"/>
      <c r="W18" s="90"/>
      <c r="X18" s="116"/>
      <c r="Y18" s="16">
        <f t="shared" si="5"/>
        <v>0</v>
      </c>
      <c r="Z18" s="90"/>
      <c r="AA18" s="90"/>
      <c r="AB18" s="90"/>
      <c r="AC18" s="116"/>
      <c r="AD18" s="16">
        <f t="shared" si="6"/>
        <v>0</v>
      </c>
      <c r="AE18" s="90"/>
      <c r="AF18" s="90"/>
      <c r="AG18" s="90">
        <v>239</v>
      </c>
      <c r="AH18" s="116"/>
      <c r="AI18" s="16">
        <f t="shared" si="7"/>
        <v>239</v>
      </c>
      <c r="AJ18" s="90"/>
      <c r="AK18" s="90"/>
      <c r="AL18" s="90"/>
      <c r="AM18" s="116"/>
      <c r="AN18" s="16">
        <f t="shared" si="8"/>
        <v>0</v>
      </c>
      <c r="AO18" s="90"/>
      <c r="AP18" s="90"/>
      <c r="AQ18" s="90"/>
      <c r="AR18" s="116"/>
      <c r="AS18" s="16">
        <f t="shared" si="9"/>
        <v>0</v>
      </c>
      <c r="AT18" s="90">
        <v>141</v>
      </c>
      <c r="AU18" s="90"/>
      <c r="AV18" s="90"/>
      <c r="AW18" s="116"/>
      <c r="AX18" s="16">
        <f t="shared" si="10"/>
        <v>141</v>
      </c>
      <c r="AY18" s="90"/>
      <c r="AZ18" s="90"/>
      <c r="BA18" s="90"/>
      <c r="BB18" s="116"/>
      <c r="BC18" s="16">
        <f t="shared" si="49"/>
        <v>0</v>
      </c>
      <c r="BD18" s="90"/>
      <c r="BE18" s="90"/>
      <c r="BF18" s="90"/>
      <c r="BG18" s="116"/>
      <c r="BH18" s="16">
        <f t="shared" si="11"/>
        <v>0</v>
      </c>
      <c r="BI18" s="90"/>
      <c r="BJ18" s="90"/>
      <c r="BK18" s="90"/>
      <c r="BL18" s="116"/>
      <c r="BM18" s="16">
        <f t="shared" si="12"/>
        <v>0</v>
      </c>
      <c r="BN18" s="90">
        <v>148</v>
      </c>
      <c r="BO18" s="90"/>
      <c r="BP18" s="90"/>
      <c r="BQ18" s="116"/>
      <c r="BR18" s="16">
        <f t="shared" si="13"/>
        <v>148</v>
      </c>
      <c r="BS18" s="90"/>
      <c r="BT18" s="90"/>
      <c r="BU18" s="90"/>
      <c r="BV18" s="116"/>
      <c r="BW18" s="16">
        <f t="shared" si="14"/>
        <v>0</v>
      </c>
      <c r="BX18" s="90"/>
      <c r="BY18" s="90"/>
      <c r="BZ18" s="90"/>
      <c r="CA18" s="116"/>
      <c r="CB18" s="16">
        <f t="shared" si="15"/>
        <v>0</v>
      </c>
      <c r="CC18" s="90"/>
      <c r="CD18" s="90"/>
      <c r="CE18" s="90"/>
      <c r="CF18" s="116"/>
      <c r="CG18" s="16">
        <f t="shared" si="16"/>
        <v>0</v>
      </c>
      <c r="CH18" s="90"/>
      <c r="CI18" s="90"/>
      <c r="CJ18" s="90"/>
      <c r="CK18" s="116"/>
      <c r="CL18" s="16">
        <f t="shared" si="17"/>
        <v>0</v>
      </c>
      <c r="CM18" s="90"/>
      <c r="CN18" s="90"/>
      <c r="CO18" s="90"/>
      <c r="CP18" s="116"/>
      <c r="CQ18" s="16">
        <f t="shared" si="18"/>
        <v>0</v>
      </c>
      <c r="CR18" s="90"/>
      <c r="CS18" s="90"/>
      <c r="CT18" s="90"/>
      <c r="CU18" s="116"/>
      <c r="CV18" s="16">
        <f t="shared" si="19"/>
        <v>0</v>
      </c>
      <c r="CW18" s="90"/>
      <c r="CX18" s="90"/>
      <c r="CY18" s="90"/>
      <c r="CZ18" s="116"/>
      <c r="DA18" s="16">
        <f t="shared" si="20"/>
        <v>0</v>
      </c>
      <c r="DB18" s="90"/>
      <c r="DC18" s="90"/>
      <c r="DD18" s="90"/>
      <c r="DE18" s="116"/>
      <c r="DF18" s="16">
        <f t="shared" si="21"/>
        <v>0</v>
      </c>
      <c r="DG18" s="90"/>
      <c r="DH18" s="90"/>
      <c r="DI18" s="90"/>
      <c r="DJ18" s="116">
        <v>50</v>
      </c>
      <c r="DK18" s="16">
        <f t="shared" si="22"/>
        <v>0</v>
      </c>
      <c r="DL18" s="90"/>
      <c r="DM18" s="90"/>
      <c r="DN18" s="90"/>
      <c r="DO18" s="116"/>
      <c r="DP18" s="16">
        <f t="shared" si="23"/>
        <v>0</v>
      </c>
      <c r="DQ18" s="90"/>
      <c r="DR18" s="90"/>
      <c r="DS18" s="90">
        <v>281</v>
      </c>
      <c r="DT18" s="90"/>
      <c r="DU18" s="16">
        <f t="shared" si="24"/>
        <v>281</v>
      </c>
      <c r="DV18" s="90"/>
      <c r="DW18" s="90"/>
      <c r="DX18" s="90">
        <v>296</v>
      </c>
      <c r="DY18" s="116"/>
      <c r="DZ18" s="16">
        <f t="shared" si="25"/>
        <v>296</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120</v>
      </c>
      <c r="S19" s="116"/>
      <c r="T19" s="16">
        <f t="shared" si="4"/>
        <v>120</v>
      </c>
      <c r="U19" s="90"/>
      <c r="V19" s="90"/>
      <c r="W19" s="90"/>
      <c r="X19" s="116"/>
      <c r="Y19" s="16">
        <f t="shared" si="5"/>
        <v>0</v>
      </c>
      <c r="Z19" s="90"/>
      <c r="AA19" s="90"/>
      <c r="AB19" s="90"/>
      <c r="AC19" s="116"/>
      <c r="AD19" s="16">
        <f t="shared" si="6"/>
        <v>0</v>
      </c>
      <c r="AE19" s="90"/>
      <c r="AF19" s="90"/>
      <c r="AG19" s="90">
        <v>172</v>
      </c>
      <c r="AH19" s="116"/>
      <c r="AI19" s="16">
        <f t="shared" si="7"/>
        <v>172</v>
      </c>
      <c r="AJ19" s="90"/>
      <c r="AK19" s="90"/>
      <c r="AL19" s="90"/>
      <c r="AM19" s="116"/>
      <c r="AN19" s="16">
        <f t="shared" si="8"/>
        <v>0</v>
      </c>
      <c r="AO19" s="90"/>
      <c r="AP19" s="90"/>
      <c r="AQ19" s="90"/>
      <c r="AR19" s="116"/>
      <c r="AS19" s="16">
        <f t="shared" si="9"/>
        <v>0</v>
      </c>
      <c r="AT19" s="90"/>
      <c r="AU19" s="90">
        <v>20</v>
      </c>
      <c r="AV19" s="90"/>
      <c r="AW19" s="116"/>
      <c r="AX19" s="16">
        <f t="shared" si="10"/>
        <v>0</v>
      </c>
      <c r="AY19" s="90"/>
      <c r="AZ19" s="90"/>
      <c r="BA19" s="90"/>
      <c r="BB19" s="116"/>
      <c r="BC19" s="16">
        <f t="shared" si="49"/>
        <v>0</v>
      </c>
      <c r="BD19" s="90"/>
      <c r="BE19" s="90"/>
      <c r="BF19" s="90"/>
      <c r="BG19" s="116"/>
      <c r="BH19" s="16">
        <f t="shared" si="11"/>
        <v>0</v>
      </c>
      <c r="BI19" s="90"/>
      <c r="BJ19" s="90"/>
      <c r="BK19" s="90"/>
      <c r="BL19" s="116"/>
      <c r="BM19" s="16">
        <f t="shared" si="12"/>
        <v>0</v>
      </c>
      <c r="BN19" s="90">
        <v>63</v>
      </c>
      <c r="BO19" s="90"/>
      <c r="BP19" s="90"/>
      <c r="BQ19" s="116"/>
      <c r="BR19" s="16">
        <f t="shared" si="13"/>
        <v>63</v>
      </c>
      <c r="BS19" s="90"/>
      <c r="BT19" s="90"/>
      <c r="BU19" s="90"/>
      <c r="BV19" s="116"/>
      <c r="BW19" s="16">
        <f t="shared" si="14"/>
        <v>0</v>
      </c>
      <c r="BX19" s="90"/>
      <c r="BY19" s="90"/>
      <c r="BZ19" s="90"/>
      <c r="CA19" s="116"/>
      <c r="CB19" s="16">
        <f t="shared" si="15"/>
        <v>0</v>
      </c>
      <c r="CC19" s="90"/>
      <c r="CD19" s="90"/>
      <c r="CE19" s="90"/>
      <c r="CF19" s="116"/>
      <c r="CG19" s="16">
        <f t="shared" si="16"/>
        <v>0</v>
      </c>
      <c r="CH19" s="90"/>
      <c r="CI19" s="90"/>
      <c r="CJ19" s="90"/>
      <c r="CK19" s="116"/>
      <c r="CL19" s="16">
        <f t="shared" si="17"/>
        <v>0</v>
      </c>
      <c r="CM19" s="90"/>
      <c r="CN19" s="90"/>
      <c r="CO19" s="90"/>
      <c r="CP19" s="116"/>
      <c r="CQ19" s="16">
        <f t="shared" si="18"/>
        <v>0</v>
      </c>
      <c r="CR19" s="90"/>
      <c r="CS19" s="90"/>
      <c r="CT19" s="90"/>
      <c r="CU19" s="116"/>
      <c r="CV19" s="16">
        <f t="shared" si="19"/>
        <v>0</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c r="DT19" s="90">
        <v>50</v>
      </c>
      <c r="DU19" s="16">
        <f t="shared" si="24"/>
        <v>0</v>
      </c>
      <c r="DV19" s="90"/>
      <c r="DW19" s="90"/>
      <c r="DX19" s="90">
        <v>313</v>
      </c>
      <c r="DY19" s="116"/>
      <c r="DZ19" s="16">
        <f t="shared" si="25"/>
        <v>313</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102</v>
      </c>
      <c r="S20" s="116"/>
      <c r="T20" s="16">
        <f t="shared" si="4"/>
        <v>102</v>
      </c>
      <c r="U20" s="90"/>
      <c r="V20" s="90"/>
      <c r="W20" s="90"/>
      <c r="X20" s="116"/>
      <c r="Y20" s="16">
        <f t="shared" si="5"/>
        <v>0</v>
      </c>
      <c r="Z20" s="90"/>
      <c r="AA20" s="90"/>
      <c r="AB20" s="90"/>
      <c r="AC20" s="116"/>
      <c r="AD20" s="16">
        <f t="shared" si="6"/>
        <v>0</v>
      </c>
      <c r="AE20" s="90"/>
      <c r="AF20" s="90"/>
      <c r="AG20" s="90"/>
      <c r="AH20" s="116">
        <v>50</v>
      </c>
      <c r="AI20" s="16">
        <f t="shared" si="7"/>
        <v>0</v>
      </c>
      <c r="AJ20" s="90"/>
      <c r="AK20" s="90"/>
      <c r="AL20" s="90"/>
      <c r="AM20" s="116"/>
      <c r="AN20" s="16">
        <f t="shared" si="8"/>
        <v>0</v>
      </c>
      <c r="AO20" s="90"/>
      <c r="AP20" s="90"/>
      <c r="AQ20" s="90"/>
      <c r="AR20" s="116"/>
      <c r="AS20" s="16">
        <f t="shared" si="9"/>
        <v>0</v>
      </c>
      <c r="AT20" s="90">
        <v>149</v>
      </c>
      <c r="AU20" s="90"/>
      <c r="AV20" s="90"/>
      <c r="AW20" s="116"/>
      <c r="AX20" s="16">
        <f t="shared" si="10"/>
        <v>149</v>
      </c>
      <c r="AY20" s="90"/>
      <c r="AZ20" s="90"/>
      <c r="BA20" s="90"/>
      <c r="BB20" s="116"/>
      <c r="BC20" s="16">
        <f t="shared" si="49"/>
        <v>0</v>
      </c>
      <c r="BD20" s="90"/>
      <c r="BE20" s="90"/>
      <c r="BF20" s="90"/>
      <c r="BG20" s="116"/>
      <c r="BH20" s="16">
        <f t="shared" si="11"/>
        <v>0</v>
      </c>
      <c r="BI20" s="90"/>
      <c r="BJ20" s="90"/>
      <c r="BK20" s="90"/>
      <c r="BL20" s="116"/>
      <c r="BM20" s="16">
        <f t="shared" si="12"/>
        <v>0</v>
      </c>
      <c r="BN20" s="90"/>
      <c r="BO20" s="90"/>
      <c r="BP20" s="90"/>
      <c r="BQ20" s="116"/>
      <c r="BR20" s="16">
        <f t="shared" si="13"/>
        <v>0</v>
      </c>
      <c r="BS20" s="90"/>
      <c r="BT20" s="90"/>
      <c r="BU20" s="90"/>
      <c r="BV20" s="116"/>
      <c r="BW20" s="16">
        <f t="shared" si="14"/>
        <v>0</v>
      </c>
      <c r="BX20" s="90"/>
      <c r="BY20" s="90"/>
      <c r="BZ20" s="90"/>
      <c r="CA20" s="116"/>
      <c r="CB20" s="16">
        <f t="shared" si="15"/>
        <v>0</v>
      </c>
      <c r="CC20" s="90"/>
      <c r="CD20" s="90"/>
      <c r="CE20" s="90"/>
      <c r="CF20" s="116"/>
      <c r="CG20" s="16">
        <f t="shared" si="16"/>
        <v>0</v>
      </c>
      <c r="CH20" s="90"/>
      <c r="CI20" s="90"/>
      <c r="CJ20" s="90"/>
      <c r="CK20" s="116"/>
      <c r="CL20" s="16">
        <f t="shared" si="17"/>
        <v>0</v>
      </c>
      <c r="CM20" s="90"/>
      <c r="CN20" s="90"/>
      <c r="CO20" s="90"/>
      <c r="CP20" s="116"/>
      <c r="CQ20" s="16">
        <f t="shared" si="18"/>
        <v>0</v>
      </c>
      <c r="CR20" s="90"/>
      <c r="CS20" s="90"/>
      <c r="CT20" s="90"/>
      <c r="CU20" s="116"/>
      <c r="CV20" s="16">
        <f t="shared" si="19"/>
        <v>0</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336</v>
      </c>
      <c r="DT20" s="90"/>
      <c r="DU20" s="16">
        <f t="shared" si="24"/>
        <v>336</v>
      </c>
      <c r="DV20" s="90"/>
      <c r="DW20" s="90"/>
      <c r="DX20" s="90"/>
      <c r="DY20" s="116">
        <v>50</v>
      </c>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v>236</v>
      </c>
      <c r="AH21" s="116"/>
      <c r="AI21" s="16">
        <f t="shared" si="7"/>
        <v>236</v>
      </c>
      <c r="AJ21" s="90"/>
      <c r="AK21" s="90"/>
      <c r="AL21" s="90"/>
      <c r="AM21" s="116"/>
      <c r="AN21" s="16">
        <f t="shared" si="8"/>
        <v>0</v>
      </c>
      <c r="AO21" s="90"/>
      <c r="AP21" s="90"/>
      <c r="AQ21" s="90"/>
      <c r="AR21" s="116"/>
      <c r="AS21" s="16">
        <f t="shared" si="9"/>
        <v>0</v>
      </c>
      <c r="AT21" s="90">
        <v>163</v>
      </c>
      <c r="AU21" s="90"/>
      <c r="AV21" s="90"/>
      <c r="AW21" s="116"/>
      <c r="AX21" s="16">
        <f t="shared" si="10"/>
        <v>163</v>
      </c>
      <c r="AY21" s="90"/>
      <c r="AZ21" s="90"/>
      <c r="BA21" s="90"/>
      <c r="BB21" s="116"/>
      <c r="BC21" s="16">
        <f t="shared" si="49"/>
        <v>0</v>
      </c>
      <c r="BD21" s="90"/>
      <c r="BE21" s="90"/>
      <c r="BF21" s="90"/>
      <c r="BG21" s="116"/>
      <c r="BH21" s="16">
        <f t="shared" si="11"/>
        <v>0</v>
      </c>
      <c r="BI21" s="90"/>
      <c r="BJ21" s="90"/>
      <c r="BK21" s="90"/>
      <c r="BL21" s="116"/>
      <c r="BM21" s="16">
        <f t="shared" si="12"/>
        <v>0</v>
      </c>
      <c r="BN21" s="90"/>
      <c r="BO21" s="90"/>
      <c r="BP21" s="90"/>
      <c r="BQ21" s="116"/>
      <c r="BR21" s="16">
        <f t="shared" si="13"/>
        <v>0</v>
      </c>
      <c r="BS21" s="90"/>
      <c r="BT21" s="90"/>
      <c r="BU21" s="90"/>
      <c r="BV21" s="116"/>
      <c r="BW21" s="16">
        <f t="shared" si="14"/>
        <v>0</v>
      </c>
      <c r="BX21" s="90"/>
      <c r="BY21" s="90"/>
      <c r="BZ21" s="90"/>
      <c r="CA21" s="116"/>
      <c r="CB21" s="16">
        <f t="shared" si="15"/>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c r="CU21" s="116"/>
      <c r="CV21" s="16">
        <f t="shared" si="19"/>
        <v>0</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v>280</v>
      </c>
      <c r="DT21" s="90"/>
      <c r="DU21" s="16">
        <f t="shared" si="24"/>
        <v>280</v>
      </c>
      <c r="DV21" s="90"/>
      <c r="DW21" s="90"/>
      <c r="DX21" s="90">
        <v>392</v>
      </c>
      <c r="DY21" s="116"/>
      <c r="DZ21" s="16">
        <f t="shared" si="25"/>
        <v>392</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376</v>
      </c>
      <c r="AH22" s="116"/>
      <c r="AI22" s="16">
        <f t="shared" si="7"/>
        <v>376</v>
      </c>
      <c r="AJ22" s="90"/>
      <c r="AK22" s="90"/>
      <c r="AL22" s="90"/>
      <c r="AM22" s="116"/>
      <c r="AN22" s="16">
        <f t="shared" si="8"/>
        <v>0</v>
      </c>
      <c r="AO22" s="90"/>
      <c r="AP22" s="90"/>
      <c r="AQ22" s="90"/>
      <c r="AR22" s="116"/>
      <c r="AS22" s="16">
        <f t="shared" si="9"/>
        <v>0</v>
      </c>
      <c r="AT22" s="90">
        <v>138</v>
      </c>
      <c r="AU22" s="90"/>
      <c r="AV22" s="90"/>
      <c r="AW22" s="116"/>
      <c r="AX22" s="16">
        <f t="shared" si="10"/>
        <v>138</v>
      </c>
      <c r="AY22" s="90"/>
      <c r="AZ22" s="90"/>
      <c r="BA22" s="90"/>
      <c r="BB22" s="116"/>
      <c r="BC22" s="16">
        <f t="shared" si="49"/>
        <v>0</v>
      </c>
      <c r="BD22" s="90"/>
      <c r="BE22" s="90"/>
      <c r="BF22" s="90"/>
      <c r="BG22" s="116"/>
      <c r="BH22" s="16">
        <f t="shared" si="11"/>
        <v>0</v>
      </c>
      <c r="BI22" s="90"/>
      <c r="BJ22" s="90"/>
      <c r="BK22" s="90"/>
      <c r="BL22" s="116"/>
      <c r="BM22" s="16">
        <f t="shared" si="12"/>
        <v>0</v>
      </c>
      <c r="BN22" s="90"/>
      <c r="BO22" s="90"/>
      <c r="BP22" s="90"/>
      <c r="BQ22" s="116"/>
      <c r="BR22" s="16">
        <f t="shared" si="13"/>
        <v>0</v>
      </c>
      <c r="BS22" s="90"/>
      <c r="BT22" s="90"/>
      <c r="BU22" s="90"/>
      <c r="BV22" s="116"/>
      <c r="BW22" s="16">
        <f t="shared" si="14"/>
        <v>0</v>
      </c>
      <c r="BX22" s="90"/>
      <c r="BY22" s="90"/>
      <c r="BZ22" s="90"/>
      <c r="CA22" s="116"/>
      <c r="CB22" s="16">
        <f t="shared" si="15"/>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v>210</v>
      </c>
      <c r="DT22" s="116"/>
      <c r="DU22" s="16">
        <f t="shared" si="24"/>
        <v>210</v>
      </c>
      <c r="DV22" s="90"/>
      <c r="DW22" s="90"/>
      <c r="DX22" s="90">
        <v>314</v>
      </c>
      <c r="DY22" s="116"/>
      <c r="DZ22" s="16">
        <f t="shared" si="25"/>
        <v>314</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v>242</v>
      </c>
      <c r="AH23" s="116"/>
      <c r="AI23" s="16">
        <f t="shared" si="7"/>
        <v>242</v>
      </c>
      <c r="AJ23" s="90"/>
      <c r="AK23" s="90"/>
      <c r="AL23" s="90"/>
      <c r="AM23" s="116"/>
      <c r="AN23" s="16">
        <f t="shared" si="8"/>
        <v>0</v>
      </c>
      <c r="AO23" s="90"/>
      <c r="AP23" s="90"/>
      <c r="AQ23" s="90"/>
      <c r="AR23" s="116"/>
      <c r="AS23" s="16">
        <f t="shared" si="9"/>
        <v>0</v>
      </c>
      <c r="AT23" s="90">
        <v>134</v>
      </c>
      <c r="AU23" s="90"/>
      <c r="AV23" s="90"/>
      <c r="AW23" s="116"/>
      <c r="AX23" s="16">
        <f t="shared" si="10"/>
        <v>134</v>
      </c>
      <c r="AY23" s="90"/>
      <c r="AZ23" s="90"/>
      <c r="BA23" s="90"/>
      <c r="BB23" s="116"/>
      <c r="BC23" s="16">
        <f t="shared" si="49"/>
        <v>0</v>
      </c>
      <c r="BD23" s="90"/>
      <c r="BE23" s="90"/>
      <c r="BF23" s="90"/>
      <c r="BG23" s="116"/>
      <c r="BH23" s="16">
        <f t="shared" si="11"/>
        <v>0</v>
      </c>
      <c r="BI23" s="90"/>
      <c r="BJ23" s="90"/>
      <c r="BK23" s="90"/>
      <c r="BL23" s="116"/>
      <c r="BM23" s="16">
        <f t="shared" si="12"/>
        <v>0</v>
      </c>
      <c r="BN23" s="90"/>
      <c r="BO23" s="90"/>
      <c r="BP23" s="90"/>
      <c r="BQ23" s="116"/>
      <c r="BR23" s="16">
        <f t="shared" si="13"/>
        <v>0</v>
      </c>
      <c r="BS23" s="90"/>
      <c r="BT23" s="90"/>
      <c r="BU23" s="90"/>
      <c r="BV23" s="116"/>
      <c r="BW23" s="16">
        <f t="shared" si="14"/>
        <v>0</v>
      </c>
      <c r="BX23" s="90"/>
      <c r="BY23" s="90"/>
      <c r="BZ23" s="90"/>
      <c r="CA23" s="116"/>
      <c r="CB23" s="16">
        <f t="shared" si="15"/>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v>50</v>
      </c>
      <c r="AI24" s="16">
        <f t="shared" si="7"/>
        <v>0</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49"/>
        <v>0</v>
      </c>
      <c r="BD24" s="90"/>
      <c r="BE24" s="90"/>
      <c r="BF24" s="90"/>
      <c r="BG24" s="116"/>
      <c r="BH24" s="16">
        <f t="shared" si="11"/>
        <v>0</v>
      </c>
      <c r="BI24" s="90"/>
      <c r="BJ24" s="90"/>
      <c r="BK24" s="90"/>
      <c r="BL24" s="116"/>
      <c r="BM24" s="16">
        <f t="shared" si="12"/>
        <v>0</v>
      </c>
      <c r="BN24" s="90"/>
      <c r="BO24" s="90"/>
      <c r="BP24" s="90"/>
      <c r="BQ24" s="116"/>
      <c r="BR24" s="16">
        <f t="shared" si="13"/>
        <v>0</v>
      </c>
      <c r="BS24" s="90"/>
      <c r="BT24" s="90"/>
      <c r="BU24" s="90"/>
      <c r="BV24" s="116"/>
      <c r="BW24" s="16">
        <f t="shared" si="14"/>
        <v>0</v>
      </c>
      <c r="BX24" s="90"/>
      <c r="BY24" s="90"/>
      <c r="BZ24" s="90"/>
      <c r="CA24" s="116"/>
      <c r="CB24" s="16">
        <f t="shared" si="15"/>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49"/>
        <v>0</v>
      </c>
      <c r="BD25" s="90"/>
      <c r="BE25" s="90"/>
      <c r="BF25" s="90"/>
      <c r="BG25" s="116"/>
      <c r="BH25" s="16">
        <f t="shared" si="11"/>
        <v>0</v>
      </c>
      <c r="BI25" s="90"/>
      <c r="BJ25" s="90"/>
      <c r="BK25" s="90"/>
      <c r="BL25" s="116"/>
      <c r="BM25" s="16">
        <f t="shared" si="12"/>
        <v>0</v>
      </c>
      <c r="BN25" s="90"/>
      <c r="BO25" s="90"/>
      <c r="BP25" s="90"/>
      <c r="BQ25" s="116"/>
      <c r="BR25" s="16">
        <f t="shared" si="13"/>
        <v>0</v>
      </c>
      <c r="BS25" s="90"/>
      <c r="BT25" s="90"/>
      <c r="BU25" s="90"/>
      <c r="BV25" s="116"/>
      <c r="BW25" s="16">
        <f t="shared" si="14"/>
        <v>0</v>
      </c>
      <c r="BX25" s="90"/>
      <c r="BY25" s="90"/>
      <c r="BZ25" s="90"/>
      <c r="CA25" s="116"/>
      <c r="CB25" s="16">
        <f t="shared" si="15"/>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49"/>
        <v>0</v>
      </c>
      <c r="BD26" s="90"/>
      <c r="BE26" s="90"/>
      <c r="BF26" s="90"/>
      <c r="BG26" s="116"/>
      <c r="BH26" s="16">
        <f t="shared" si="11"/>
        <v>0</v>
      </c>
      <c r="BI26" s="90"/>
      <c r="BJ26" s="90"/>
      <c r="BK26" s="90"/>
      <c r="BL26" s="116"/>
      <c r="BM26" s="16">
        <f t="shared" si="12"/>
        <v>0</v>
      </c>
      <c r="BN26" s="90"/>
      <c r="BO26" s="90"/>
      <c r="BP26" s="90"/>
      <c r="BQ26" s="116"/>
      <c r="BR26" s="16">
        <f t="shared" si="13"/>
        <v>0</v>
      </c>
      <c r="BS26" s="90"/>
      <c r="BT26" s="90"/>
      <c r="BU26" s="90"/>
      <c r="BV26" s="116"/>
      <c r="BW26" s="16">
        <f t="shared" si="14"/>
        <v>0</v>
      </c>
      <c r="BX26" s="90"/>
      <c r="BY26" s="90"/>
      <c r="BZ26" s="90"/>
      <c r="CA26" s="116"/>
      <c r="CB26" s="16">
        <f t="shared" si="15"/>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49"/>
        <v>0</v>
      </c>
      <c r="BD27" s="90"/>
      <c r="BE27" s="90"/>
      <c r="BF27" s="90"/>
      <c r="BG27" s="116"/>
      <c r="BH27" s="16">
        <f t="shared" si="11"/>
        <v>0</v>
      </c>
      <c r="BI27" s="90"/>
      <c r="BJ27" s="90"/>
      <c r="BK27" s="90"/>
      <c r="BL27" s="116"/>
      <c r="BM27" s="16">
        <f t="shared" si="12"/>
        <v>0</v>
      </c>
      <c r="BN27" s="90"/>
      <c r="BO27" s="90"/>
      <c r="BP27" s="90"/>
      <c r="BQ27" s="116"/>
      <c r="BR27" s="16">
        <f t="shared" si="13"/>
        <v>0</v>
      </c>
      <c r="BS27" s="90"/>
      <c r="BT27" s="90"/>
      <c r="BU27" s="90"/>
      <c r="BV27" s="116"/>
      <c r="BW27" s="16">
        <f t="shared" si="14"/>
        <v>0</v>
      </c>
      <c r="BX27" s="90"/>
      <c r="BY27" s="90"/>
      <c r="BZ27" s="90"/>
      <c r="CA27" s="116"/>
      <c r="CB27" s="16">
        <f t="shared" si="15"/>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49"/>
        <v>0</v>
      </c>
      <c r="BD28" s="90"/>
      <c r="BE28" s="90"/>
      <c r="BF28" s="90"/>
      <c r="BG28" s="116"/>
      <c r="BH28" s="16">
        <f t="shared" si="11"/>
        <v>0</v>
      </c>
      <c r="BI28" s="90"/>
      <c r="BJ28" s="90"/>
      <c r="BK28" s="90"/>
      <c r="BL28" s="116"/>
      <c r="BM28" s="16">
        <f t="shared" si="12"/>
        <v>0</v>
      </c>
      <c r="BN28" s="90"/>
      <c r="BO28" s="90"/>
      <c r="BP28" s="90"/>
      <c r="BQ28" s="116"/>
      <c r="BR28" s="16">
        <f t="shared" si="13"/>
        <v>0</v>
      </c>
      <c r="BS28" s="90"/>
      <c r="BT28" s="90"/>
      <c r="BU28" s="90"/>
      <c r="BV28" s="116"/>
      <c r="BW28" s="16">
        <f t="shared" si="14"/>
        <v>0</v>
      </c>
      <c r="BX28" s="90"/>
      <c r="BY28" s="90"/>
      <c r="BZ28" s="90"/>
      <c r="CA28" s="116"/>
      <c r="CB28" s="16">
        <f t="shared" si="15"/>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49"/>
        <v>0</v>
      </c>
      <c r="BD29" s="90"/>
      <c r="BE29" s="90"/>
      <c r="BF29" s="90"/>
      <c r="BG29" s="116"/>
      <c r="BH29" s="16">
        <f t="shared" si="11"/>
        <v>0</v>
      </c>
      <c r="BI29" s="90"/>
      <c r="BJ29" s="90"/>
      <c r="BK29" s="90"/>
      <c r="BL29" s="116"/>
      <c r="BM29" s="16">
        <f t="shared" si="12"/>
        <v>0</v>
      </c>
      <c r="BN29" s="90"/>
      <c r="BO29" s="90"/>
      <c r="BP29" s="90"/>
      <c r="BQ29" s="116"/>
      <c r="BR29" s="16">
        <f t="shared" si="13"/>
        <v>0</v>
      </c>
      <c r="BS29" s="90"/>
      <c r="BT29" s="90"/>
      <c r="BU29" s="90"/>
      <c r="BV29" s="116"/>
      <c r="BW29" s="16">
        <f t="shared" si="14"/>
        <v>0</v>
      </c>
      <c r="BX29" s="90"/>
      <c r="BY29" s="90"/>
      <c r="BZ29" s="90"/>
      <c r="CA29" s="116"/>
      <c r="CB29" s="16">
        <f t="shared" si="15"/>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49"/>
        <v>0</v>
      </c>
      <c r="BD30" s="90"/>
      <c r="BE30" s="90"/>
      <c r="BF30" s="90"/>
      <c r="BG30" s="116"/>
      <c r="BH30" s="16">
        <f t="shared" si="11"/>
        <v>0</v>
      </c>
      <c r="BI30" s="90"/>
      <c r="BJ30" s="90"/>
      <c r="BK30" s="90"/>
      <c r="BL30" s="116"/>
      <c r="BM30" s="16">
        <f t="shared" si="12"/>
        <v>0</v>
      </c>
      <c r="BN30" s="90"/>
      <c r="BO30" s="90"/>
      <c r="BP30" s="90"/>
      <c r="BQ30" s="116"/>
      <c r="BR30" s="16">
        <f t="shared" si="13"/>
        <v>0</v>
      </c>
      <c r="BS30" s="90"/>
      <c r="BT30" s="90"/>
      <c r="BU30" s="90"/>
      <c r="BV30" s="116"/>
      <c r="BW30" s="16">
        <f t="shared" si="14"/>
        <v>0</v>
      </c>
      <c r="BX30" s="90"/>
      <c r="BY30" s="90"/>
      <c r="BZ30" s="90"/>
      <c r="CA30" s="116"/>
      <c r="CB30" s="16">
        <f t="shared" si="15"/>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49"/>
        <v>0</v>
      </c>
      <c r="BD31" s="90"/>
      <c r="BE31" s="90"/>
      <c r="BF31" s="90"/>
      <c r="BG31" s="116"/>
      <c r="BH31" s="16">
        <f t="shared" si="11"/>
        <v>0</v>
      </c>
      <c r="BI31" s="90"/>
      <c r="BJ31" s="90"/>
      <c r="BK31" s="90"/>
      <c r="BL31" s="116"/>
      <c r="BM31" s="16">
        <f t="shared" si="12"/>
        <v>0</v>
      </c>
      <c r="BN31" s="90"/>
      <c r="BO31" s="90"/>
      <c r="BP31" s="90"/>
      <c r="BQ31" s="116"/>
      <c r="BR31" s="16">
        <f t="shared" si="13"/>
        <v>0</v>
      </c>
      <c r="BS31" s="90"/>
      <c r="BT31" s="90"/>
      <c r="BU31" s="90"/>
      <c r="BV31" s="116"/>
      <c r="BW31" s="16">
        <f t="shared" si="14"/>
        <v>0</v>
      </c>
      <c r="BX31" s="90"/>
      <c r="BY31" s="90"/>
      <c r="BZ31" s="90"/>
      <c r="CA31" s="116"/>
      <c r="CB31" s="16">
        <f t="shared" si="15"/>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49"/>
        <v>0</v>
      </c>
      <c r="BD32" s="90"/>
      <c r="BE32" s="90"/>
      <c r="BF32" s="90"/>
      <c r="BG32" s="116"/>
      <c r="BH32" s="16">
        <f t="shared" si="11"/>
        <v>0</v>
      </c>
      <c r="BI32" s="90"/>
      <c r="BJ32" s="90"/>
      <c r="BK32" s="90"/>
      <c r="BL32" s="116"/>
      <c r="BM32" s="16">
        <f t="shared" si="12"/>
        <v>0</v>
      </c>
      <c r="BN32" s="90"/>
      <c r="BO32" s="90"/>
      <c r="BP32" s="90"/>
      <c r="BQ32" s="116"/>
      <c r="BR32" s="16">
        <f t="shared" si="13"/>
        <v>0</v>
      </c>
      <c r="BS32" s="90"/>
      <c r="BT32" s="90"/>
      <c r="BU32" s="90"/>
      <c r="BV32" s="116"/>
      <c r="BW32" s="16">
        <f t="shared" si="14"/>
        <v>0</v>
      </c>
      <c r="BX32" s="90"/>
      <c r="BY32" s="90"/>
      <c r="BZ32" s="90"/>
      <c r="CA32" s="116"/>
      <c r="CB32" s="16">
        <f t="shared" si="15"/>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49"/>
        <v>0</v>
      </c>
      <c r="BD33" s="90"/>
      <c r="BE33" s="90"/>
      <c r="BF33" s="90"/>
      <c r="BG33" s="116"/>
      <c r="BH33" s="16">
        <f t="shared" si="11"/>
        <v>0</v>
      </c>
      <c r="BI33" s="90"/>
      <c r="BJ33" s="90"/>
      <c r="BK33" s="90"/>
      <c r="BL33" s="116"/>
      <c r="BM33" s="16">
        <f t="shared" si="12"/>
        <v>0</v>
      </c>
      <c r="BN33" s="90"/>
      <c r="BO33" s="90"/>
      <c r="BP33" s="90"/>
      <c r="BQ33" s="116"/>
      <c r="BR33" s="16">
        <f t="shared" si="13"/>
        <v>0</v>
      </c>
      <c r="BS33" s="90"/>
      <c r="BT33" s="90"/>
      <c r="BU33" s="90"/>
      <c r="BV33" s="116"/>
      <c r="BW33" s="16">
        <f t="shared" si="14"/>
        <v>0</v>
      </c>
      <c r="BX33" s="90"/>
      <c r="BY33" s="90"/>
      <c r="BZ33" s="90"/>
      <c r="CA33" s="116"/>
      <c r="CB33" s="16">
        <f t="shared" si="15"/>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49"/>
        <v>0</v>
      </c>
      <c r="BD34" s="90"/>
      <c r="BE34" s="90"/>
      <c r="BF34" s="90"/>
      <c r="BG34" s="116"/>
      <c r="BH34" s="16">
        <f t="shared" si="11"/>
        <v>0</v>
      </c>
      <c r="BI34" s="90"/>
      <c r="BJ34" s="90"/>
      <c r="BK34" s="90"/>
      <c r="BL34" s="116"/>
      <c r="BM34" s="16">
        <f t="shared" si="12"/>
        <v>0</v>
      </c>
      <c r="BN34" s="90"/>
      <c r="BO34" s="90"/>
      <c r="BP34" s="90"/>
      <c r="BQ34" s="116"/>
      <c r="BR34" s="16">
        <f t="shared" si="13"/>
        <v>0</v>
      </c>
      <c r="BS34" s="90"/>
      <c r="BT34" s="90"/>
      <c r="BU34" s="90"/>
      <c r="BV34" s="116"/>
      <c r="BW34" s="16">
        <f t="shared" si="14"/>
        <v>0</v>
      </c>
      <c r="BX34" s="90"/>
      <c r="BY34" s="90"/>
      <c r="BZ34" s="90"/>
      <c r="CA34" s="116"/>
      <c r="CB34" s="16">
        <f t="shared" si="15"/>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49"/>
        <v>0</v>
      </c>
      <c r="BD35" s="90"/>
      <c r="BE35" s="90"/>
      <c r="BF35" s="90"/>
      <c r="BG35" s="116"/>
      <c r="BH35" s="16">
        <f t="shared" si="11"/>
        <v>0</v>
      </c>
      <c r="BI35" s="90"/>
      <c r="BJ35" s="90"/>
      <c r="BK35" s="90"/>
      <c r="BL35" s="116"/>
      <c r="BM35" s="16">
        <f t="shared" si="12"/>
        <v>0</v>
      </c>
      <c r="BN35" s="90"/>
      <c r="BO35" s="90"/>
      <c r="BP35" s="90"/>
      <c r="BQ35" s="116"/>
      <c r="BR35" s="16">
        <f t="shared" si="13"/>
        <v>0</v>
      </c>
      <c r="BS35" s="90"/>
      <c r="BT35" s="90"/>
      <c r="BU35" s="90"/>
      <c r="BV35" s="116"/>
      <c r="BW35" s="16">
        <f t="shared" si="14"/>
        <v>0</v>
      </c>
      <c r="BX35" s="90"/>
      <c r="BY35" s="90"/>
      <c r="BZ35" s="90"/>
      <c r="CA35" s="116"/>
      <c r="CB35" s="16">
        <f t="shared" si="15"/>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49"/>
        <v>0</v>
      </c>
      <c r="BD36" s="90"/>
      <c r="BE36" s="90"/>
      <c r="BF36" s="90"/>
      <c r="BG36" s="116"/>
      <c r="BH36" s="16">
        <f t="shared" si="11"/>
        <v>0</v>
      </c>
      <c r="BI36" s="90"/>
      <c r="BJ36" s="90"/>
      <c r="BK36" s="90"/>
      <c r="BL36" s="116"/>
      <c r="BM36" s="16">
        <f t="shared" si="12"/>
        <v>0</v>
      </c>
      <c r="BN36" s="90"/>
      <c r="BO36" s="90"/>
      <c r="BP36" s="90"/>
      <c r="BQ36" s="116"/>
      <c r="BR36" s="16">
        <f t="shared" si="13"/>
        <v>0</v>
      </c>
      <c r="BS36" s="90"/>
      <c r="BT36" s="90"/>
      <c r="BU36" s="90"/>
      <c r="BV36" s="116"/>
      <c r="BW36" s="16">
        <f t="shared" si="14"/>
        <v>0</v>
      </c>
      <c r="BX36" s="90"/>
      <c r="BY36" s="90"/>
      <c r="BZ36" s="90"/>
      <c r="CA36" s="116"/>
      <c r="CB36" s="16">
        <f t="shared" si="15"/>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49"/>
        <v>0</v>
      </c>
      <c r="BD37" s="90"/>
      <c r="BE37" s="90"/>
      <c r="BF37" s="90"/>
      <c r="BG37" s="116"/>
      <c r="BH37" s="16">
        <f t="shared" si="11"/>
        <v>0</v>
      </c>
      <c r="BI37" s="90"/>
      <c r="BJ37" s="90"/>
      <c r="BK37" s="90"/>
      <c r="BL37" s="116"/>
      <c r="BM37" s="16">
        <f t="shared" si="12"/>
        <v>0</v>
      </c>
      <c r="BN37" s="90"/>
      <c r="BO37" s="90"/>
      <c r="BP37" s="90"/>
      <c r="BQ37" s="116"/>
      <c r="BR37" s="16">
        <f t="shared" si="13"/>
        <v>0</v>
      </c>
      <c r="BS37" s="90"/>
      <c r="BT37" s="90"/>
      <c r="BU37" s="90"/>
      <c r="BV37" s="116"/>
      <c r="BW37" s="16">
        <f t="shared" si="14"/>
        <v>0</v>
      </c>
      <c r="BX37" s="90"/>
      <c r="BY37" s="90"/>
      <c r="BZ37" s="90"/>
      <c r="CA37" s="116"/>
      <c r="CB37" s="16">
        <f t="shared" si="15"/>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49"/>
        <v>0</v>
      </c>
      <c r="BD38" s="90"/>
      <c r="BE38" s="90"/>
      <c r="BF38" s="90"/>
      <c r="BG38" s="116"/>
      <c r="BH38" s="16">
        <f t="shared" si="11"/>
        <v>0</v>
      </c>
      <c r="BI38" s="90"/>
      <c r="BJ38" s="90"/>
      <c r="BK38" s="90"/>
      <c r="BL38" s="116"/>
      <c r="BM38" s="16">
        <f t="shared" si="12"/>
        <v>0</v>
      </c>
      <c r="BN38" s="90"/>
      <c r="BO38" s="90"/>
      <c r="BP38" s="90"/>
      <c r="BQ38" s="116"/>
      <c r="BR38" s="16">
        <f t="shared" si="13"/>
        <v>0</v>
      </c>
      <c r="BS38" s="90"/>
      <c r="BT38" s="90"/>
      <c r="BU38" s="90"/>
      <c r="BV38" s="116"/>
      <c r="BW38" s="16">
        <f t="shared" si="14"/>
        <v>0</v>
      </c>
      <c r="BX38" s="90"/>
      <c r="BY38" s="90"/>
      <c r="BZ38" s="90"/>
      <c r="CA38" s="116"/>
      <c r="CB38" s="16">
        <f t="shared" si="15"/>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49"/>
        <v>0</v>
      </c>
      <c r="BD39" s="90"/>
      <c r="BE39" s="90"/>
      <c r="BF39" s="90"/>
      <c r="BG39" s="116"/>
      <c r="BH39" s="16">
        <f t="shared" si="11"/>
        <v>0</v>
      </c>
      <c r="BI39" s="90"/>
      <c r="BJ39" s="90"/>
      <c r="BK39" s="90"/>
      <c r="BL39" s="116"/>
      <c r="BM39" s="16">
        <f t="shared" si="12"/>
        <v>0</v>
      </c>
      <c r="BN39" s="90"/>
      <c r="BO39" s="90"/>
      <c r="BP39" s="90"/>
      <c r="BQ39" s="116"/>
      <c r="BR39" s="16">
        <f t="shared" si="13"/>
        <v>0</v>
      </c>
      <c r="BS39" s="90"/>
      <c r="BT39" s="90"/>
      <c r="BU39" s="90"/>
      <c r="BV39" s="116"/>
      <c r="BW39" s="16">
        <f t="shared" si="14"/>
        <v>0</v>
      </c>
      <c r="BX39" s="90"/>
      <c r="BY39" s="90"/>
      <c r="BZ39" s="90"/>
      <c r="CA39" s="116"/>
      <c r="CB39" s="16">
        <f t="shared" si="15"/>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49"/>
        <v>0</v>
      </c>
      <c r="BD40" s="90"/>
      <c r="BE40" s="90"/>
      <c r="BF40" s="90"/>
      <c r="BG40" s="116"/>
      <c r="BH40" s="16">
        <f t="shared" si="11"/>
        <v>0</v>
      </c>
      <c r="BI40" s="90"/>
      <c r="BJ40" s="90"/>
      <c r="BK40" s="90"/>
      <c r="BL40" s="116"/>
      <c r="BM40" s="16">
        <f t="shared" si="12"/>
        <v>0</v>
      </c>
      <c r="BN40" s="90"/>
      <c r="BO40" s="90"/>
      <c r="BP40" s="90"/>
      <c r="BQ40" s="116"/>
      <c r="BR40" s="16">
        <f t="shared" si="13"/>
        <v>0</v>
      </c>
      <c r="BS40" s="90"/>
      <c r="BT40" s="90"/>
      <c r="BU40" s="90"/>
      <c r="BV40" s="116"/>
      <c r="BW40" s="16">
        <f t="shared" si="14"/>
        <v>0</v>
      </c>
      <c r="BX40" s="90"/>
      <c r="BY40" s="90"/>
      <c r="BZ40" s="90"/>
      <c r="CA40" s="116"/>
      <c r="CB40" s="16">
        <f t="shared" si="15"/>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49"/>
        <v>0</v>
      </c>
      <c r="BD41" s="90"/>
      <c r="BE41" s="90"/>
      <c r="BF41" s="90"/>
      <c r="BG41" s="116"/>
      <c r="BH41" s="16">
        <f t="shared" si="11"/>
        <v>0</v>
      </c>
      <c r="BI41" s="90"/>
      <c r="BJ41" s="90"/>
      <c r="BK41" s="90"/>
      <c r="BL41" s="116"/>
      <c r="BM41" s="16">
        <f t="shared" si="12"/>
        <v>0</v>
      </c>
      <c r="BN41" s="90"/>
      <c r="BO41" s="90"/>
      <c r="BP41" s="90"/>
      <c r="BQ41" s="116"/>
      <c r="BR41" s="16">
        <f t="shared" si="13"/>
        <v>0</v>
      </c>
      <c r="BS41" s="90"/>
      <c r="BT41" s="90"/>
      <c r="BU41" s="90"/>
      <c r="BV41" s="116"/>
      <c r="BW41" s="16">
        <f t="shared" si="14"/>
        <v>0</v>
      </c>
      <c r="BX41" s="90"/>
      <c r="BY41" s="90"/>
      <c r="BZ41" s="90"/>
      <c r="CA41" s="116"/>
      <c r="CB41" s="16">
        <f t="shared" si="15"/>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49"/>
        <v>0</v>
      </c>
      <c r="BD42" s="90"/>
      <c r="BE42" s="90"/>
      <c r="BF42" s="90"/>
      <c r="BG42" s="116"/>
      <c r="BH42" s="16">
        <f t="shared" si="11"/>
        <v>0</v>
      </c>
      <c r="BI42" s="90"/>
      <c r="BJ42" s="90"/>
      <c r="BK42" s="90"/>
      <c r="BL42" s="116"/>
      <c r="BM42" s="16">
        <f t="shared" si="12"/>
        <v>0</v>
      </c>
      <c r="BN42" s="90"/>
      <c r="BO42" s="90"/>
      <c r="BP42" s="90"/>
      <c r="BQ42" s="116"/>
      <c r="BR42" s="16">
        <f t="shared" si="13"/>
        <v>0</v>
      </c>
      <c r="BS42" s="90"/>
      <c r="BT42" s="90"/>
      <c r="BU42" s="90"/>
      <c r="BV42" s="116"/>
      <c r="BW42" s="16">
        <f t="shared" si="14"/>
        <v>0</v>
      </c>
      <c r="BX42" s="90"/>
      <c r="BY42" s="90"/>
      <c r="BZ42" s="90"/>
      <c r="CA42" s="116"/>
      <c r="CB42" s="16">
        <f t="shared" si="15"/>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49"/>
        <v>0</v>
      </c>
      <c r="BD43" s="90"/>
      <c r="BE43" s="90"/>
      <c r="BF43" s="90"/>
      <c r="BG43" s="116"/>
      <c r="BH43" s="16">
        <f t="shared" si="11"/>
        <v>0</v>
      </c>
      <c r="BI43" s="90"/>
      <c r="BJ43" s="90"/>
      <c r="BK43" s="90"/>
      <c r="BL43" s="116"/>
      <c r="BM43" s="16">
        <f t="shared" si="12"/>
        <v>0</v>
      </c>
      <c r="BN43" s="90"/>
      <c r="BO43" s="90"/>
      <c r="BP43" s="90"/>
      <c r="BQ43" s="116"/>
      <c r="BR43" s="16">
        <f t="shared" si="13"/>
        <v>0</v>
      </c>
      <c r="BS43" s="90"/>
      <c r="BT43" s="90"/>
      <c r="BU43" s="90"/>
      <c r="BV43" s="116"/>
      <c r="BW43" s="16">
        <f t="shared" si="14"/>
        <v>0</v>
      </c>
      <c r="BX43" s="90"/>
      <c r="BY43" s="90"/>
      <c r="BZ43" s="90"/>
      <c r="CA43" s="116"/>
      <c r="CB43" s="16">
        <f t="shared" si="15"/>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49"/>
        <v>0</v>
      </c>
      <c r="BD44" s="90"/>
      <c r="BE44" s="90"/>
      <c r="BF44" s="90"/>
      <c r="BG44" s="116"/>
      <c r="BH44" s="16">
        <f t="shared" si="11"/>
        <v>0</v>
      </c>
      <c r="BI44" s="90"/>
      <c r="BJ44" s="90"/>
      <c r="BK44" s="90"/>
      <c r="BL44" s="116"/>
      <c r="BM44" s="16">
        <f t="shared" si="12"/>
        <v>0</v>
      </c>
      <c r="BN44" s="90"/>
      <c r="BO44" s="90"/>
      <c r="BP44" s="90"/>
      <c r="BQ44" s="116"/>
      <c r="BR44" s="16">
        <f t="shared" si="13"/>
        <v>0</v>
      </c>
      <c r="BS44" s="90"/>
      <c r="BT44" s="90"/>
      <c r="BU44" s="90"/>
      <c r="BV44" s="116"/>
      <c r="BW44" s="16">
        <f t="shared" si="14"/>
        <v>0</v>
      </c>
      <c r="BX44" s="90"/>
      <c r="BY44" s="90"/>
      <c r="BZ44" s="90"/>
      <c r="CA44" s="116"/>
      <c r="CB44" s="16">
        <f t="shared" si="15"/>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49"/>
        <v>0</v>
      </c>
      <c r="BD45" s="90"/>
      <c r="BE45" s="90"/>
      <c r="BF45" s="90"/>
      <c r="BG45" s="116"/>
      <c r="BH45" s="16">
        <f t="shared" si="11"/>
        <v>0</v>
      </c>
      <c r="BI45" s="90"/>
      <c r="BJ45" s="90"/>
      <c r="BK45" s="90"/>
      <c r="BL45" s="116"/>
      <c r="BM45" s="16">
        <f t="shared" si="12"/>
        <v>0</v>
      </c>
      <c r="BN45" s="90"/>
      <c r="BO45" s="90"/>
      <c r="BP45" s="90"/>
      <c r="BQ45" s="116"/>
      <c r="BR45" s="16">
        <f t="shared" si="13"/>
        <v>0</v>
      </c>
      <c r="BS45" s="90"/>
      <c r="BT45" s="90"/>
      <c r="BU45" s="90"/>
      <c r="BV45" s="116"/>
      <c r="BW45" s="16">
        <f t="shared" si="14"/>
        <v>0</v>
      </c>
      <c r="BX45" s="90"/>
      <c r="BY45" s="90"/>
      <c r="BZ45" s="90"/>
      <c r="CA45" s="116"/>
      <c r="CB45" s="16">
        <f t="shared" si="15"/>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49"/>
        <v>0</v>
      </c>
      <c r="BD46" s="90"/>
      <c r="BE46" s="90"/>
      <c r="BF46" s="90"/>
      <c r="BG46" s="116"/>
      <c r="BH46" s="16">
        <f t="shared" si="11"/>
        <v>0</v>
      </c>
      <c r="BI46" s="90"/>
      <c r="BJ46" s="90"/>
      <c r="BK46" s="90"/>
      <c r="BL46" s="116"/>
      <c r="BM46" s="16">
        <f t="shared" si="12"/>
        <v>0</v>
      </c>
      <c r="BN46" s="90"/>
      <c r="BO46" s="90"/>
      <c r="BP46" s="90"/>
      <c r="BQ46" s="116"/>
      <c r="BR46" s="16">
        <f t="shared" si="13"/>
        <v>0</v>
      </c>
      <c r="BS46" s="90"/>
      <c r="BT46" s="90"/>
      <c r="BU46" s="90"/>
      <c r="BV46" s="116"/>
      <c r="BW46" s="16">
        <f t="shared" si="14"/>
        <v>0</v>
      </c>
      <c r="BX46" s="90"/>
      <c r="BY46" s="90"/>
      <c r="BZ46" s="90"/>
      <c r="CA46" s="116"/>
      <c r="CB46" s="16">
        <f t="shared" si="15"/>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49"/>
        <v>0</v>
      </c>
      <c r="BD47" s="90"/>
      <c r="BE47" s="90"/>
      <c r="BF47" s="90"/>
      <c r="BG47" s="116"/>
      <c r="BH47" s="16">
        <f t="shared" si="11"/>
        <v>0</v>
      </c>
      <c r="BI47" s="90"/>
      <c r="BJ47" s="90"/>
      <c r="BK47" s="90"/>
      <c r="BL47" s="116"/>
      <c r="BM47" s="16">
        <f t="shared" si="12"/>
        <v>0</v>
      </c>
      <c r="BN47" s="90"/>
      <c r="BO47" s="90"/>
      <c r="BP47" s="90"/>
      <c r="BQ47" s="116"/>
      <c r="BR47" s="16">
        <f t="shared" si="13"/>
        <v>0</v>
      </c>
      <c r="BS47" s="90"/>
      <c r="BT47" s="90"/>
      <c r="BU47" s="90"/>
      <c r="BV47" s="116"/>
      <c r="BW47" s="16">
        <f t="shared" si="14"/>
        <v>0</v>
      </c>
      <c r="BX47" s="90"/>
      <c r="BY47" s="90"/>
      <c r="BZ47" s="90"/>
      <c r="CA47" s="116"/>
      <c r="CB47" s="16">
        <f t="shared" si="15"/>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49"/>
        <v>0</v>
      </c>
      <c r="BD48" s="90"/>
      <c r="BE48" s="90"/>
      <c r="BF48" s="90"/>
      <c r="BG48" s="116"/>
      <c r="BH48" s="16">
        <f t="shared" si="11"/>
        <v>0</v>
      </c>
      <c r="BI48" s="90"/>
      <c r="BJ48" s="90"/>
      <c r="BK48" s="90"/>
      <c r="BL48" s="116"/>
      <c r="BM48" s="16">
        <f t="shared" si="12"/>
        <v>0</v>
      </c>
      <c r="BN48" s="90"/>
      <c r="BO48" s="90"/>
      <c r="BP48" s="90"/>
      <c r="BQ48" s="116"/>
      <c r="BR48" s="16">
        <f t="shared" si="13"/>
        <v>0</v>
      </c>
      <c r="BS48" s="90"/>
      <c r="BT48" s="90"/>
      <c r="BU48" s="90"/>
      <c r="BV48" s="116"/>
      <c r="BW48" s="16">
        <f t="shared" si="14"/>
        <v>0</v>
      </c>
      <c r="BX48" s="90"/>
      <c r="BY48" s="90"/>
      <c r="BZ48" s="90"/>
      <c r="CA48" s="116"/>
      <c r="CB48" s="16">
        <f t="shared" si="15"/>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49"/>
        <v>0</v>
      </c>
      <c r="BD49" s="90"/>
      <c r="BE49" s="90"/>
      <c r="BF49" s="90"/>
      <c r="BG49" s="116"/>
      <c r="BH49" s="16">
        <f t="shared" si="11"/>
        <v>0</v>
      </c>
      <c r="BI49" s="90"/>
      <c r="BJ49" s="90"/>
      <c r="BK49" s="90"/>
      <c r="BL49" s="116"/>
      <c r="BM49" s="16">
        <f t="shared" si="12"/>
        <v>0</v>
      </c>
      <c r="BN49" s="90"/>
      <c r="BO49" s="90"/>
      <c r="BP49" s="90"/>
      <c r="BQ49" s="116"/>
      <c r="BR49" s="16">
        <f t="shared" si="13"/>
        <v>0</v>
      </c>
      <c r="BS49" s="90"/>
      <c r="BT49" s="90"/>
      <c r="BU49" s="90"/>
      <c r="BV49" s="116"/>
      <c r="BW49" s="16">
        <f t="shared" si="14"/>
        <v>0</v>
      </c>
      <c r="BX49" s="90"/>
      <c r="BY49" s="90"/>
      <c r="BZ49" s="90"/>
      <c r="CA49" s="116"/>
      <c r="CB49" s="16">
        <f t="shared" si="15"/>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49"/>
        <v>0</v>
      </c>
      <c r="BD50" s="90"/>
      <c r="BE50" s="90"/>
      <c r="BF50" s="90"/>
      <c r="BG50" s="116"/>
      <c r="BH50" s="16">
        <f t="shared" si="11"/>
        <v>0</v>
      </c>
      <c r="BI50" s="90"/>
      <c r="BJ50" s="90"/>
      <c r="BK50" s="90"/>
      <c r="BL50" s="116"/>
      <c r="BM50" s="16">
        <f t="shared" si="12"/>
        <v>0</v>
      </c>
      <c r="BN50" s="90"/>
      <c r="BO50" s="90"/>
      <c r="BP50" s="90"/>
      <c r="BQ50" s="116"/>
      <c r="BR50" s="16">
        <f t="shared" si="13"/>
        <v>0</v>
      </c>
      <c r="BS50" s="90"/>
      <c r="BT50" s="90"/>
      <c r="BU50" s="90"/>
      <c r="BV50" s="116"/>
      <c r="BW50" s="16">
        <f t="shared" si="14"/>
        <v>0</v>
      </c>
      <c r="BX50" s="90"/>
      <c r="BY50" s="90"/>
      <c r="BZ50" s="90"/>
      <c r="CA50" s="116"/>
      <c r="CB50" s="16">
        <f t="shared" si="15"/>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49"/>
        <v>0</v>
      </c>
      <c r="BD51" s="90"/>
      <c r="BE51" s="90"/>
      <c r="BF51" s="90"/>
      <c r="BG51" s="116"/>
      <c r="BH51" s="16">
        <f t="shared" si="11"/>
        <v>0</v>
      </c>
      <c r="BI51" s="90"/>
      <c r="BJ51" s="90"/>
      <c r="BK51" s="90"/>
      <c r="BL51" s="116"/>
      <c r="BM51" s="16">
        <f t="shared" si="12"/>
        <v>0</v>
      </c>
      <c r="BN51" s="90"/>
      <c r="BO51" s="90"/>
      <c r="BP51" s="90"/>
      <c r="BQ51" s="116"/>
      <c r="BR51" s="16">
        <f t="shared" si="13"/>
        <v>0</v>
      </c>
      <c r="BS51" s="90"/>
      <c r="BT51" s="90"/>
      <c r="BU51" s="90"/>
      <c r="BV51" s="116"/>
      <c r="BW51" s="16">
        <f t="shared" si="14"/>
        <v>0</v>
      </c>
      <c r="BX51" s="90"/>
      <c r="BY51" s="90"/>
      <c r="BZ51" s="90"/>
      <c r="CA51" s="116"/>
      <c r="CB51" s="16">
        <f t="shared" si="15"/>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49"/>
        <v>0</v>
      </c>
      <c r="BD52" s="90"/>
      <c r="BE52" s="90"/>
      <c r="BF52" s="90"/>
      <c r="BG52" s="116"/>
      <c r="BH52" s="16">
        <f t="shared" si="11"/>
        <v>0</v>
      </c>
      <c r="BI52" s="90"/>
      <c r="BJ52" s="90"/>
      <c r="BK52" s="90"/>
      <c r="BL52" s="116"/>
      <c r="BM52" s="16">
        <f t="shared" si="12"/>
        <v>0</v>
      </c>
      <c r="BN52" s="90"/>
      <c r="BO52" s="90"/>
      <c r="BP52" s="90"/>
      <c r="BQ52" s="116"/>
      <c r="BR52" s="16">
        <f t="shared" si="13"/>
        <v>0</v>
      </c>
      <c r="BS52" s="90"/>
      <c r="BT52" s="90"/>
      <c r="BU52" s="90"/>
      <c r="BV52" s="116"/>
      <c r="BW52" s="16">
        <f t="shared" si="14"/>
        <v>0</v>
      </c>
      <c r="BX52" s="90"/>
      <c r="BY52" s="90"/>
      <c r="BZ52" s="90"/>
      <c r="CA52" s="116"/>
      <c r="CB52" s="16">
        <f t="shared" si="15"/>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49"/>
        <v>0</v>
      </c>
      <c r="BD53" s="90"/>
      <c r="BE53" s="90"/>
      <c r="BF53" s="90"/>
      <c r="BG53" s="116"/>
      <c r="BH53" s="16">
        <f t="shared" si="11"/>
        <v>0</v>
      </c>
      <c r="BI53" s="90"/>
      <c r="BJ53" s="90"/>
      <c r="BK53" s="90"/>
      <c r="BL53" s="116"/>
      <c r="BM53" s="16">
        <f t="shared" si="12"/>
        <v>0</v>
      </c>
      <c r="BN53" s="90"/>
      <c r="BO53" s="90"/>
      <c r="BP53" s="90"/>
      <c r="BQ53" s="116"/>
      <c r="BR53" s="16">
        <f t="shared" si="13"/>
        <v>0</v>
      </c>
      <c r="BS53" s="90"/>
      <c r="BT53" s="90"/>
      <c r="BU53" s="90"/>
      <c r="BV53" s="116"/>
      <c r="BW53" s="16">
        <f t="shared" si="14"/>
        <v>0</v>
      </c>
      <c r="BX53" s="90"/>
      <c r="BY53" s="90"/>
      <c r="BZ53" s="90"/>
      <c r="CA53" s="116"/>
      <c r="CB53" s="16">
        <f t="shared" si="15"/>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49"/>
        <v>0</v>
      </c>
      <c r="BD54" s="90"/>
      <c r="BE54" s="90"/>
      <c r="BF54" s="90"/>
      <c r="BG54" s="116"/>
      <c r="BH54" s="16">
        <f t="shared" si="11"/>
        <v>0</v>
      </c>
      <c r="BI54" s="90"/>
      <c r="BJ54" s="90"/>
      <c r="BK54" s="90"/>
      <c r="BL54" s="116"/>
      <c r="BM54" s="16">
        <f t="shared" si="12"/>
        <v>0</v>
      </c>
      <c r="BN54" s="90"/>
      <c r="BO54" s="90"/>
      <c r="BP54" s="90"/>
      <c r="BQ54" s="116"/>
      <c r="BR54" s="16">
        <f t="shared" si="13"/>
        <v>0</v>
      </c>
      <c r="BS54" s="90"/>
      <c r="BT54" s="90"/>
      <c r="BU54" s="90"/>
      <c r="BV54" s="116"/>
      <c r="BW54" s="16">
        <f t="shared" si="14"/>
        <v>0</v>
      </c>
      <c r="BX54" s="90"/>
      <c r="BY54" s="90"/>
      <c r="BZ54" s="90"/>
      <c r="CA54" s="116"/>
      <c r="CB54" s="16">
        <f t="shared" si="15"/>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49"/>
        <v>0</v>
      </c>
      <c r="BD55" s="90"/>
      <c r="BE55" s="90"/>
      <c r="BF55" s="90"/>
      <c r="BG55" s="116"/>
      <c r="BH55" s="16">
        <f t="shared" si="11"/>
        <v>0</v>
      </c>
      <c r="BI55" s="90"/>
      <c r="BJ55" s="90"/>
      <c r="BK55" s="90"/>
      <c r="BL55" s="116"/>
      <c r="BM55" s="16">
        <f t="shared" si="12"/>
        <v>0</v>
      </c>
      <c r="BN55" s="90"/>
      <c r="BO55" s="90"/>
      <c r="BP55" s="90"/>
      <c r="BQ55" s="116"/>
      <c r="BR55" s="16">
        <f t="shared" si="13"/>
        <v>0</v>
      </c>
      <c r="BS55" s="90"/>
      <c r="BT55" s="90"/>
      <c r="BU55" s="90"/>
      <c r="BV55" s="116"/>
      <c r="BW55" s="16">
        <f t="shared" si="14"/>
        <v>0</v>
      </c>
      <c r="BX55" s="90"/>
      <c r="BY55" s="90"/>
      <c r="BZ55" s="90"/>
      <c r="CA55" s="116"/>
      <c r="CB55" s="16">
        <f t="shared" si="15"/>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49"/>
        <v>0</v>
      </c>
      <c r="BD56" s="90"/>
      <c r="BE56" s="90"/>
      <c r="BF56" s="90"/>
      <c r="BG56" s="116"/>
      <c r="BH56" s="16">
        <f t="shared" si="11"/>
        <v>0</v>
      </c>
      <c r="BI56" s="90"/>
      <c r="BJ56" s="90"/>
      <c r="BK56" s="90"/>
      <c r="BL56" s="116"/>
      <c r="BM56" s="16">
        <f t="shared" si="12"/>
        <v>0</v>
      </c>
      <c r="BN56" s="90"/>
      <c r="BO56" s="90"/>
      <c r="BP56" s="90"/>
      <c r="BQ56" s="116"/>
      <c r="BR56" s="16">
        <f t="shared" si="13"/>
        <v>0</v>
      </c>
      <c r="BS56" s="90"/>
      <c r="BT56" s="90"/>
      <c r="BU56" s="90"/>
      <c r="BV56" s="116"/>
      <c r="BW56" s="16">
        <f t="shared" si="14"/>
        <v>0</v>
      </c>
      <c r="BX56" s="90"/>
      <c r="BY56" s="90"/>
      <c r="BZ56" s="90"/>
      <c r="CA56" s="116"/>
      <c r="CB56" s="16">
        <f t="shared" si="15"/>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49"/>
        <v>0</v>
      </c>
      <c r="BD57" s="90"/>
      <c r="BE57" s="90"/>
      <c r="BF57" s="90"/>
      <c r="BG57" s="116"/>
      <c r="BH57" s="16">
        <f t="shared" si="11"/>
        <v>0</v>
      </c>
      <c r="BI57" s="90"/>
      <c r="BJ57" s="90"/>
      <c r="BK57" s="90"/>
      <c r="BL57" s="116"/>
      <c r="BM57" s="16">
        <f t="shared" si="12"/>
        <v>0</v>
      </c>
      <c r="BN57" s="90"/>
      <c r="BO57" s="90"/>
      <c r="BP57" s="90"/>
      <c r="BQ57" s="116"/>
      <c r="BR57" s="16">
        <f t="shared" si="13"/>
        <v>0</v>
      </c>
      <c r="BS57" s="90"/>
      <c r="BT57" s="90"/>
      <c r="BU57" s="90"/>
      <c r="BV57" s="116"/>
      <c r="BW57" s="16">
        <f t="shared" si="14"/>
        <v>0</v>
      </c>
      <c r="BX57" s="90"/>
      <c r="BY57" s="90"/>
      <c r="BZ57" s="90"/>
      <c r="CA57" s="116"/>
      <c r="CB57" s="16">
        <f t="shared" si="15"/>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49"/>
        <v>0</v>
      </c>
      <c r="BD58" s="90"/>
      <c r="BE58" s="90"/>
      <c r="BF58" s="90"/>
      <c r="BG58" s="116"/>
      <c r="BH58" s="16">
        <f t="shared" si="11"/>
        <v>0</v>
      </c>
      <c r="BI58" s="90"/>
      <c r="BJ58" s="90"/>
      <c r="BK58" s="90"/>
      <c r="BL58" s="116"/>
      <c r="BM58" s="16">
        <f t="shared" si="12"/>
        <v>0</v>
      </c>
      <c r="BN58" s="90"/>
      <c r="BO58" s="90"/>
      <c r="BP58" s="90"/>
      <c r="BQ58" s="116"/>
      <c r="BR58" s="16">
        <f t="shared" si="13"/>
        <v>0</v>
      </c>
      <c r="BS58" s="90"/>
      <c r="BT58" s="90"/>
      <c r="BU58" s="90"/>
      <c r="BV58" s="116"/>
      <c r="BW58" s="16">
        <f t="shared" si="14"/>
        <v>0</v>
      </c>
      <c r="BX58" s="90"/>
      <c r="BY58" s="90"/>
      <c r="BZ58" s="90"/>
      <c r="CA58" s="116"/>
      <c r="CB58" s="16">
        <f t="shared" si="15"/>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49"/>
        <v>0</v>
      </c>
      <c r="BD59" s="90"/>
      <c r="BE59" s="90"/>
      <c r="BF59" s="90"/>
      <c r="BG59" s="116"/>
      <c r="BH59" s="16">
        <f t="shared" si="11"/>
        <v>0</v>
      </c>
      <c r="BI59" s="90"/>
      <c r="BJ59" s="90"/>
      <c r="BK59" s="90"/>
      <c r="BL59" s="116"/>
      <c r="BM59" s="16">
        <f t="shared" si="12"/>
        <v>0</v>
      </c>
      <c r="BN59" s="90"/>
      <c r="BO59" s="90"/>
      <c r="BP59" s="90"/>
      <c r="BQ59" s="116"/>
      <c r="BR59" s="16">
        <f t="shared" si="13"/>
        <v>0</v>
      </c>
      <c r="BS59" s="90"/>
      <c r="BT59" s="90"/>
      <c r="BU59" s="90"/>
      <c r="BV59" s="116"/>
      <c r="BW59" s="16">
        <f t="shared" si="14"/>
        <v>0</v>
      </c>
      <c r="BX59" s="90"/>
      <c r="BY59" s="90"/>
      <c r="BZ59" s="90"/>
      <c r="CA59" s="116"/>
      <c r="CB59" s="16">
        <f t="shared" si="15"/>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49"/>
        <v>0</v>
      </c>
      <c r="BD60" s="90"/>
      <c r="BE60" s="90"/>
      <c r="BF60" s="90"/>
      <c r="BG60" s="116"/>
      <c r="BH60" s="16">
        <f t="shared" si="11"/>
        <v>0</v>
      </c>
      <c r="BI60" s="90"/>
      <c r="BJ60" s="90"/>
      <c r="BK60" s="90"/>
      <c r="BL60" s="116"/>
      <c r="BM60" s="16">
        <f t="shared" si="12"/>
        <v>0</v>
      </c>
      <c r="BN60" s="90"/>
      <c r="BO60" s="90"/>
      <c r="BP60" s="90"/>
      <c r="BQ60" s="116"/>
      <c r="BR60" s="16">
        <f t="shared" si="13"/>
        <v>0</v>
      </c>
      <c r="BS60" s="90"/>
      <c r="BT60" s="90"/>
      <c r="BU60" s="90"/>
      <c r="BV60" s="116"/>
      <c r="BW60" s="16">
        <f t="shared" si="14"/>
        <v>0</v>
      </c>
      <c r="BX60" s="90"/>
      <c r="BY60" s="90"/>
      <c r="BZ60" s="90"/>
      <c r="CA60" s="116"/>
      <c r="CB60" s="16">
        <f t="shared" si="15"/>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49"/>
        <v>0</v>
      </c>
      <c r="BD61" s="90"/>
      <c r="BE61" s="90"/>
      <c r="BF61" s="90"/>
      <c r="BG61" s="116"/>
      <c r="BH61" s="16">
        <f t="shared" si="11"/>
        <v>0</v>
      </c>
      <c r="BI61" s="90"/>
      <c r="BJ61" s="90"/>
      <c r="BK61" s="90"/>
      <c r="BL61" s="116"/>
      <c r="BM61" s="16">
        <f t="shared" si="12"/>
        <v>0</v>
      </c>
      <c r="BN61" s="90"/>
      <c r="BO61" s="90"/>
      <c r="BP61" s="90"/>
      <c r="BQ61" s="116"/>
      <c r="BR61" s="16">
        <f t="shared" si="13"/>
        <v>0</v>
      </c>
      <c r="BS61" s="90"/>
      <c r="BT61" s="90"/>
      <c r="BU61" s="90"/>
      <c r="BV61" s="116"/>
      <c r="BW61" s="16">
        <f t="shared" si="14"/>
        <v>0</v>
      </c>
      <c r="BX61" s="90"/>
      <c r="BY61" s="90"/>
      <c r="BZ61" s="90"/>
      <c r="CA61" s="116"/>
      <c r="CB61" s="16">
        <f t="shared" si="15"/>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49"/>
        <v>0</v>
      </c>
      <c r="BD62" s="90"/>
      <c r="BE62" s="90"/>
      <c r="BF62" s="90"/>
      <c r="BG62" s="116"/>
      <c r="BH62" s="16">
        <f t="shared" si="11"/>
        <v>0</v>
      </c>
      <c r="BI62" s="90"/>
      <c r="BJ62" s="90"/>
      <c r="BK62" s="90"/>
      <c r="BL62" s="116"/>
      <c r="BM62" s="16">
        <f t="shared" si="12"/>
        <v>0</v>
      </c>
      <c r="BN62" s="90"/>
      <c r="BO62" s="90"/>
      <c r="BP62" s="90"/>
      <c r="BQ62" s="116"/>
      <c r="BR62" s="16">
        <f t="shared" si="13"/>
        <v>0</v>
      </c>
      <c r="BS62" s="90"/>
      <c r="BT62" s="90"/>
      <c r="BU62" s="90"/>
      <c r="BV62" s="116"/>
      <c r="BW62" s="16">
        <f t="shared" si="14"/>
        <v>0</v>
      </c>
      <c r="BX62" s="90"/>
      <c r="BY62" s="90"/>
      <c r="BZ62" s="90"/>
      <c r="CA62" s="116"/>
      <c r="CB62" s="16">
        <f t="shared" si="15"/>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49"/>
        <v>0</v>
      </c>
      <c r="BD63" s="90"/>
      <c r="BE63" s="90"/>
      <c r="BF63" s="90"/>
      <c r="BG63" s="116"/>
      <c r="BH63" s="16">
        <f t="shared" si="11"/>
        <v>0</v>
      </c>
      <c r="BI63" s="90"/>
      <c r="BJ63" s="90"/>
      <c r="BK63" s="90"/>
      <c r="BL63" s="116"/>
      <c r="BM63" s="16">
        <f t="shared" si="12"/>
        <v>0</v>
      </c>
      <c r="BN63" s="90"/>
      <c r="BO63" s="90"/>
      <c r="BP63" s="90"/>
      <c r="BQ63" s="116"/>
      <c r="BR63" s="16">
        <f t="shared" si="13"/>
        <v>0</v>
      </c>
      <c r="BS63" s="90"/>
      <c r="BT63" s="90"/>
      <c r="BU63" s="90"/>
      <c r="BV63" s="116"/>
      <c r="BW63" s="16">
        <f t="shared" si="14"/>
        <v>0</v>
      </c>
      <c r="BX63" s="90"/>
      <c r="BY63" s="90"/>
      <c r="BZ63" s="90"/>
      <c r="CA63" s="116"/>
      <c r="CB63" s="16">
        <f t="shared" si="15"/>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49"/>
        <v>0</v>
      </c>
      <c r="BD64" s="90"/>
      <c r="BE64" s="90"/>
      <c r="BF64" s="90"/>
      <c r="BG64" s="116"/>
      <c r="BH64" s="16">
        <f t="shared" si="11"/>
        <v>0</v>
      </c>
      <c r="BI64" s="90"/>
      <c r="BJ64" s="90"/>
      <c r="BK64" s="90"/>
      <c r="BL64" s="116"/>
      <c r="BM64" s="16">
        <f t="shared" si="12"/>
        <v>0</v>
      </c>
      <c r="BN64" s="90"/>
      <c r="BO64" s="90"/>
      <c r="BP64" s="90"/>
      <c r="BQ64" s="116"/>
      <c r="BR64" s="16">
        <f t="shared" si="13"/>
        <v>0</v>
      </c>
      <c r="BS64" s="90"/>
      <c r="BT64" s="90"/>
      <c r="BU64" s="90"/>
      <c r="BV64" s="116"/>
      <c r="BW64" s="16">
        <f t="shared" si="14"/>
        <v>0</v>
      </c>
      <c r="BX64" s="90"/>
      <c r="BY64" s="90"/>
      <c r="BZ64" s="90"/>
      <c r="CA64" s="116"/>
      <c r="CB64" s="16">
        <f t="shared" si="15"/>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49"/>
        <v>0</v>
      </c>
      <c r="BD65" s="90"/>
      <c r="BE65" s="90"/>
      <c r="BF65" s="90"/>
      <c r="BG65" s="116"/>
      <c r="BH65" s="16">
        <f t="shared" si="11"/>
        <v>0</v>
      </c>
      <c r="BI65" s="90"/>
      <c r="BJ65" s="90"/>
      <c r="BK65" s="90"/>
      <c r="BL65" s="116"/>
      <c r="BM65" s="16">
        <f t="shared" si="12"/>
        <v>0</v>
      </c>
      <c r="BN65" s="90"/>
      <c r="BO65" s="90"/>
      <c r="BP65" s="90"/>
      <c r="BQ65" s="116"/>
      <c r="BR65" s="16">
        <f t="shared" si="13"/>
        <v>0</v>
      </c>
      <c r="BS65" s="90"/>
      <c r="BT65" s="90"/>
      <c r="BU65" s="90"/>
      <c r="BV65" s="116"/>
      <c r="BW65" s="16">
        <f t="shared" si="14"/>
        <v>0</v>
      </c>
      <c r="BX65" s="90"/>
      <c r="BY65" s="90"/>
      <c r="BZ65" s="90"/>
      <c r="CA65" s="116"/>
      <c r="CB65" s="16">
        <f t="shared" si="15"/>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49"/>
        <v>0</v>
      </c>
      <c r="BD66" s="90"/>
      <c r="BE66" s="90"/>
      <c r="BF66" s="90"/>
      <c r="BG66" s="116"/>
      <c r="BH66" s="16">
        <f t="shared" si="11"/>
        <v>0</v>
      </c>
      <c r="BI66" s="90"/>
      <c r="BJ66" s="90"/>
      <c r="BK66" s="90"/>
      <c r="BL66" s="116"/>
      <c r="BM66" s="16">
        <f t="shared" si="12"/>
        <v>0</v>
      </c>
      <c r="BN66" s="90"/>
      <c r="BO66" s="90"/>
      <c r="BP66" s="90"/>
      <c r="BQ66" s="116"/>
      <c r="BR66" s="16">
        <f t="shared" si="13"/>
        <v>0</v>
      </c>
      <c r="BS66" s="90"/>
      <c r="BT66" s="90"/>
      <c r="BU66" s="90"/>
      <c r="BV66" s="116"/>
      <c r="BW66" s="16">
        <f t="shared" si="14"/>
        <v>0</v>
      </c>
      <c r="BX66" s="90"/>
      <c r="BY66" s="90"/>
      <c r="BZ66" s="90"/>
      <c r="CA66" s="116"/>
      <c r="CB66" s="16">
        <f t="shared" si="15"/>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49"/>
        <v>0</v>
      </c>
      <c r="BD67" s="90"/>
      <c r="BE67" s="90"/>
      <c r="BF67" s="90"/>
      <c r="BG67" s="116"/>
      <c r="BH67" s="16">
        <f t="shared" si="11"/>
        <v>0</v>
      </c>
      <c r="BI67" s="90"/>
      <c r="BJ67" s="90"/>
      <c r="BK67" s="90"/>
      <c r="BL67" s="116"/>
      <c r="BM67" s="16">
        <f t="shared" si="12"/>
        <v>0</v>
      </c>
      <c r="BN67" s="90"/>
      <c r="BO67" s="90"/>
      <c r="BP67" s="90"/>
      <c r="BQ67" s="116"/>
      <c r="BR67" s="16">
        <f t="shared" si="13"/>
        <v>0</v>
      </c>
      <c r="BS67" s="90"/>
      <c r="BT67" s="90"/>
      <c r="BU67" s="90"/>
      <c r="BV67" s="116"/>
      <c r="BW67" s="16">
        <f t="shared" si="14"/>
        <v>0</v>
      </c>
      <c r="BX67" s="90"/>
      <c r="BY67" s="90"/>
      <c r="BZ67" s="90"/>
      <c r="CA67" s="116"/>
      <c r="CB67" s="16">
        <f t="shared" si="15"/>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49"/>
        <v>0</v>
      </c>
      <c r="BD68" s="90"/>
      <c r="BE68" s="90"/>
      <c r="BF68" s="90"/>
      <c r="BG68" s="116"/>
      <c r="BH68" s="16">
        <f t="shared" si="11"/>
        <v>0</v>
      </c>
      <c r="BI68" s="90"/>
      <c r="BJ68" s="90"/>
      <c r="BK68" s="90"/>
      <c r="BL68" s="116"/>
      <c r="BM68" s="16">
        <f t="shared" si="12"/>
        <v>0</v>
      </c>
      <c r="BN68" s="90"/>
      <c r="BO68" s="90"/>
      <c r="BP68" s="90"/>
      <c r="BQ68" s="116"/>
      <c r="BR68" s="16">
        <f t="shared" si="13"/>
        <v>0</v>
      </c>
      <c r="BS68" s="90"/>
      <c r="BT68" s="90"/>
      <c r="BU68" s="90"/>
      <c r="BV68" s="116"/>
      <c r="BW68" s="16">
        <f t="shared" si="14"/>
        <v>0</v>
      </c>
      <c r="BX68" s="90"/>
      <c r="BY68" s="90"/>
      <c r="BZ68" s="90"/>
      <c r="CA68" s="116"/>
      <c r="CB68" s="16">
        <f t="shared" si="15"/>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49"/>
        <v>0</v>
      </c>
      <c r="BD69" s="90"/>
      <c r="BE69" s="90"/>
      <c r="BF69" s="90"/>
      <c r="BG69" s="116"/>
      <c r="BH69" s="16">
        <f t="shared" si="11"/>
        <v>0</v>
      </c>
      <c r="BI69" s="90"/>
      <c r="BJ69" s="90"/>
      <c r="BK69" s="90"/>
      <c r="BL69" s="116"/>
      <c r="BM69" s="16">
        <f t="shared" si="12"/>
        <v>0</v>
      </c>
      <c r="BN69" s="90"/>
      <c r="BO69" s="90"/>
      <c r="BP69" s="90"/>
      <c r="BQ69" s="116"/>
      <c r="BR69" s="16">
        <f t="shared" si="13"/>
        <v>0</v>
      </c>
      <c r="BS69" s="90"/>
      <c r="BT69" s="90"/>
      <c r="BU69" s="90"/>
      <c r="BV69" s="116"/>
      <c r="BW69" s="16">
        <f t="shared" si="14"/>
        <v>0</v>
      </c>
      <c r="BX69" s="90"/>
      <c r="BY69" s="90"/>
      <c r="BZ69" s="90"/>
      <c r="CA69" s="116"/>
      <c r="CB69" s="16">
        <f t="shared" si="15"/>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49"/>
        <v>0</v>
      </c>
      <c r="BD70" s="90"/>
      <c r="BE70" s="90"/>
      <c r="BF70" s="90"/>
      <c r="BG70" s="116"/>
      <c r="BH70" s="16">
        <f t="shared" si="11"/>
        <v>0</v>
      </c>
      <c r="BI70" s="90"/>
      <c r="BJ70" s="90"/>
      <c r="BK70" s="90"/>
      <c r="BL70" s="116"/>
      <c r="BM70" s="16">
        <f t="shared" si="12"/>
        <v>0</v>
      </c>
      <c r="BN70" s="90"/>
      <c r="BO70" s="90"/>
      <c r="BP70" s="90"/>
      <c r="BQ70" s="116"/>
      <c r="BR70" s="16">
        <f t="shared" si="13"/>
        <v>0</v>
      </c>
      <c r="BS70" s="90"/>
      <c r="BT70" s="90"/>
      <c r="BU70" s="90"/>
      <c r="BV70" s="116"/>
      <c r="BW70" s="16">
        <f t="shared" si="14"/>
        <v>0</v>
      </c>
      <c r="BX70" s="90"/>
      <c r="BY70" s="90"/>
      <c r="BZ70" s="90"/>
      <c r="CA70" s="116"/>
      <c r="CB70" s="16">
        <f t="shared" si="15"/>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49"/>
        <v>0</v>
      </c>
      <c r="BD71" s="90"/>
      <c r="BE71" s="90"/>
      <c r="BF71" s="90"/>
      <c r="BG71" s="116"/>
      <c r="BH71" s="16">
        <f t="shared" si="11"/>
        <v>0</v>
      </c>
      <c r="BI71" s="90"/>
      <c r="BJ71" s="90"/>
      <c r="BK71" s="90"/>
      <c r="BL71" s="116"/>
      <c r="BM71" s="16">
        <f t="shared" si="12"/>
        <v>0</v>
      </c>
      <c r="BN71" s="90"/>
      <c r="BO71" s="90"/>
      <c r="BP71" s="90"/>
      <c r="BQ71" s="116"/>
      <c r="BR71" s="16">
        <f t="shared" si="13"/>
        <v>0</v>
      </c>
      <c r="BS71" s="90"/>
      <c r="BT71" s="90"/>
      <c r="BU71" s="90"/>
      <c r="BV71" s="116"/>
      <c r="BW71" s="16">
        <f t="shared" si="14"/>
        <v>0</v>
      </c>
      <c r="BX71" s="90"/>
      <c r="BY71" s="90"/>
      <c r="BZ71" s="90"/>
      <c r="CA71" s="116"/>
      <c r="CB71" s="16">
        <f t="shared" si="15"/>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49"/>
        <v>0</v>
      </c>
      <c r="BD72" s="90"/>
      <c r="BE72" s="90"/>
      <c r="BF72" s="90"/>
      <c r="BG72" s="116"/>
      <c r="BH72" s="16">
        <f t="shared" si="11"/>
        <v>0</v>
      </c>
      <c r="BI72" s="90"/>
      <c r="BJ72" s="90"/>
      <c r="BK72" s="90"/>
      <c r="BL72" s="116"/>
      <c r="BM72" s="16">
        <f t="shared" si="12"/>
        <v>0</v>
      </c>
      <c r="BN72" s="90"/>
      <c r="BO72" s="90"/>
      <c r="BP72" s="90"/>
      <c r="BQ72" s="116"/>
      <c r="BR72" s="16">
        <f t="shared" si="13"/>
        <v>0</v>
      </c>
      <c r="BS72" s="90"/>
      <c r="BT72" s="90"/>
      <c r="BU72" s="90"/>
      <c r="BV72" s="116"/>
      <c r="BW72" s="16">
        <f t="shared" si="14"/>
        <v>0</v>
      </c>
      <c r="BX72" s="90"/>
      <c r="BY72" s="90"/>
      <c r="BZ72" s="90"/>
      <c r="CA72" s="116"/>
      <c r="CB72" s="16">
        <f t="shared" si="15"/>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49"/>
        <v>0</v>
      </c>
      <c r="BD73" s="90"/>
      <c r="BE73" s="90"/>
      <c r="BF73" s="90"/>
      <c r="BG73" s="116"/>
      <c r="BH73" s="16">
        <f t="shared" si="11"/>
        <v>0</v>
      </c>
      <c r="BI73" s="90"/>
      <c r="BJ73" s="90"/>
      <c r="BK73" s="90"/>
      <c r="BL73" s="116"/>
      <c r="BM73" s="16">
        <f t="shared" si="12"/>
        <v>0</v>
      </c>
      <c r="BN73" s="90"/>
      <c r="BO73" s="90"/>
      <c r="BP73" s="90"/>
      <c r="BQ73" s="116"/>
      <c r="BR73" s="16">
        <f t="shared" si="13"/>
        <v>0</v>
      </c>
      <c r="BS73" s="90"/>
      <c r="BT73" s="90"/>
      <c r="BU73" s="90"/>
      <c r="BV73" s="116"/>
      <c r="BW73" s="16">
        <f t="shared" si="14"/>
        <v>0</v>
      </c>
      <c r="BX73" s="90"/>
      <c r="BY73" s="90"/>
      <c r="BZ73" s="90"/>
      <c r="CA73" s="116"/>
      <c r="CB73" s="16">
        <f t="shared" si="15"/>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49"/>
        <v>0</v>
      </c>
      <c r="BD74" s="90"/>
      <c r="BE74" s="90"/>
      <c r="BF74" s="90"/>
      <c r="BG74" s="116"/>
      <c r="BH74" s="16">
        <f t="shared" si="11"/>
        <v>0</v>
      </c>
      <c r="BI74" s="90"/>
      <c r="BJ74" s="90"/>
      <c r="BK74" s="90"/>
      <c r="BL74" s="116"/>
      <c r="BM74" s="16">
        <f t="shared" si="12"/>
        <v>0</v>
      </c>
      <c r="BN74" s="90"/>
      <c r="BO74" s="90"/>
      <c r="BP74" s="90"/>
      <c r="BQ74" s="116"/>
      <c r="BR74" s="16">
        <f t="shared" si="13"/>
        <v>0</v>
      </c>
      <c r="BS74" s="90"/>
      <c r="BT74" s="90"/>
      <c r="BU74" s="90"/>
      <c r="BV74" s="116"/>
      <c r="BW74" s="16">
        <f t="shared" si="14"/>
        <v>0</v>
      </c>
      <c r="BX74" s="90"/>
      <c r="BY74" s="90"/>
      <c r="BZ74" s="90"/>
      <c r="CA74" s="116"/>
      <c r="CB74" s="16">
        <f t="shared" si="15"/>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8" priority="196">
      <formula>IF(A25&gt;0,A25&lt;20)</formula>
    </cfRule>
  </conditionalFormatting>
  <conditionalFormatting sqref="F20:F208">
    <cfRule type="expression" dxfId="1577" priority="77">
      <formula>IF(F20&gt;0,F20&lt;20)</formula>
    </cfRule>
  </conditionalFormatting>
  <conditionalFormatting sqref="K22:K208">
    <cfRule type="expression" dxfId="1576" priority="76">
      <formula>IF(K22&gt;0,K22&lt;20)</formula>
    </cfRule>
  </conditionalFormatting>
  <conditionalFormatting sqref="P14:P208">
    <cfRule type="expression" dxfId="1575" priority="75">
      <formula>IF(P14&gt;0,P14&lt;20)</formula>
    </cfRule>
  </conditionalFormatting>
  <conditionalFormatting sqref="U22:U208">
    <cfRule type="expression" dxfId="1574" priority="74">
      <formula>IF(U22&gt;0,U22&lt;20)</formula>
    </cfRule>
  </conditionalFormatting>
  <conditionalFormatting sqref="Z17:Z208">
    <cfRule type="expression" dxfId="1573" priority="73">
      <formula>IF(Z17&gt;0,Z17&lt;20)</formula>
    </cfRule>
  </conditionalFormatting>
  <conditionalFormatting sqref="AE15:AE208">
    <cfRule type="expression" dxfId="1572" priority="72">
      <formula>IF(AE15&gt;0,AE15&lt;20)</formula>
    </cfRule>
  </conditionalFormatting>
  <conditionalFormatting sqref="AJ25:AJ208">
    <cfRule type="expression" dxfId="1571" priority="71">
      <formula>IF(AJ25&gt;0,AJ25&lt;20)</formula>
    </cfRule>
  </conditionalFormatting>
  <conditionalFormatting sqref="AO16:AO208">
    <cfRule type="expression" dxfId="1570" priority="70">
      <formula>IF(AO16&gt;0,AO16&lt;20)</formula>
    </cfRule>
  </conditionalFormatting>
  <conditionalFormatting sqref="AT14:AT208">
    <cfRule type="expression" dxfId="1569" priority="69">
      <formula>IF(AT14&gt;0,AT14&lt;20)</formula>
    </cfRule>
  </conditionalFormatting>
  <conditionalFormatting sqref="AY9:AY208">
    <cfRule type="expression" dxfId="1568" priority="68">
      <formula>IF(AY9&gt;0,AY9&lt;20)</formula>
    </cfRule>
  </conditionalFormatting>
  <conditionalFormatting sqref="BD9:BD208">
    <cfRule type="expression" dxfId="1567" priority="67">
      <formula>IF(BD9&gt;0,BD9&lt;20)</formula>
    </cfRule>
  </conditionalFormatting>
  <conditionalFormatting sqref="BI9:BI208">
    <cfRule type="expression" dxfId="1566" priority="66">
      <formula>IF(BI9&gt;0,BI9&lt;20)</formula>
    </cfRule>
  </conditionalFormatting>
  <conditionalFormatting sqref="BN9:BN208">
    <cfRule type="expression" dxfId="1565" priority="65">
      <formula>IF(BN9&gt;0,BN9&lt;20)</formula>
    </cfRule>
  </conditionalFormatting>
  <conditionalFormatting sqref="BS9:BS208">
    <cfRule type="expression" dxfId="1564" priority="64">
      <formula>IF(BS9&gt;0,BS9&lt;20)</formula>
    </cfRule>
  </conditionalFormatting>
  <conditionalFormatting sqref="BX9:BX208">
    <cfRule type="expression" dxfId="1563" priority="63">
      <formula>IF(BX9&gt;0,BX9&lt;20)</formula>
    </cfRule>
  </conditionalFormatting>
  <conditionalFormatting sqref="CC9:CC208">
    <cfRule type="expression" dxfId="1562" priority="62">
      <formula>IF(CC9&gt;0,CC9&lt;20)</formula>
    </cfRule>
  </conditionalFormatting>
  <conditionalFormatting sqref="CH9:CH208">
    <cfRule type="expression" dxfId="1561" priority="61">
      <formula>IF(CH9&gt;0,CH9&lt;20)</formula>
    </cfRule>
  </conditionalFormatting>
  <conditionalFormatting sqref="CM9:CM208">
    <cfRule type="expression" dxfId="1560" priority="60">
      <formula>IF(CM9&gt;0,CM9&lt;20)</formula>
    </cfRule>
  </conditionalFormatting>
  <conditionalFormatting sqref="CR9:CR208">
    <cfRule type="expression" dxfId="1559" priority="59">
      <formula>IF(CR9&gt;0,CR9&lt;20)</formula>
    </cfRule>
  </conditionalFormatting>
  <conditionalFormatting sqref="CW9:CW208">
    <cfRule type="expression" dxfId="1558" priority="58">
      <formula>IF(CW9&gt;0,CW9&lt;20)</formula>
    </cfRule>
  </conditionalFormatting>
  <conditionalFormatting sqref="DB9:DB208">
    <cfRule type="expression" dxfId="1557" priority="57">
      <formula>IF(DB9&gt;0,DB9&lt;20)</formula>
    </cfRule>
  </conditionalFormatting>
  <conditionalFormatting sqref="DG9:DG208">
    <cfRule type="expression" dxfId="1556" priority="56">
      <formula>IF(DG9&gt;0,DG9&lt;20)</formula>
    </cfRule>
  </conditionalFormatting>
  <conditionalFormatting sqref="DL9:DL208">
    <cfRule type="expression" dxfId="1555" priority="55">
      <formula>IF(DL9&gt;0,DL9&lt;20)</formula>
    </cfRule>
  </conditionalFormatting>
  <conditionalFormatting sqref="DQ9:DQ208">
    <cfRule type="expression" dxfId="1554" priority="54">
      <formula>IF(DQ9&gt;0,DQ9&lt;20)</formula>
    </cfRule>
  </conditionalFormatting>
  <conditionalFormatting sqref="DV9:DV208">
    <cfRule type="expression" dxfId="1553" priority="53">
      <formula>IF(DV9&gt;0,DV9&lt;20)</formula>
    </cfRule>
  </conditionalFormatting>
  <conditionalFormatting sqref="EA9:EA208">
    <cfRule type="expression" dxfId="1552" priority="52">
      <formula>IF(EA9&gt;0,EA9&lt;20)</formula>
    </cfRule>
  </conditionalFormatting>
  <conditionalFormatting sqref="EF9:EF208">
    <cfRule type="expression" dxfId="1551" priority="51">
      <formula>IF(EF9&gt;0,EF9&lt;20)</formula>
    </cfRule>
  </conditionalFormatting>
  <conditionalFormatting sqref="EK9:EK208">
    <cfRule type="expression" dxfId="1550" priority="50">
      <formula>IF(EK9&gt;0,EK9&lt;20)</formula>
    </cfRule>
  </conditionalFormatting>
  <conditionalFormatting sqref="EP9:EP208">
    <cfRule type="expression" dxfId="1549" priority="49">
      <formula>IF(EP9&gt;0,EP9&lt;20)</formula>
    </cfRule>
  </conditionalFormatting>
  <conditionalFormatting sqref="EU9:EU208">
    <cfRule type="expression" dxfId="1548" priority="48">
      <formula>IF(EU9&gt;0,EU9&lt;20)</formula>
    </cfRule>
  </conditionalFormatting>
  <conditionalFormatting sqref="EZ9:EZ208">
    <cfRule type="expression" dxfId="1547" priority="47">
      <formula>IF(EZ9&gt;0,EZ9&lt;20)</formula>
    </cfRule>
  </conditionalFormatting>
  <conditionalFormatting sqref="FE9:FE208">
    <cfRule type="expression" dxfId="1546" priority="46">
      <formula>IF(FE9&gt;0,FE9&lt;20)</formula>
    </cfRule>
  </conditionalFormatting>
  <conditionalFormatting sqref="IL9:IL208">
    <cfRule type="expression" dxfId="1545" priority="29">
      <formula>IF(IL9&gt;0,IL9&lt;20)</formula>
    </cfRule>
  </conditionalFormatting>
  <conditionalFormatting sqref="FJ9:FJ208">
    <cfRule type="expression" dxfId="1544" priority="45">
      <formula>IF(FJ9&gt;0,FJ9&lt;20)</formula>
    </cfRule>
  </conditionalFormatting>
  <conditionalFormatting sqref="FO9:FO208">
    <cfRule type="expression" dxfId="1543" priority="44">
      <formula>IF(FO9&gt;0,FO9&lt;20)</formula>
    </cfRule>
  </conditionalFormatting>
  <conditionalFormatting sqref="FT9:FT208">
    <cfRule type="expression" dxfId="1542" priority="43">
      <formula>IF(FT9&gt;0,FT9&lt;20)</formula>
    </cfRule>
  </conditionalFormatting>
  <conditionalFormatting sqref="FY9:FY208">
    <cfRule type="expression" dxfId="1541" priority="42">
      <formula>IF(FY9&gt;0,FY9&lt;20)</formula>
    </cfRule>
  </conditionalFormatting>
  <conditionalFormatting sqref="GD9:GD208">
    <cfRule type="expression" dxfId="1540" priority="41">
      <formula>IF(GD9&gt;0,GD9&lt;20)</formula>
    </cfRule>
  </conditionalFormatting>
  <conditionalFormatting sqref="GI9:GI208">
    <cfRule type="expression" dxfId="1539" priority="40">
      <formula>IF(GI9&gt;0,GI9&lt;20)</formula>
    </cfRule>
  </conditionalFormatting>
  <conditionalFormatting sqref="GN9:GN208">
    <cfRule type="expression" dxfId="1538" priority="39">
      <formula>IF(GN9&gt;0,GN9&lt;20)</formula>
    </cfRule>
  </conditionalFormatting>
  <conditionalFormatting sqref="GS9:GS208">
    <cfRule type="expression" dxfId="1537" priority="38">
      <formula>IF(GS9&gt;0,GS9&lt;20)</formula>
    </cfRule>
  </conditionalFormatting>
  <conditionalFormatting sqref="GX9:GX208">
    <cfRule type="expression" dxfId="1536" priority="37">
      <formula>IF(GX9&gt;0,GX9&lt;20)</formula>
    </cfRule>
  </conditionalFormatting>
  <conditionalFormatting sqref="HC9:HC208">
    <cfRule type="expression" dxfId="1535" priority="36">
      <formula>IF(HC9&gt;0,HC9&lt;20)</formula>
    </cfRule>
  </conditionalFormatting>
  <conditionalFormatting sqref="HH9:HH208">
    <cfRule type="expression" dxfId="1534" priority="35">
      <formula>IF(HH9&gt;0,HH9&lt;20)</formula>
    </cfRule>
  </conditionalFormatting>
  <conditionalFormatting sqref="HM9:HM208">
    <cfRule type="expression" dxfId="1533" priority="34">
      <formula>IF(HM9&gt;0,HM9&lt;20)</formula>
    </cfRule>
  </conditionalFormatting>
  <conditionalFormatting sqref="HR9:HR208">
    <cfRule type="expression" dxfId="1532" priority="33">
      <formula>IF(HR9&gt;0,HR9&lt;20)</formula>
    </cfRule>
  </conditionalFormatting>
  <conditionalFormatting sqref="HW9:HW208">
    <cfRule type="expression" dxfId="1531" priority="32">
      <formula>IF(HW9&gt;0,HW9&lt;20)</formula>
    </cfRule>
  </conditionalFormatting>
  <conditionalFormatting sqref="IB9:IB208">
    <cfRule type="expression" dxfId="1530" priority="31">
      <formula>IF(IB9&gt;0,IB9&lt;20)</formula>
    </cfRule>
  </conditionalFormatting>
  <conditionalFormatting sqref="IG9:IG208">
    <cfRule type="expression" dxfId="1529" priority="30">
      <formula>IF(IG9&gt;0,IG9&lt;20)</formula>
    </cfRule>
  </conditionalFormatting>
  <conditionalFormatting sqref="A19:A24">
    <cfRule type="expression" dxfId="1528" priority="27">
      <formula>IF(A19&gt;0,A19&lt;20)</formula>
    </cfRule>
  </conditionalFormatting>
  <conditionalFormatting sqref="F12:F19">
    <cfRule type="expression" dxfId="1527" priority="26">
      <formula>IF(F12&gt;0,F12&lt;20)</formula>
    </cfRule>
  </conditionalFormatting>
  <conditionalFormatting sqref="K14:K21">
    <cfRule type="expression" dxfId="1526" priority="25">
      <formula>IF(K14&gt;0,K14&lt;20)</formula>
    </cfRule>
  </conditionalFormatting>
  <conditionalFormatting sqref="P12:P13">
    <cfRule type="expression" dxfId="1525" priority="23">
      <formula>IF(P12&gt;0,P12&lt;20)</formula>
    </cfRule>
  </conditionalFormatting>
  <conditionalFormatting sqref="U10:U21">
    <cfRule type="expression" dxfId="1524" priority="22">
      <formula>IF(U10&gt;0,U10&lt;20)</formula>
    </cfRule>
  </conditionalFormatting>
  <conditionalFormatting sqref="AJ11:AJ24">
    <cfRule type="expression" dxfId="1523" priority="19">
      <formula>IF(AJ11&gt;0,AJ11&lt;20)</formula>
    </cfRule>
  </conditionalFormatting>
  <conditionalFormatting sqref="F9:F11">
    <cfRule type="expression" dxfId="1522" priority="18">
      <formula>IF(F9&gt;0,F9&lt;20)</formula>
    </cfRule>
  </conditionalFormatting>
  <conditionalFormatting sqref="K13">
    <cfRule type="expression" dxfId="1521" priority="17">
      <formula>IF(K13&gt;0,K13&lt;20)</formula>
    </cfRule>
  </conditionalFormatting>
  <conditionalFormatting sqref="K9:K12">
    <cfRule type="expression" dxfId="1520" priority="16">
      <formula>IF(K9&gt;0,K9&lt;20)</formula>
    </cfRule>
  </conditionalFormatting>
  <conditionalFormatting sqref="P9:P11">
    <cfRule type="expression" dxfId="1519" priority="15">
      <formula>IF(P9&gt;0,P9&lt;20)</formula>
    </cfRule>
  </conditionalFormatting>
  <conditionalFormatting sqref="U9">
    <cfRule type="expression" dxfId="1518" priority="14">
      <formula>IF(U9&gt;0,U9&lt;20)</formula>
    </cfRule>
  </conditionalFormatting>
  <conditionalFormatting sqref="Z9:Z16">
    <cfRule type="expression" dxfId="1517" priority="13">
      <formula>IF(Z9&gt;0,Z9&lt;20)</formula>
    </cfRule>
  </conditionalFormatting>
  <conditionalFormatting sqref="AE13:AE14">
    <cfRule type="expression" dxfId="1516" priority="12">
      <formula>IF(AE13&gt;0,AE13&lt;20)</formula>
    </cfRule>
  </conditionalFormatting>
  <conditionalFormatting sqref="AE9:AE12">
    <cfRule type="expression" dxfId="1515" priority="11">
      <formula>IF(AE9&gt;0,AE9&lt;20)</formula>
    </cfRule>
  </conditionalFormatting>
  <conditionalFormatting sqref="AJ9:AJ10">
    <cfRule type="expression" dxfId="1514" priority="10">
      <formula>IF(AJ9&gt;0,AJ9&lt;20)</formula>
    </cfRule>
  </conditionalFormatting>
  <conditionalFormatting sqref="AO9:AO15">
    <cfRule type="expression" dxfId="1513" priority="9">
      <formula>IF(AO9&gt;0,AO9&lt;20)</formula>
    </cfRule>
  </conditionalFormatting>
  <conditionalFormatting sqref="AT9:AT13">
    <cfRule type="expression" dxfId="1512" priority="8">
      <formula>IF(AT9&gt;0,AT9&lt;20)</formula>
    </cfRule>
  </conditionalFormatting>
  <conditionalFormatting sqref="A9">
    <cfRule type="expression" dxfId="1511" priority="7">
      <formula>AND(A$9&lt;&gt;"",A$9&lt;20)</formula>
    </cfRule>
  </conditionalFormatting>
  <conditionalFormatting sqref="A10:A18">
    <cfRule type="expression" dxfId="1510" priority="6">
      <formula>AND(A10&lt;&gt;"",A10&lt;20)</formula>
    </cfRule>
  </conditionalFormatting>
  <conditionalFormatting sqref="K14">
    <cfRule type="expression" dxfId="1509" priority="5">
      <formula>IF(K14&gt;0,K14&lt;20)</formula>
    </cfRule>
  </conditionalFormatting>
  <conditionalFormatting sqref="P14">
    <cfRule type="expression" dxfId="1508" priority="4">
      <formula>IF(P14&gt;0,P14&lt;20)</formula>
    </cfRule>
  </conditionalFormatting>
  <conditionalFormatting sqref="K14">
    <cfRule type="expression" dxfId="1507" priority="3">
      <formula>IF(K14&gt;0,K14&lt;20)</formula>
    </cfRule>
  </conditionalFormatting>
  <conditionalFormatting sqref="K15">
    <cfRule type="expression" dxfId="1506" priority="2">
      <formula>IF(K15&gt;0,K15&lt;20)</formula>
    </cfRule>
  </conditionalFormatting>
  <conditionalFormatting sqref="DS9:DS23">
    <cfRule type="expression" dxfId="1505" priority="1">
      <formula>IF(DS9&gt;0,DS9&lt;20)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1" zoomScaleNormal="100" workbookViewId="0">
      <selection activeCell="K676" sqref="K676"/>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732</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FA_IMPORT_A02SNQQ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108</v>
      </c>
      <c r="J6" s="317" t="s">
        <v>225</v>
      </c>
      <c r="K6" s="318"/>
      <c r="L6" s="305"/>
      <c r="M6" s="196">
        <v>2</v>
      </c>
      <c r="N6" s="35">
        <f>SUM(AI6,AI17)</f>
        <v>0</v>
      </c>
      <c r="O6" s="35">
        <v>0</v>
      </c>
      <c r="P6" s="35">
        <f>SUM(AJ6,AJ17)</f>
        <v>0</v>
      </c>
      <c r="Q6" s="35">
        <v>0</v>
      </c>
      <c r="R6" s="35">
        <f>COUNTIFS($E17:$E41,"2",$F17:$F41,"Pole",$C17:$C41,"FST")</f>
        <v>0</v>
      </c>
      <c r="S6" s="35">
        <f>SUM(AL6,AK17)</f>
        <v>0</v>
      </c>
      <c r="T6" s="35">
        <v>0</v>
      </c>
      <c r="U6" s="35">
        <f>SUM(AK6,AL17)</f>
        <v>1</v>
      </c>
      <c r="V6" s="35">
        <v>0</v>
      </c>
      <c r="W6" s="34">
        <f>COUNTIFS($E17:$E41,"2",$F17:$F41,"HH",$C17:$C41,"FST")</f>
        <v>1</v>
      </c>
      <c r="X6" s="35">
        <f>COUNTIFS($E17:$E41,"2",$F17:$F41,"Ped",$C17:$C41,"FST")</f>
        <v>0</v>
      </c>
      <c r="Y6" s="25"/>
      <c r="Z6" s="295" t="s">
        <v>226</v>
      </c>
      <c r="AA6" s="296"/>
      <c r="AB6" s="297"/>
      <c r="AC6" s="25"/>
      <c r="AD6" s="25"/>
      <c r="AH6" s="109">
        <v>2</v>
      </c>
      <c r="AI6" s="109" t="str">
        <f>IF($E7="SS",COUNTIFS($C17:$C41,"FST",$E17:$E41,"2"),"0")</f>
        <v>0</v>
      </c>
      <c r="AJ6" s="109" t="str">
        <f>IF($E7="RPX",COUNTIFS($C17:$C41,"FST",$E17:$E41,"2"),"0")</f>
        <v>0</v>
      </c>
      <c r="AK6" s="109">
        <f>IF($E7="EUC",COUNTIFS($C17:$C41,"FST",$E17:$E41,"2"),"0")</f>
        <v>1</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4" t="s">
        <v>230</v>
      </c>
      <c r="H7" s="305"/>
      <c r="I7" s="33">
        <f>E8-I6</f>
        <v>36</v>
      </c>
      <c r="J7" s="289" t="s">
        <v>231</v>
      </c>
      <c r="K7" s="290"/>
      <c r="L7" s="34">
        <f>I11</f>
        <v>757</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1" t="s">
        <v>237</v>
      </c>
      <c r="H8" s="292"/>
      <c r="I8" s="35">
        <f>IF(E8=0,0,12-(MOD(I6,12)))</f>
        <v>12</v>
      </c>
      <c r="J8" s="289" t="s">
        <v>238</v>
      </c>
      <c r="K8" s="290"/>
      <c r="L8" s="39">
        <f>I12-I6</f>
        <v>756</v>
      </c>
      <c r="M8" s="196">
        <v>6</v>
      </c>
      <c r="N8" s="35">
        <f>SUM(AI8,AI19)</f>
        <v>0</v>
      </c>
      <c r="O8" s="35">
        <v>0</v>
      </c>
      <c r="P8" s="35">
        <f>SUM(AJ8,AJ19)</f>
        <v>0</v>
      </c>
      <c r="Q8" s="35">
        <v>0</v>
      </c>
      <c r="R8" s="35">
        <f>COUNTIFS($E17:$E41,"6",$F17:$F41,"Pole",$C17:$C41,"FST")</f>
        <v>0</v>
      </c>
      <c r="S8" s="35">
        <f>SUM(AL8,AK19)</f>
        <v>0</v>
      </c>
      <c r="T8" s="35">
        <v>0</v>
      </c>
      <c r="U8" s="35">
        <f>SUM(AK8,AL19)</f>
        <v>1</v>
      </c>
      <c r="V8" s="35">
        <v>0</v>
      </c>
      <c r="W8" s="34">
        <f>COUNTIFS($E17:$E41,"6",$F17:$F41,"HH",$C17:$C41,"FST")</f>
        <v>1</v>
      </c>
      <c r="X8" s="35">
        <f>COUNTIFS($E17:$E41,"6",$F17:$F41,"Ped",$C17:$C41,"FST")</f>
        <v>0</v>
      </c>
      <c r="Y8" s="25"/>
      <c r="Z8" s="299"/>
      <c r="AA8" s="302"/>
      <c r="AB8" s="303"/>
      <c r="AC8" s="25"/>
      <c r="AD8" s="25"/>
      <c r="AH8" s="109">
        <v>6</v>
      </c>
      <c r="AI8" s="109" t="str">
        <f>IF($E7="SS",COUNTIFS($C17:$C41,"FST",$E17:$E41,"6"),"0")</f>
        <v>0</v>
      </c>
      <c r="AJ8" s="109" t="str">
        <f>IF($E7="RPX",COUNTIFS($C17:$C41,"FST",$E17:$E41,"6"),"0")</f>
        <v>0</v>
      </c>
      <c r="AK8" s="109">
        <f>IF($E7="EUC",COUNTIFS($C17:$C41,"FST",$E17:$E41,"6"),"0")</f>
        <v>1</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1" t="s">
        <v>242</v>
      </c>
      <c r="H9" s="43" t="s">
        <v>243</v>
      </c>
      <c r="I9" s="35">
        <f>IF(E9&lt;&gt;0,1,0)</f>
        <v>1</v>
      </c>
      <c r="J9" s="291" t="s">
        <v>244</v>
      </c>
      <c r="K9" s="292"/>
      <c r="L9" s="44">
        <f>'Cable Calculator'!D3</f>
        <v>1872</v>
      </c>
      <c r="M9" s="196">
        <v>8</v>
      </c>
      <c r="N9" s="35">
        <f>SUM(AI9,AI20)</f>
        <v>0</v>
      </c>
      <c r="O9" s="35">
        <v>0</v>
      </c>
      <c r="P9" s="35">
        <f>SUM(AJ9,AJ20)</f>
        <v>0</v>
      </c>
      <c r="Q9" s="35">
        <v>0</v>
      </c>
      <c r="R9" s="35">
        <f>COUNTIFS($E17:$E41,"8",$F17:$F41,"Pole",$C17:$C41,"FST")</f>
        <v>0</v>
      </c>
      <c r="S9" s="35">
        <f>SUM(AL9,AK20)</f>
        <v>0</v>
      </c>
      <c r="T9" s="35">
        <v>0</v>
      </c>
      <c r="U9" s="35">
        <f>SUM(AK9,AL20)</f>
        <v>2</v>
      </c>
      <c r="V9" s="35">
        <v>0</v>
      </c>
      <c r="W9" s="34">
        <f>COUNTIFS($E17:$E41,"8",$F17:$F41,"HH",$C17:$C41,"FST")</f>
        <v>2</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2</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757</v>
      </c>
      <c r="F10" s="88"/>
      <c r="G10" s="322"/>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1" t="s">
        <v>251</v>
      </c>
      <c r="H11" s="51" t="s">
        <v>252</v>
      </c>
      <c r="I11" s="112">
        <f>E10</f>
        <v>757</v>
      </c>
      <c r="J11" s="323" t="s">
        <v>253</v>
      </c>
      <c r="K11" s="324"/>
      <c r="L11" s="32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741</v>
      </c>
      <c r="E17" s="32">
        <v>6</v>
      </c>
      <c r="F17" s="32" t="s">
        <v>488</v>
      </c>
      <c r="G17" s="68" t="s">
        <v>277</v>
      </c>
      <c r="H17" s="69">
        <f>IF(I17=0,0,I17-(E17-1))</f>
        <v>859</v>
      </c>
      <c r="I17" s="70">
        <f>IF(E17=0,0,I12)</f>
        <v>864</v>
      </c>
      <c r="J17" s="71" t="s">
        <v>278</v>
      </c>
      <c r="K17" s="32"/>
      <c r="L17" s="233"/>
      <c r="M17" s="277" t="s">
        <v>735</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859-864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6</v>
      </c>
    </row>
    <row r="18" spans="1:53" ht="15.75" thickBot="1" x14ac:dyDescent="0.3">
      <c r="A18" s="88"/>
      <c r="B18" s="66" t="s">
        <v>279</v>
      </c>
      <c r="C18" s="67" t="s">
        <v>484</v>
      </c>
      <c r="D18" s="102" t="s">
        <v>740</v>
      </c>
      <c r="E18" s="32">
        <v>8</v>
      </c>
      <c r="F18" s="32" t="s">
        <v>488</v>
      </c>
      <c r="G18" s="68" t="s">
        <v>277</v>
      </c>
      <c r="H18" s="69">
        <f t="shared" ref="H18:H41" si="9">IF(E18=0,0,I18-(E18-1))</f>
        <v>851</v>
      </c>
      <c r="I18" s="70">
        <f t="shared" ref="I18:I41" si="10">IF(E18=0,0,H17-1)</f>
        <v>858</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851-858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2</v>
      </c>
    </row>
    <row r="19" spans="1:53" ht="15.75" thickBot="1" x14ac:dyDescent="0.3">
      <c r="A19" s="88"/>
      <c r="B19" s="74" t="s">
        <v>280</v>
      </c>
      <c r="C19" s="67" t="s">
        <v>484</v>
      </c>
      <c r="D19" s="102" t="s">
        <v>739</v>
      </c>
      <c r="E19" s="32">
        <v>2</v>
      </c>
      <c r="F19" s="32" t="s">
        <v>488</v>
      </c>
      <c r="G19" s="75" t="s">
        <v>277</v>
      </c>
      <c r="H19" s="69">
        <f t="shared" si="9"/>
        <v>849</v>
      </c>
      <c r="I19" s="70">
        <f t="shared" si="10"/>
        <v>850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849-850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833</v>
      </c>
      <c r="E20" s="32">
        <v>8</v>
      </c>
      <c r="F20" s="32" t="s">
        <v>488</v>
      </c>
      <c r="G20" s="68" t="s">
        <v>277</v>
      </c>
      <c r="H20" s="69">
        <f t="shared" si="9"/>
        <v>841</v>
      </c>
      <c r="I20" s="70">
        <f t="shared" si="10"/>
        <v>848</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0</v>
      </c>
      <c r="AE20" s="109" t="str">
        <f t="shared" si="2"/>
        <v>841-848</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84</v>
      </c>
      <c r="F21" s="32"/>
      <c r="G21" s="68" t="s">
        <v>277</v>
      </c>
      <c r="H21" s="69">
        <f t="shared" si="9"/>
        <v>757</v>
      </c>
      <c r="I21" s="70">
        <f t="shared" si="10"/>
        <v>840</v>
      </c>
      <c r="J21" s="73" t="str">
        <f t="shared" si="11"/>
        <v>--</v>
      </c>
      <c r="K21" s="32"/>
      <c r="L21" s="233"/>
      <c r="M21" s="277" t="s">
        <v>404</v>
      </c>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757-840</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109</v>
      </c>
      <c r="X28" s="84"/>
      <c r="Y28" s="78">
        <f>SUM(E17:E28)</f>
        <v>108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109</v>
      </c>
      <c r="X29" s="84"/>
      <c r="Y29" s="78">
        <f>SUM(E17:E29)</f>
        <v>108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109</v>
      </c>
      <c r="X30" s="84"/>
      <c r="Y30" s="78">
        <f>SUM(E17:E30)</f>
        <v>108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109</v>
      </c>
      <c r="X31" s="84"/>
      <c r="Y31" s="78">
        <f>SUM(E17:E31)</f>
        <v>108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9" t="s">
        <v>303</v>
      </c>
      <c r="C42" s="320"/>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21</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2" t="s">
        <v>222</v>
      </c>
      <c r="C47" s="313"/>
      <c r="D47" s="314" t="s">
        <v>223</v>
      </c>
      <c r="E47" s="305"/>
      <c r="F47" s="88"/>
      <c r="G47" s="315" t="s">
        <v>224</v>
      </c>
      <c r="H47" s="316"/>
      <c r="I47" s="28">
        <f>SUM(E58:E82)</f>
        <v>84</v>
      </c>
      <c r="J47" s="317" t="s">
        <v>225</v>
      </c>
      <c r="K47" s="318"/>
      <c r="L47" s="305"/>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4" t="s">
        <v>230</v>
      </c>
      <c r="H48" s="305"/>
      <c r="I48" s="33">
        <f>E49-I47</f>
        <v>60</v>
      </c>
      <c r="J48" s="289" t="s">
        <v>231</v>
      </c>
      <c r="K48" s="290"/>
      <c r="L48" s="34">
        <f>I52</f>
        <v>757</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291" t="s">
        <v>237</v>
      </c>
      <c r="H49" s="292"/>
      <c r="I49" s="35">
        <f>IF(E49=0,0,12-(MOD(I47,12)))</f>
        <v>12</v>
      </c>
      <c r="J49" s="289" t="s">
        <v>238</v>
      </c>
      <c r="K49" s="290"/>
      <c r="L49" s="39">
        <f>I53-I47</f>
        <v>756</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60</v>
      </c>
      <c r="F50" s="88"/>
      <c r="G50" s="321" t="s">
        <v>242</v>
      </c>
      <c r="H50" s="43" t="s">
        <v>243</v>
      </c>
      <c r="I50" s="35">
        <f>IF(E50&lt;&gt;0,1,0)</f>
        <v>1</v>
      </c>
      <c r="J50" s="291" t="s">
        <v>244</v>
      </c>
      <c r="K50" s="292"/>
      <c r="L50" s="44">
        <f>'Cable Calculator'!I3</f>
        <v>1801</v>
      </c>
      <c r="M50" s="196">
        <v>8</v>
      </c>
      <c r="N50" s="35">
        <f>SUM(AI50,AI61)</f>
        <v>0</v>
      </c>
      <c r="O50" s="35">
        <v>0</v>
      </c>
      <c r="P50" s="35">
        <f>SUM(AJ50,AJ61)</f>
        <v>0</v>
      </c>
      <c r="Q50" s="35">
        <v>0</v>
      </c>
      <c r="R50" s="35">
        <f>COUNTIFS($E58:$E82,"8",$F58:$F82,"Pole",$C58:$C82,"FST")</f>
        <v>0</v>
      </c>
      <c r="S50" s="35">
        <f>SUM(AL50,AK61)</f>
        <v>0</v>
      </c>
      <c r="T50" s="35">
        <v>0</v>
      </c>
      <c r="U50" s="35">
        <f>SUM(AK50,AL61)</f>
        <v>4</v>
      </c>
      <c r="V50" s="35">
        <v>0</v>
      </c>
      <c r="W50" s="34">
        <f>COUNTIFS($E58:$E82,"8",$F58:$F82,"HH",$C58:$C82,"FST")</f>
        <v>4</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4</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757</v>
      </c>
      <c r="F51" s="88"/>
      <c r="G51" s="322"/>
      <c r="H51" s="47" t="s">
        <v>248</v>
      </c>
      <c r="I51" s="35">
        <f>IF(E50&lt;&gt;0,E50,0)</f>
        <v>60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2</v>
      </c>
      <c r="V51" s="35">
        <f>IF($E48="EUC",SUM($AN83,AP83,AR83),"0")</f>
        <v>2</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321" t="s">
        <v>251</v>
      </c>
      <c r="H52" s="51" t="s">
        <v>252</v>
      </c>
      <c r="I52" s="112">
        <f>E51</f>
        <v>757</v>
      </c>
      <c r="J52" s="323" t="s">
        <v>253</v>
      </c>
      <c r="K52" s="324"/>
      <c r="L52" s="32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840</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84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2"/>
      <c r="C57" s="294"/>
      <c r="D57" s="294"/>
      <c r="E57" s="307"/>
      <c r="F57" s="294"/>
      <c r="G57" s="309"/>
      <c r="H57" s="309"/>
      <c r="I57" s="309"/>
      <c r="J57" s="311"/>
      <c r="K57" s="294"/>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488</v>
      </c>
      <c r="G58" s="68" t="s">
        <v>277</v>
      </c>
      <c r="H58" s="69">
        <f>IF(I58=0,0,I58-(E58-1))</f>
        <v>837</v>
      </c>
      <c r="I58" s="70">
        <f>IF(E58=0,0,I53)</f>
        <v>840</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744</v>
      </c>
      <c r="E59" s="32">
        <v>8</v>
      </c>
      <c r="F59" s="32" t="s">
        <v>488</v>
      </c>
      <c r="G59" s="68" t="s">
        <v>277</v>
      </c>
      <c r="H59" s="69">
        <f t="shared" ref="H59:H82" si="26">IF(E59=0,0,I59-(E59-1))</f>
        <v>829</v>
      </c>
      <c r="I59" s="70">
        <f t="shared" ref="I59:I82" si="27">IF(E59=0,0,H58-1)</f>
        <v>836</v>
      </c>
      <c r="J59" s="73" t="str">
        <f>IF(C59="","--",IF(AND(C59&lt;&gt;"FST",C59&lt;&gt;"TCF",BA58&lt;&gt;0),BA58,"--"))</f>
        <v>--</v>
      </c>
      <c r="K59" s="32">
        <v>1000</v>
      </c>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829-836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t="s">
        <v>484</v>
      </c>
      <c r="D60" s="102" t="s">
        <v>743</v>
      </c>
      <c r="E60" s="32">
        <v>8</v>
      </c>
      <c r="F60" s="32" t="s">
        <v>488</v>
      </c>
      <c r="G60" s="75" t="s">
        <v>277</v>
      </c>
      <c r="H60" s="69">
        <f t="shared" si="26"/>
        <v>821</v>
      </c>
      <c r="I60" s="70">
        <f t="shared" si="27"/>
        <v>828</v>
      </c>
      <c r="J60" s="73" t="str">
        <f t="shared" ref="J60:J82" si="28">IF(C60="","--",IF(AND(C60&lt;&gt;"FST",C60&lt;&gt;"TCF",BA59&lt;&gt;0),BA59,"--"))</f>
        <v>--</v>
      </c>
      <c r="K60" s="32">
        <v>500</v>
      </c>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821-828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8</v>
      </c>
      <c r="F61" s="32" t="s">
        <v>488</v>
      </c>
      <c r="G61" s="68" t="s">
        <v>277</v>
      </c>
      <c r="H61" s="69">
        <f t="shared" si="26"/>
        <v>813</v>
      </c>
      <c r="I61" s="70">
        <f t="shared" si="27"/>
        <v>820</v>
      </c>
      <c r="J61" s="73" t="str">
        <f t="shared" si="28"/>
        <v>--</v>
      </c>
      <c r="K61" s="32">
        <v>200</v>
      </c>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813-820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488</v>
      </c>
      <c r="G62" s="68" t="s">
        <v>277</v>
      </c>
      <c r="H62" s="69">
        <f t="shared" si="26"/>
        <v>805</v>
      </c>
      <c r="I62" s="70">
        <f t="shared" si="27"/>
        <v>812</v>
      </c>
      <c r="J62" s="73" t="str">
        <f t="shared" si="28"/>
        <v>--</v>
      </c>
      <c r="K62" s="32">
        <v>1000</v>
      </c>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0</v>
      </c>
      <c r="AE62" s="109" t="str">
        <f t="shared" si="19"/>
        <v>805-812</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501</v>
      </c>
      <c r="D63" s="102"/>
      <c r="E63" s="32">
        <v>12</v>
      </c>
      <c r="F63" s="32"/>
      <c r="G63" s="68" t="s">
        <v>277</v>
      </c>
      <c r="H63" s="69">
        <f t="shared" si="26"/>
        <v>793</v>
      </c>
      <c r="I63" s="70">
        <f t="shared" si="27"/>
        <v>804</v>
      </c>
      <c r="J63" s="73" t="str">
        <f t="shared" si="28"/>
        <v>--</v>
      </c>
      <c r="K63" s="32"/>
      <c r="L63" s="233"/>
      <c r="M63" s="277" t="s">
        <v>405</v>
      </c>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793-804</v>
      </c>
      <c r="AF63" s="109" t="str">
        <f t="shared" si="20"/>
        <v>Y</v>
      </c>
      <c r="AG63" s="109" t="str">
        <f t="shared" si="21"/>
        <v>B</v>
      </c>
      <c r="AM63" s="109">
        <f t="shared" si="22"/>
        <v>0</v>
      </c>
      <c r="AN63" s="109">
        <f t="shared" si="23"/>
        <v>0</v>
      </c>
      <c r="AO63" s="109" t="str">
        <f t="shared" si="24"/>
        <v/>
      </c>
      <c r="AQ63" s="109" t="str">
        <f t="shared" si="25"/>
        <v>Y</v>
      </c>
      <c r="BA63" s="229">
        <f>MOD(SUM(E58:E64),12)</f>
        <v>0</v>
      </c>
    </row>
    <row r="64" spans="1:53" ht="15.75" thickBot="1" x14ac:dyDescent="0.3">
      <c r="A64" s="88"/>
      <c r="B64" s="66" t="s">
        <v>284</v>
      </c>
      <c r="C64" s="67" t="s">
        <v>501</v>
      </c>
      <c r="D64" s="102"/>
      <c r="E64" s="32">
        <v>12</v>
      </c>
      <c r="F64" s="32"/>
      <c r="G64" s="68" t="s">
        <v>277</v>
      </c>
      <c r="H64" s="69">
        <f t="shared" si="26"/>
        <v>781</v>
      </c>
      <c r="I64" s="70">
        <f t="shared" si="27"/>
        <v>792</v>
      </c>
      <c r="J64" s="73" t="str">
        <f t="shared" si="28"/>
        <v>--</v>
      </c>
      <c r="K64" s="32"/>
      <c r="L64" s="233"/>
      <c r="M64" s="277" t="s">
        <v>816</v>
      </c>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781-792</v>
      </c>
      <c r="AF64" s="109" t="str">
        <f t="shared" si="20"/>
        <v>Y</v>
      </c>
      <c r="AG64" s="109" t="str">
        <f t="shared" si="21"/>
        <v>B</v>
      </c>
      <c r="AM64" s="109">
        <f t="shared" si="22"/>
        <v>0</v>
      </c>
      <c r="AN64" s="109">
        <f t="shared" si="23"/>
        <v>0</v>
      </c>
      <c r="AO64" s="109" t="str">
        <f t="shared" si="24"/>
        <v/>
      </c>
      <c r="AQ64" s="109" t="str">
        <f t="shared" si="25"/>
        <v>Y</v>
      </c>
      <c r="BA64" s="229">
        <f>MOD(SUM(E58:E65),12)</f>
        <v>0</v>
      </c>
    </row>
    <row r="65" spans="1:53" ht="15.75" thickBot="1" x14ac:dyDescent="0.3">
      <c r="A65" s="88"/>
      <c r="B65" s="66" t="s">
        <v>285</v>
      </c>
      <c r="C65" s="67" t="s">
        <v>501</v>
      </c>
      <c r="D65" s="102"/>
      <c r="E65" s="32">
        <v>12</v>
      </c>
      <c r="F65" s="32"/>
      <c r="G65" s="68" t="s">
        <v>277</v>
      </c>
      <c r="H65" s="69">
        <f t="shared" si="26"/>
        <v>769</v>
      </c>
      <c r="I65" s="70">
        <f t="shared" si="27"/>
        <v>780</v>
      </c>
      <c r="J65" s="73" t="str">
        <f t="shared" si="28"/>
        <v>--</v>
      </c>
      <c r="K65" s="32"/>
      <c r="L65" s="233"/>
      <c r="M65" s="277" t="s">
        <v>405</v>
      </c>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769-780</v>
      </c>
      <c r="AF65" s="109" t="str">
        <f t="shared" si="20"/>
        <v>Y</v>
      </c>
      <c r="AG65" s="109" t="str">
        <f t="shared" si="21"/>
        <v>B</v>
      </c>
      <c r="AM65" s="109">
        <f t="shared" si="22"/>
        <v>0</v>
      </c>
      <c r="AN65" s="109">
        <f t="shared" si="23"/>
        <v>0</v>
      </c>
      <c r="AO65" s="109" t="str">
        <f t="shared" si="24"/>
        <v/>
      </c>
      <c r="AQ65" s="109" t="str">
        <f t="shared" si="25"/>
        <v>Y</v>
      </c>
      <c r="BA65" s="229">
        <f>MOD(SUM(E58:E66),12)</f>
        <v>0</v>
      </c>
    </row>
    <row r="66" spans="1:53" ht="15.75" thickBot="1" x14ac:dyDescent="0.3">
      <c r="A66" s="88"/>
      <c r="B66" s="66" t="s">
        <v>286</v>
      </c>
      <c r="C66" s="67" t="s">
        <v>501</v>
      </c>
      <c r="D66" s="102"/>
      <c r="E66" s="32">
        <v>12</v>
      </c>
      <c r="F66" s="32"/>
      <c r="G66" s="68" t="s">
        <v>277</v>
      </c>
      <c r="H66" s="69">
        <f t="shared" si="26"/>
        <v>757</v>
      </c>
      <c r="I66" s="70">
        <f t="shared" si="27"/>
        <v>768</v>
      </c>
      <c r="J66" s="73" t="str">
        <f t="shared" si="28"/>
        <v>--</v>
      </c>
      <c r="K66" s="32"/>
      <c r="L66" s="233"/>
      <c r="M66" s="277" t="s">
        <v>405</v>
      </c>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757-768</v>
      </c>
      <c r="AF66" s="109" t="str">
        <f t="shared" si="20"/>
        <v>Y</v>
      </c>
      <c r="AG66" s="109" t="str">
        <f t="shared" si="21"/>
        <v>B</v>
      </c>
      <c r="AM66" s="109">
        <f t="shared" si="22"/>
        <v>0</v>
      </c>
      <c r="AN66" s="109">
        <f t="shared" si="23"/>
        <v>0</v>
      </c>
      <c r="AO66" s="109" t="str">
        <f t="shared" si="24"/>
        <v/>
      </c>
      <c r="AQ66" s="109" t="str">
        <f t="shared" si="25"/>
        <v>Y</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85</v>
      </c>
      <c r="X69" s="84"/>
      <c r="Y69" s="78">
        <f>SUM(E58:E69)</f>
        <v>84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85</v>
      </c>
      <c r="X70" s="84"/>
      <c r="Y70" s="78">
        <f>SUM(E58:E70)</f>
        <v>84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85</v>
      </c>
      <c r="X71" s="84"/>
      <c r="Y71" s="78">
        <f>SUM(E58:E71)</f>
        <v>84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85</v>
      </c>
      <c r="X72" s="84"/>
      <c r="Y72" s="78">
        <f>SUM(E58:E72)</f>
        <v>84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85</v>
      </c>
      <c r="X73" s="84"/>
      <c r="Y73" s="78">
        <f>SUM(E58:E73)</f>
        <v>84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85</v>
      </c>
      <c r="X74" s="84"/>
      <c r="Y74" s="78">
        <f>SUM(E58:E74)</f>
        <v>84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85</v>
      </c>
      <c r="X75" s="84"/>
      <c r="Y75" s="78">
        <f>SUM(E58:E75)</f>
        <v>84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85</v>
      </c>
      <c r="X76" s="84"/>
      <c r="Y76" s="78">
        <f>SUM(E58:E76)</f>
        <v>84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85</v>
      </c>
      <c r="X77" s="84"/>
      <c r="Y77" s="78">
        <f>SUM(E58:E77)</f>
        <v>84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85</v>
      </c>
      <c r="X78" s="84"/>
      <c r="Y78" s="78">
        <f>SUM(E58:E78)</f>
        <v>84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85</v>
      </c>
      <c r="X79" s="84"/>
      <c r="Y79" s="78">
        <f>SUM(E58:E79)</f>
        <v>84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85</v>
      </c>
      <c r="X80" s="84"/>
      <c r="Y80" s="78">
        <f>SUM(E58:E80)</f>
        <v>84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85</v>
      </c>
      <c r="X81" s="84"/>
      <c r="Y81" s="78">
        <f>SUM(E58:E81)</f>
        <v>84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84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9" t="s">
        <v>305</v>
      </c>
      <c r="C83" s="320"/>
      <c r="D83" s="79"/>
      <c r="E83" s="80"/>
      <c r="F83" s="80"/>
      <c r="G83" s="81"/>
      <c r="H83" s="192"/>
      <c r="I83" s="192"/>
      <c r="J83" s="192"/>
      <c r="K83" s="82"/>
      <c r="L83" s="319" t="s">
        <v>306</v>
      </c>
      <c r="M83" s="330"/>
      <c r="N83" s="330"/>
      <c r="O83" s="330"/>
      <c r="P83" s="330"/>
      <c r="Q83" s="330"/>
      <c r="R83" s="330"/>
      <c r="S83" s="330"/>
      <c r="T83" s="330"/>
      <c r="U83" s="320"/>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2</v>
      </c>
      <c r="AR83" s="109">
        <f>(COUNTIF(AQ58:AQ82,"Y")/2)</f>
        <v>2</v>
      </c>
      <c r="BA83" s="228"/>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2" t="s">
        <v>222</v>
      </c>
      <c r="C88" s="313"/>
      <c r="D88" s="314" t="s">
        <v>223</v>
      </c>
      <c r="E88" s="305"/>
      <c r="F88" s="88"/>
      <c r="G88" s="315" t="s">
        <v>224</v>
      </c>
      <c r="H88" s="316"/>
      <c r="I88" s="28">
        <f>SUM(E99:E123)</f>
        <v>48</v>
      </c>
      <c r="J88" s="317" t="s">
        <v>225</v>
      </c>
      <c r="K88" s="318"/>
      <c r="L88" s="305"/>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226</v>
      </c>
      <c r="AA88" s="296"/>
      <c r="AB88" s="297"/>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4" t="s">
        <v>230</v>
      </c>
      <c r="H89" s="305"/>
      <c r="I89" s="33">
        <f>E90-I88</f>
        <v>0</v>
      </c>
      <c r="J89" s="289" t="s">
        <v>231</v>
      </c>
      <c r="K89" s="290"/>
      <c r="L89" s="34">
        <f>I93</f>
        <v>757</v>
      </c>
      <c r="M89" s="196">
        <v>4</v>
      </c>
      <c r="N89" s="35">
        <f>SUM(AI89,AI100)</f>
        <v>0</v>
      </c>
      <c r="O89" s="35">
        <v>0</v>
      </c>
      <c r="P89" s="35">
        <f>SUM(AJ89,AJ100)</f>
        <v>0</v>
      </c>
      <c r="Q89" s="35">
        <v>0</v>
      </c>
      <c r="R89" s="35">
        <f>COUNTIFS($E99:$E123,"4",$F99:$F123,"Pole",$C99:$C123,"FST")</f>
        <v>0</v>
      </c>
      <c r="S89" s="35">
        <f>SUM(AL89,AK100)</f>
        <v>0</v>
      </c>
      <c r="T89" s="35">
        <v>0</v>
      </c>
      <c r="U89" s="35">
        <f>SUM(AK89,AL100)</f>
        <v>3</v>
      </c>
      <c r="V89" s="35">
        <v>0</v>
      </c>
      <c r="W89" s="34">
        <f>COUNTIFS($E99:$E123,"4",$F99:$F123,"HH",$C99:$C123,"FST")</f>
        <v>3</v>
      </c>
      <c r="X89" s="35">
        <f>COUNTIFS($E99:$E123,"4",$F99:$F123,"Ped",$C99:$C123,"FST")</f>
        <v>0</v>
      </c>
      <c r="Y89" s="25"/>
      <c r="Z89" s="298" t="s">
        <v>232</v>
      </c>
      <c r="AA89" s="300" t="s">
        <v>233</v>
      </c>
      <c r="AB89" s="301"/>
      <c r="AC89" s="25"/>
      <c r="AD89" s="25"/>
      <c r="AH89" s="109">
        <v>4</v>
      </c>
      <c r="AI89" s="109" t="str">
        <f>IF($E89="SS",COUNTIFS($C99:$C123,"FST",$E99:$E123,"4"),"0")</f>
        <v>0</v>
      </c>
      <c r="AJ89" s="109" t="str">
        <f>IF($E89="RPX",COUNTIFS($C99:$C123,"FST",$E99:$E123,"4"),"0")</f>
        <v>0</v>
      </c>
      <c r="AK89" s="109">
        <f>IF($E89="EUC",COUNTIFS($C99:$C123,"FST",$E99:$E123,"4"),"0")</f>
        <v>3</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1" t="s">
        <v>237</v>
      </c>
      <c r="H90" s="292"/>
      <c r="I90" s="35">
        <f>IF(E90=0,0,12-(MOD(I88,12)))</f>
        <v>12</v>
      </c>
      <c r="J90" s="289" t="s">
        <v>238</v>
      </c>
      <c r="K90" s="290"/>
      <c r="L90" s="39">
        <f>I94-I88</f>
        <v>756</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1795</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757</v>
      </c>
      <c r="F92" s="88"/>
      <c r="G92" s="322"/>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1" t="s">
        <v>251</v>
      </c>
      <c r="H93" s="51" t="s">
        <v>252</v>
      </c>
      <c r="I93" s="112">
        <f>E92</f>
        <v>757</v>
      </c>
      <c r="J93" s="323" t="s">
        <v>253</v>
      </c>
      <c r="K93" s="324"/>
      <c r="L93" s="32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2"/>
      <c r="H94" s="47" t="s">
        <v>257</v>
      </c>
      <c r="I94" s="35">
        <f>IF(E92="","0",IF(AND(E89="EUC",E90=432), I93+(203-E91),IF(E92=0,0,(E92+(E90-E91)-1))))</f>
        <v>804</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2"/>
      <c r="C98" s="294"/>
      <c r="D98" s="294"/>
      <c r="E98" s="307"/>
      <c r="F98" s="294"/>
      <c r="G98" s="309"/>
      <c r="H98" s="309"/>
      <c r="I98" s="309"/>
      <c r="J98" s="311"/>
      <c r="K98" s="294"/>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747</v>
      </c>
      <c r="E99" s="32">
        <v>4</v>
      </c>
      <c r="F99" s="32" t="s">
        <v>488</v>
      </c>
      <c r="G99" s="68" t="s">
        <v>277</v>
      </c>
      <c r="H99" s="69">
        <f>IF(I99=0,0,I99-(E99-1))</f>
        <v>801</v>
      </c>
      <c r="I99" s="70">
        <f>IF(E99=0,0,I94)</f>
        <v>804</v>
      </c>
      <c r="J99" s="71" t="s">
        <v>278</v>
      </c>
      <c r="K99" s="32"/>
      <c r="L99" s="233"/>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748</v>
      </c>
      <c r="E100" s="32">
        <v>4</v>
      </c>
      <c r="F100" s="32" t="s">
        <v>488</v>
      </c>
      <c r="G100" s="68" t="s">
        <v>277</v>
      </c>
      <c r="H100" s="69">
        <f t="shared" ref="H100:H123" si="43">IF(E100=0,0,I100-(E100-1))</f>
        <v>797</v>
      </c>
      <c r="I100" s="70">
        <f t="shared" ref="I100:I123" si="44">IF(E100=0,0,H99-1)</f>
        <v>800</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797-800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749</v>
      </c>
      <c r="E101" s="32">
        <v>4</v>
      </c>
      <c r="F101" s="32" t="s">
        <v>488</v>
      </c>
      <c r="G101" s="75" t="s">
        <v>277</v>
      </c>
      <c r="H101" s="69">
        <f t="shared" si="43"/>
        <v>793</v>
      </c>
      <c r="I101" s="70">
        <f t="shared" si="44"/>
        <v>796</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793-796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494</v>
      </c>
      <c r="D102" s="102"/>
      <c r="E102" s="32">
        <v>12</v>
      </c>
      <c r="F102" s="32"/>
      <c r="G102" s="68" t="s">
        <v>277</v>
      </c>
      <c r="H102" s="69">
        <f t="shared" si="43"/>
        <v>781</v>
      </c>
      <c r="I102" s="70">
        <f t="shared" si="44"/>
        <v>792</v>
      </c>
      <c r="J102" s="73" t="str">
        <f t="shared" si="45"/>
        <v>--</v>
      </c>
      <c r="K102" s="32"/>
      <c r="L102" s="233"/>
      <c r="M102" s="277" t="s">
        <v>406</v>
      </c>
      <c r="N102" s="277"/>
      <c r="O102" s="277"/>
      <c r="P102" s="277"/>
      <c r="Q102" s="277"/>
      <c r="R102" s="277"/>
      <c r="S102" s="277"/>
      <c r="T102" s="277"/>
      <c r="U102" s="278"/>
      <c r="V102" s="103"/>
      <c r="W102" s="72"/>
      <c r="X102" s="72"/>
      <c r="Y102" s="72"/>
      <c r="Z102" s="45">
        <v>12</v>
      </c>
      <c r="AA102" s="76">
        <v>133</v>
      </c>
      <c r="AB102" s="76">
        <v>144</v>
      </c>
      <c r="AC102" s="72">
        <f t="shared" si="34"/>
        <v>1</v>
      </c>
      <c r="AD102" s="72">
        <f t="shared" si="35"/>
        <v>1</v>
      </c>
      <c r="AE102" s="109" t="str">
        <f t="shared" si="36"/>
        <v>781-792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1</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c r="G103" s="68" t="s">
        <v>277</v>
      </c>
      <c r="H103" s="69">
        <f t="shared" si="43"/>
        <v>769</v>
      </c>
      <c r="I103" s="70">
        <f t="shared" si="44"/>
        <v>780</v>
      </c>
      <c r="J103" s="73" t="str">
        <f t="shared" si="45"/>
        <v>--</v>
      </c>
      <c r="K103" s="32"/>
      <c r="L103" s="233"/>
      <c r="M103" s="277" t="s">
        <v>407</v>
      </c>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769-780</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c r="G104" s="68" t="s">
        <v>277</v>
      </c>
      <c r="H104" s="69">
        <f t="shared" si="43"/>
        <v>757</v>
      </c>
      <c r="I104" s="70">
        <f t="shared" si="44"/>
        <v>768</v>
      </c>
      <c r="J104" s="73" t="str">
        <f t="shared" si="45"/>
        <v>--</v>
      </c>
      <c r="K104" s="32"/>
      <c r="L104" s="233"/>
      <c r="M104" s="277" t="s">
        <v>407</v>
      </c>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1</v>
      </c>
      <c r="AE104" s="109" t="str">
        <f t="shared" si="36"/>
        <v>757-768</v>
      </c>
      <c r="AF104" s="109" t="str">
        <f t="shared" si="37"/>
        <v>Y</v>
      </c>
      <c r="AG104" s="109" t="str">
        <f t="shared" si="38"/>
        <v>B</v>
      </c>
      <c r="AM104" s="109">
        <f t="shared" si="39"/>
        <v>0.5</v>
      </c>
      <c r="AN104" s="109">
        <f t="shared" si="40"/>
        <v>0.5</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49</v>
      </c>
      <c r="X110" s="84"/>
      <c r="Y110" s="78">
        <f>SUM(E99:E110)</f>
        <v>48</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49</v>
      </c>
      <c r="X111" s="84"/>
      <c r="Y111" s="78">
        <f>SUM(E99:E111)</f>
        <v>48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49</v>
      </c>
      <c r="X112" s="84"/>
      <c r="Y112" s="78">
        <f>SUM(E99:E112)</f>
        <v>48</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49</v>
      </c>
      <c r="X113" s="84"/>
      <c r="Y113" s="78">
        <f>SUM(E99:E113)</f>
        <v>48</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49</v>
      </c>
      <c r="X114" s="84"/>
      <c r="Y114" s="78">
        <f>SUM(E99:E114)</f>
        <v>48</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49</v>
      </c>
      <c r="X115" s="84"/>
      <c r="Y115" s="78">
        <f>SUM(E99:E115)</f>
        <v>48</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49</v>
      </c>
      <c r="X116" s="84"/>
      <c r="Y116" s="78">
        <f>SUM(E99:E116)</f>
        <v>48</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49</v>
      </c>
      <c r="X117" s="84"/>
      <c r="Y117" s="78">
        <f>SUM(E99:E117)</f>
        <v>48</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49</v>
      </c>
      <c r="X118" s="84"/>
      <c r="Y118" s="78">
        <f>SUM(E99:E118)</f>
        <v>48</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49</v>
      </c>
      <c r="X119" s="84"/>
      <c r="Y119" s="78">
        <f>SUM(E99:E119)</f>
        <v>48</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49</v>
      </c>
      <c r="X120" s="84"/>
      <c r="Y120" s="78">
        <f>SUM(E99:E120)</f>
        <v>48</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49</v>
      </c>
      <c r="X121" s="84"/>
      <c r="Y121" s="78">
        <f>SUM(E99:E121)</f>
        <v>48</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49</v>
      </c>
      <c r="X122" s="84"/>
      <c r="Y122" s="78">
        <f>SUM(E99:E122)</f>
        <v>48</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48</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9" t="s">
        <v>309</v>
      </c>
      <c r="C124" s="320"/>
      <c r="D124" s="79"/>
      <c r="E124" s="80"/>
      <c r="F124" s="80"/>
      <c r="G124" s="81"/>
      <c r="H124" s="192"/>
      <c r="I124" s="192"/>
      <c r="J124" s="192"/>
      <c r="K124" s="82"/>
      <c r="L124" s="319" t="s">
        <v>306</v>
      </c>
      <c r="M124" s="330"/>
      <c r="N124" s="330"/>
      <c r="O124" s="330"/>
      <c r="P124" s="330"/>
      <c r="Q124" s="330"/>
      <c r="R124" s="330"/>
      <c r="S124" s="330"/>
      <c r="T124" s="330"/>
      <c r="U124" s="320"/>
      <c r="V124" s="104"/>
      <c r="W124" s="72"/>
      <c r="X124" s="72"/>
      <c r="Y124" s="72"/>
      <c r="Z124" s="72"/>
      <c r="AA124" s="72" t="str">
        <f t="shared" si="49"/>
        <v/>
      </c>
      <c r="AB124" s="72"/>
      <c r="AC124" s="72">
        <f>SUM(AC99:AC123)</f>
        <v>25</v>
      </c>
      <c r="AD124" s="72">
        <f>SUM(AD99:AD123)</f>
        <v>22</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2" t="s">
        <v>222</v>
      </c>
      <c r="C129" s="313"/>
      <c r="D129" s="314" t="s">
        <v>223</v>
      </c>
      <c r="E129" s="305"/>
      <c r="F129" s="88"/>
      <c r="G129" s="315" t="s">
        <v>224</v>
      </c>
      <c r="H129" s="316"/>
      <c r="I129" s="28">
        <f>SUM(E140:E164)</f>
        <v>12</v>
      </c>
      <c r="J129" s="317" t="s">
        <v>225</v>
      </c>
      <c r="K129" s="318"/>
      <c r="L129" s="305"/>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12</v>
      </c>
      <c r="J130" s="289" t="s">
        <v>231</v>
      </c>
      <c r="K130" s="290"/>
      <c r="L130" s="34">
        <f>I134</f>
        <v>781</v>
      </c>
      <c r="M130" s="196">
        <v>4</v>
      </c>
      <c r="N130" s="35">
        <f>SUM(AI130,AI141)</f>
        <v>0</v>
      </c>
      <c r="O130" s="35">
        <v>0</v>
      </c>
      <c r="P130" s="35">
        <f>SUM(AJ130,AJ141)</f>
        <v>0</v>
      </c>
      <c r="Q130" s="35">
        <v>0</v>
      </c>
      <c r="R130" s="35">
        <f>COUNTIFS($E140:$E164,"4",$F140:$F164,"Pole",$C140:$C164,"FST")</f>
        <v>1</v>
      </c>
      <c r="S130" s="35">
        <f>SUM(AL130,AK141)</f>
        <v>0</v>
      </c>
      <c r="T130" s="35">
        <v>0</v>
      </c>
      <c r="U130" s="35">
        <f>SUM(AK130,AL141)</f>
        <v>1</v>
      </c>
      <c r="V130" s="35">
        <v>0</v>
      </c>
      <c r="W130" s="34">
        <f>COUNTIFS($E140:$E164,"4",$F140:$F164,"HH",$C140:$C164,"FST")</f>
        <v>0</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1" t="s">
        <v>237</v>
      </c>
      <c r="H131" s="292"/>
      <c r="I131" s="35">
        <f>IF(E131=0,0,12-(MOD(I129,12)))</f>
        <v>12</v>
      </c>
      <c r="J131" s="289" t="s">
        <v>238</v>
      </c>
      <c r="K131" s="290"/>
      <c r="L131" s="39">
        <f>I135-I129</f>
        <v>780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1" t="s">
        <v>242</v>
      </c>
      <c r="H132" s="43" t="s">
        <v>243</v>
      </c>
      <c r="I132" s="35">
        <f>IF(E132&lt;&gt;0,1,0)</f>
        <v>1</v>
      </c>
      <c r="J132" s="291" t="s">
        <v>244</v>
      </c>
      <c r="K132" s="292"/>
      <c r="L132" s="44">
        <f>'Cable Calculator'!S3</f>
        <v>1579</v>
      </c>
      <c r="M132" s="196">
        <v>8</v>
      </c>
      <c r="N132" s="35">
        <f>SUM(AI132,AI143)</f>
        <v>0</v>
      </c>
      <c r="O132" s="35">
        <v>0</v>
      </c>
      <c r="P132" s="35">
        <f>SUM(AJ132,AJ143)</f>
        <v>0</v>
      </c>
      <c r="Q132" s="35">
        <v>0</v>
      </c>
      <c r="R132" s="35">
        <f>COUNTIFS($E140:$E164,"8",$F140:$F164,"Pole",$C140:$C164,"FST")</f>
        <v>1</v>
      </c>
      <c r="S132" s="35">
        <f>SUM(AL132,AK143)</f>
        <v>0</v>
      </c>
      <c r="T132" s="35">
        <v>0</v>
      </c>
      <c r="U132" s="35">
        <f>SUM(AK132,AL143)</f>
        <v>1</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781</v>
      </c>
      <c r="F133" s="88"/>
      <c r="G133" s="322"/>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1" t="s">
        <v>251</v>
      </c>
      <c r="H134" s="51" t="s">
        <v>252</v>
      </c>
      <c r="I134" s="112">
        <f>E133</f>
        <v>781</v>
      </c>
      <c r="J134" s="323" t="s">
        <v>253</v>
      </c>
      <c r="K134" s="324"/>
      <c r="L134" s="32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2"/>
      <c r="H135" s="47" t="s">
        <v>257</v>
      </c>
      <c r="I135" s="35">
        <f>IF(E133="","0",IF(AND(E130="EUC",E131=432), I134+(203-E132),IF(E133=0,0,(E133+(E131-E132)-1))))</f>
        <v>792</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2"/>
      <c r="C139" s="294"/>
      <c r="D139" s="294"/>
      <c r="E139" s="307"/>
      <c r="F139" s="294"/>
      <c r="G139" s="309"/>
      <c r="H139" s="309"/>
      <c r="I139" s="309"/>
      <c r="J139" s="311"/>
      <c r="K139" s="294"/>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753</v>
      </c>
      <c r="E140" s="32">
        <v>4</v>
      </c>
      <c r="F140" s="32" t="s">
        <v>483</v>
      </c>
      <c r="G140" s="68" t="s">
        <v>277</v>
      </c>
      <c r="H140" s="69">
        <f>IF(I140=0,0,I140-(E140-1))</f>
        <v>789</v>
      </c>
      <c r="I140" s="70">
        <f>IF(E140=0,0,I135)</f>
        <v>792</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789-792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754</v>
      </c>
      <c r="E141" s="32">
        <v>8</v>
      </c>
      <c r="F141" s="32" t="s">
        <v>483</v>
      </c>
      <c r="G141" s="68" t="s">
        <v>277</v>
      </c>
      <c r="H141" s="69">
        <f t="shared" ref="H141:H164" si="60">IF(E141=0,0,I141-(E141-1))</f>
        <v>781</v>
      </c>
      <c r="I141" s="70">
        <f t="shared" ref="I141:I164" si="61">IF(E141=0,0,H140-1)</f>
        <v>788</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781-788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9" t="s">
        <v>311</v>
      </c>
      <c r="C165" s="320"/>
      <c r="D165" s="79"/>
      <c r="E165" s="80"/>
      <c r="F165" s="80"/>
      <c r="G165" s="81"/>
      <c r="H165" s="192"/>
      <c r="I165" s="192"/>
      <c r="J165" s="192"/>
      <c r="K165" s="82"/>
      <c r="L165" s="319" t="s">
        <v>306</v>
      </c>
      <c r="M165" s="330"/>
      <c r="N165" s="330"/>
      <c r="O165" s="330"/>
      <c r="P165" s="330"/>
      <c r="Q165" s="330"/>
      <c r="R165" s="330"/>
      <c r="S165" s="330"/>
      <c r="T165" s="330"/>
      <c r="U165" s="320"/>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2" t="s">
        <v>222</v>
      </c>
      <c r="C170" s="313"/>
      <c r="D170" s="314" t="s">
        <v>223</v>
      </c>
      <c r="E170" s="305"/>
      <c r="F170" s="88"/>
      <c r="G170" s="315" t="s">
        <v>224</v>
      </c>
      <c r="H170" s="316"/>
      <c r="I170" s="28">
        <f>SUM(E181:E205)</f>
        <v>24</v>
      </c>
      <c r="J170" s="317" t="s">
        <v>225</v>
      </c>
      <c r="K170" s="318"/>
      <c r="L170" s="305"/>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4" t="s">
        <v>230</v>
      </c>
      <c r="H171" s="305"/>
      <c r="I171" s="33">
        <f>E172-I170</f>
        <v>0</v>
      </c>
      <c r="J171" s="289" t="s">
        <v>231</v>
      </c>
      <c r="K171" s="290"/>
      <c r="L171" s="34">
        <f>I175</f>
        <v>757</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291" t="s">
        <v>237</v>
      </c>
      <c r="H172" s="292"/>
      <c r="I172" s="35">
        <f>IF(E172=0,0,12-(MOD(I170,12)))</f>
        <v>12</v>
      </c>
      <c r="J172" s="289" t="s">
        <v>238</v>
      </c>
      <c r="K172" s="290"/>
      <c r="L172" s="39">
        <f>I176-I170</f>
        <v>756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1" t="s">
        <v>242</v>
      </c>
      <c r="H173" s="43" t="s">
        <v>243</v>
      </c>
      <c r="I173" s="35">
        <f>IF(E173&lt;&gt;0,1,0)</f>
        <v>0</v>
      </c>
      <c r="J173" s="291" t="s">
        <v>244</v>
      </c>
      <c r="K173" s="292"/>
      <c r="L173" s="44">
        <f>'Cable Calculator'!X3</f>
        <v>1978</v>
      </c>
      <c r="M173" s="196">
        <v>8</v>
      </c>
      <c r="N173" s="35">
        <f>SUM(AI173,AI184)</f>
        <v>0</v>
      </c>
      <c r="O173" s="35">
        <v>0</v>
      </c>
      <c r="P173" s="35">
        <f>SUM(AJ173,AJ184)</f>
        <v>0</v>
      </c>
      <c r="Q173" s="35">
        <v>0</v>
      </c>
      <c r="R173" s="35">
        <f>COUNTIFS($E181:$E205,"8",$F181:$F205,"Pole",$C181:$C205,"FST")</f>
        <v>0</v>
      </c>
      <c r="S173" s="35">
        <f>SUM(AL173,AK184)</f>
        <v>0</v>
      </c>
      <c r="T173" s="35">
        <v>0</v>
      </c>
      <c r="U173" s="35">
        <f>SUM(AK173,AL184)</f>
        <v>3</v>
      </c>
      <c r="V173" s="35">
        <v>0</v>
      </c>
      <c r="W173" s="34">
        <f>COUNTIFS($E181:$E205,"8",$F181:$F205,"HH",$C181:$C205,"FST")</f>
        <v>3</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3</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757</v>
      </c>
      <c r="F174" s="88"/>
      <c r="G174" s="322"/>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1" t="s">
        <v>251</v>
      </c>
      <c r="H175" s="51" t="s">
        <v>252</v>
      </c>
      <c r="I175" s="112">
        <f>E174</f>
        <v>757</v>
      </c>
      <c r="J175" s="323" t="s">
        <v>253</v>
      </c>
      <c r="K175" s="324"/>
      <c r="L175" s="32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2"/>
      <c r="H176" s="47" t="s">
        <v>257</v>
      </c>
      <c r="I176" s="35">
        <f>IF(E174="","0",IF(AND(E171="EUC",E172=432), I175+(203-E173),IF(E174=0,0,(E174+(E172-E173)-1))))</f>
        <v>780</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2"/>
      <c r="C180" s="294"/>
      <c r="D180" s="294"/>
      <c r="E180" s="307"/>
      <c r="F180" s="294"/>
      <c r="G180" s="309"/>
      <c r="H180" s="309"/>
      <c r="I180" s="309"/>
      <c r="J180" s="311"/>
      <c r="K180" s="294"/>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750</v>
      </c>
      <c r="E181" s="32">
        <v>8</v>
      </c>
      <c r="F181" s="32" t="s">
        <v>488</v>
      </c>
      <c r="G181" s="68" t="s">
        <v>277</v>
      </c>
      <c r="H181" s="69">
        <f>IF(I181=0,0,I181-(E181-1))</f>
        <v>773</v>
      </c>
      <c r="I181" s="70">
        <f>IF(E181=0,0,I176)</f>
        <v>780</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773-780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8</v>
      </c>
    </row>
    <row r="182" spans="1:53" ht="15.75" thickBot="1" x14ac:dyDescent="0.3">
      <c r="A182" s="88"/>
      <c r="B182" s="66" t="s">
        <v>279</v>
      </c>
      <c r="C182" s="67" t="s">
        <v>484</v>
      </c>
      <c r="D182" s="102" t="s">
        <v>751</v>
      </c>
      <c r="E182" s="32">
        <v>8</v>
      </c>
      <c r="F182" s="32" t="s">
        <v>488</v>
      </c>
      <c r="G182" s="68" t="s">
        <v>277</v>
      </c>
      <c r="H182" s="69">
        <f t="shared" ref="H182:H205" si="77">IF(E182=0,0,I182-(E182-1))</f>
        <v>765</v>
      </c>
      <c r="I182" s="70">
        <f t="shared" ref="I182:I205" si="78">IF(E182=0,0,H181-1)</f>
        <v>772</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765-772</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752</v>
      </c>
      <c r="E183" s="32">
        <v>8</v>
      </c>
      <c r="F183" s="32" t="s">
        <v>488</v>
      </c>
      <c r="G183" s="75" t="s">
        <v>277</v>
      </c>
      <c r="H183" s="69">
        <f t="shared" si="77"/>
        <v>757</v>
      </c>
      <c r="I183" s="70">
        <f t="shared" si="78"/>
        <v>764</v>
      </c>
      <c r="J183" s="73" t="str">
        <f t="shared" ref="J183:J205" si="79">IF(C183="","--",IF(AND(C183&lt;&gt;"FST",C183&lt;&gt;"TCF",BA182&lt;&gt;0),BA182,"--"))</f>
        <v>--</v>
      </c>
      <c r="K183" s="32">
        <v>1000</v>
      </c>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757-764</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9" t="s">
        <v>313</v>
      </c>
      <c r="C206" s="320"/>
      <c r="D206" s="79"/>
      <c r="E206" s="80"/>
      <c r="F206" s="80"/>
      <c r="G206" s="81"/>
      <c r="H206" s="192"/>
      <c r="I206" s="192"/>
      <c r="J206" s="192"/>
      <c r="K206" s="82"/>
      <c r="L206" s="319" t="s">
        <v>306</v>
      </c>
      <c r="M206" s="330"/>
      <c r="N206" s="330"/>
      <c r="O206" s="330"/>
      <c r="P206" s="330"/>
      <c r="Q206" s="330"/>
      <c r="R206" s="330"/>
      <c r="S206" s="330"/>
      <c r="T206" s="330"/>
      <c r="U206" s="320"/>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2" t="s">
        <v>222</v>
      </c>
      <c r="C211" s="313"/>
      <c r="D211" s="314" t="s">
        <v>223</v>
      </c>
      <c r="E211" s="305"/>
      <c r="F211" s="88"/>
      <c r="G211" s="315" t="s">
        <v>224</v>
      </c>
      <c r="H211" s="316"/>
      <c r="I211" s="28">
        <f>SUM(E222:E246)</f>
        <v>396</v>
      </c>
      <c r="J211" s="317" t="s">
        <v>225</v>
      </c>
      <c r="K211" s="318"/>
      <c r="L211" s="305"/>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4" t="s">
        <v>230</v>
      </c>
      <c r="H212" s="305"/>
      <c r="I212" s="33">
        <f>E213-I211</f>
        <v>36</v>
      </c>
      <c r="J212" s="289" t="s">
        <v>231</v>
      </c>
      <c r="K212" s="290"/>
      <c r="L212" s="34">
        <f>I216</f>
        <v>361</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8" t="s">
        <v>232</v>
      </c>
      <c r="AA212" s="300" t="s">
        <v>233</v>
      </c>
      <c r="AB212" s="301"/>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291" t="s">
        <v>237</v>
      </c>
      <c r="H213" s="292"/>
      <c r="I213" s="35">
        <f>IF(E213=0,0,12-(MOD(I211,12)))</f>
        <v>12</v>
      </c>
      <c r="J213" s="289" t="s">
        <v>238</v>
      </c>
      <c r="K213" s="290"/>
      <c r="L213" s="39">
        <f>I217-I211</f>
        <v>360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36</v>
      </c>
      <c r="F214" s="88"/>
      <c r="G214" s="321" t="s">
        <v>242</v>
      </c>
      <c r="H214" s="43" t="s">
        <v>243</v>
      </c>
      <c r="I214" s="35">
        <f>IF(E214&lt;&gt;0,1,0)</f>
        <v>1</v>
      </c>
      <c r="J214" s="291" t="s">
        <v>244</v>
      </c>
      <c r="K214" s="292"/>
      <c r="L214" s="44">
        <f>'Cable Calculator'!AC3</f>
        <v>544</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361</v>
      </c>
      <c r="F215" s="88"/>
      <c r="G215" s="322"/>
      <c r="H215" s="47" t="s">
        <v>248</v>
      </c>
      <c r="I215" s="35">
        <f>IF(E214&lt;&gt;0,E214,0)</f>
        <v>36</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321" t="s">
        <v>251</v>
      </c>
      <c r="H216" s="51" t="s">
        <v>252</v>
      </c>
      <c r="I216" s="112">
        <f>E215</f>
        <v>361</v>
      </c>
      <c r="J216" s="323" t="s">
        <v>253</v>
      </c>
      <c r="K216" s="324"/>
      <c r="L216" s="32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2"/>
      <c r="H217" s="47" t="s">
        <v>257</v>
      </c>
      <c r="I217" s="35">
        <f>IF(E215="","0",IF(AND(E212="EUC",E213=432), I216+(203-E214),IF(E215=0,0,(E215+(E213-E214)-1))))</f>
        <v>756</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396</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2"/>
      <c r="C221" s="294"/>
      <c r="D221" s="294"/>
      <c r="E221" s="307"/>
      <c r="F221" s="294"/>
      <c r="G221" s="309"/>
      <c r="H221" s="309"/>
      <c r="I221" s="309"/>
      <c r="J221" s="311"/>
      <c r="K221" s="294"/>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144</v>
      </c>
      <c r="F222" s="32"/>
      <c r="G222" s="68" t="s">
        <v>277</v>
      </c>
      <c r="H222" s="69">
        <f>IF(I222=0,0,I222-(E222-1))</f>
        <v>613</v>
      </c>
      <c r="I222" s="70">
        <f>IF(E222=0,0,I217)</f>
        <v>756</v>
      </c>
      <c r="J222" s="71" t="s">
        <v>278</v>
      </c>
      <c r="K222" s="32"/>
      <c r="L222" s="233"/>
      <c r="M222" s="277" t="s">
        <v>409</v>
      </c>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613-756</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c r="E223" s="32">
        <v>12</v>
      </c>
      <c r="F223" s="32"/>
      <c r="G223" s="68" t="s">
        <v>277</v>
      </c>
      <c r="H223" s="69">
        <f t="shared" ref="H223:H246" si="94">IF(E223=0,0,I223-(E223-1))</f>
        <v>601</v>
      </c>
      <c r="I223" s="70">
        <f t="shared" ref="I223:I246" si="95">IF(E223=0,0,H222-1)</f>
        <v>612</v>
      </c>
      <c r="J223" s="73" t="str">
        <f>IF(C223="","--",IF(AND(C223&lt;&gt;"FST",C223&lt;&gt;"TCF",BA222&lt;&gt;0),BA222,"--"))</f>
        <v>--</v>
      </c>
      <c r="K223" s="32"/>
      <c r="L223" s="233"/>
      <c r="M223" s="277" t="s">
        <v>409</v>
      </c>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601-612</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t="s">
        <v>502</v>
      </c>
      <c r="D224" s="102"/>
      <c r="E224" s="32">
        <v>216</v>
      </c>
      <c r="F224" s="32"/>
      <c r="G224" s="75" t="s">
        <v>277</v>
      </c>
      <c r="H224" s="69">
        <f t="shared" si="94"/>
        <v>385</v>
      </c>
      <c r="I224" s="70">
        <f t="shared" si="95"/>
        <v>600</v>
      </c>
      <c r="J224" s="73" t="str">
        <f t="shared" ref="J224:J246" si="96">IF(C224="","--",IF(AND(C224&lt;&gt;"FST",C224&lt;&gt;"TCF",BA223&lt;&gt;0),BA223,"--"))</f>
        <v>--</v>
      </c>
      <c r="K224" s="32"/>
      <c r="L224" s="233"/>
      <c r="M224" s="277" t="s">
        <v>410</v>
      </c>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385-600</v>
      </c>
      <c r="AF224" s="109" t="str">
        <f t="shared" si="88"/>
        <v>N</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502</v>
      </c>
      <c r="D225" s="102"/>
      <c r="E225" s="32">
        <v>24</v>
      </c>
      <c r="F225" s="32"/>
      <c r="G225" s="68" t="s">
        <v>277</v>
      </c>
      <c r="H225" s="69">
        <f t="shared" si="94"/>
        <v>361</v>
      </c>
      <c r="I225" s="70">
        <f t="shared" si="95"/>
        <v>384</v>
      </c>
      <c r="J225" s="73" t="str">
        <f t="shared" si="96"/>
        <v>--</v>
      </c>
      <c r="K225" s="32"/>
      <c r="L225" s="233"/>
      <c r="M225" s="277" t="s">
        <v>410</v>
      </c>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361-384</v>
      </c>
      <c r="AF225" s="109" t="str">
        <f t="shared" si="88"/>
        <v>N</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397</v>
      </c>
      <c r="X233" s="84"/>
      <c r="Y233" s="78">
        <f>SUM(E222:E233)</f>
        <v>396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397</v>
      </c>
      <c r="X234" s="84"/>
      <c r="Y234" s="78">
        <f>SUM(E222:E234)</f>
        <v>396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397</v>
      </c>
      <c r="X235" s="84"/>
      <c r="Y235" s="78">
        <f>SUM(E222:E235)</f>
        <v>396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397</v>
      </c>
      <c r="X236" s="84"/>
      <c r="Y236" s="78">
        <f>SUM(E222:E236)</f>
        <v>396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397</v>
      </c>
      <c r="X237" s="84"/>
      <c r="Y237" s="78">
        <f>SUM(E222:E237)</f>
        <v>396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397</v>
      </c>
      <c r="X238" s="84"/>
      <c r="Y238" s="78">
        <f>SUM(E222:E238)</f>
        <v>396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397</v>
      </c>
      <c r="X239" s="84"/>
      <c r="Y239" s="78">
        <f>SUM(E222:E239)</f>
        <v>396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397</v>
      </c>
      <c r="X240" s="84"/>
      <c r="Y240" s="78">
        <f>SUM(E222:E240)</f>
        <v>396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397</v>
      </c>
      <c r="X241" s="84"/>
      <c r="Y241" s="78">
        <f>SUM(E222:E241)</f>
        <v>396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397</v>
      </c>
      <c r="X242" s="84"/>
      <c r="Y242" s="78">
        <f>SUM(E222:E242)</f>
        <v>396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397</v>
      </c>
      <c r="X243" s="84"/>
      <c r="Y243" s="78">
        <f>SUM(E222:E243)</f>
        <v>396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397</v>
      </c>
      <c r="X244" s="84"/>
      <c r="Y244" s="78">
        <f>SUM(E222:E244)</f>
        <v>396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397</v>
      </c>
      <c r="X245" s="84"/>
      <c r="Y245" s="78">
        <f>SUM(E222:E245)</f>
        <v>396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396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9" t="s">
        <v>315</v>
      </c>
      <c r="C247" s="320"/>
      <c r="D247" s="79"/>
      <c r="E247" s="80"/>
      <c r="F247" s="80"/>
      <c r="G247" s="81"/>
      <c r="H247" s="192"/>
      <c r="I247" s="192"/>
      <c r="J247" s="192"/>
      <c r="K247" s="82"/>
      <c r="L247" s="319" t="s">
        <v>306</v>
      </c>
      <c r="M247" s="330"/>
      <c r="N247" s="330"/>
      <c r="O247" s="330"/>
      <c r="P247" s="330"/>
      <c r="Q247" s="330"/>
      <c r="R247" s="330"/>
      <c r="S247" s="330"/>
      <c r="T247" s="330"/>
      <c r="U247" s="320"/>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2" t="s">
        <v>222</v>
      </c>
      <c r="C252" s="313"/>
      <c r="D252" s="314" t="s">
        <v>223</v>
      </c>
      <c r="E252" s="305"/>
      <c r="F252" s="88"/>
      <c r="G252" s="315" t="s">
        <v>224</v>
      </c>
      <c r="H252" s="316"/>
      <c r="I252" s="28">
        <f>SUM(E263:E287)</f>
        <v>156</v>
      </c>
      <c r="J252" s="317" t="s">
        <v>225</v>
      </c>
      <c r="K252" s="318"/>
      <c r="L252" s="305"/>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4" t="s">
        <v>230</v>
      </c>
      <c r="H253" s="305"/>
      <c r="I253" s="33">
        <f>E254-I252</f>
        <v>60</v>
      </c>
      <c r="J253" s="289" t="s">
        <v>231</v>
      </c>
      <c r="K253" s="290"/>
      <c r="L253" s="34">
        <f>I257</f>
        <v>601</v>
      </c>
      <c r="M253" s="196">
        <v>4</v>
      </c>
      <c r="N253" s="35">
        <f>SUM(AI253,AI264)</f>
        <v>0</v>
      </c>
      <c r="O253" s="35">
        <v>0</v>
      </c>
      <c r="P253" s="35">
        <f>SUM(AJ253,AJ264)</f>
        <v>0</v>
      </c>
      <c r="Q253" s="35">
        <v>0</v>
      </c>
      <c r="R253" s="35">
        <f>COUNTIFS($E263:$E287,"4",$F263:$F287,"Pole",$C263:$C287,"FST")</f>
        <v>1</v>
      </c>
      <c r="S253" s="35">
        <f>SUM(AL253,AK264)</f>
        <v>0</v>
      </c>
      <c r="T253" s="35">
        <v>0</v>
      </c>
      <c r="U253" s="35">
        <f>SUM(AK253,AL264)</f>
        <v>1</v>
      </c>
      <c r="V253" s="35">
        <v>0</v>
      </c>
      <c r="W253" s="34">
        <f>COUNTIFS($E263:$E287,"4",$F263:$F287,"HH",$C263:$C287,"FST")</f>
        <v>0</v>
      </c>
      <c r="X253" s="35">
        <f>COUNTIFS($E263:$E287,"4",$F263:$F287,"Ped",$C263:$C287,"FST")</f>
        <v>0</v>
      </c>
      <c r="Y253" s="25"/>
      <c r="Z253" s="298" t="s">
        <v>232</v>
      </c>
      <c r="AA253" s="300" t="s">
        <v>233</v>
      </c>
      <c r="AB253" s="301"/>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216</v>
      </c>
      <c r="F254" s="88"/>
      <c r="G254" s="291" t="s">
        <v>237</v>
      </c>
      <c r="H254" s="292"/>
      <c r="I254" s="35">
        <f>IF(E254=0,0,12-(MOD(I252,12)))</f>
        <v>12</v>
      </c>
      <c r="J254" s="289" t="s">
        <v>238</v>
      </c>
      <c r="K254" s="290"/>
      <c r="L254" s="39">
        <f>I258-I252</f>
        <v>600</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60</v>
      </c>
      <c r="F255" s="88"/>
      <c r="G255" s="321" t="s">
        <v>242</v>
      </c>
      <c r="H255" s="43" t="s">
        <v>243</v>
      </c>
      <c r="I255" s="35">
        <f>IF(E255&lt;&gt;0,1,0)</f>
        <v>1</v>
      </c>
      <c r="J255" s="291" t="s">
        <v>244</v>
      </c>
      <c r="K255" s="292"/>
      <c r="L255" s="44">
        <f>'Cable Calculator'!AH3</f>
        <v>1922</v>
      </c>
      <c r="M255" s="196">
        <v>8</v>
      </c>
      <c r="N255" s="35">
        <f>SUM(AI255,AI266)</f>
        <v>0</v>
      </c>
      <c r="O255" s="35">
        <v>0</v>
      </c>
      <c r="P255" s="35">
        <f>SUM(AJ255,AJ266)</f>
        <v>0</v>
      </c>
      <c r="Q255" s="35">
        <v>0</v>
      </c>
      <c r="R255" s="35">
        <f>COUNTIFS($E263:$E287,"8",$F263:$F287,"Pole",$C263:$C287,"FST")</f>
        <v>1</v>
      </c>
      <c r="S255" s="35">
        <f>SUM(AL255,AK266)</f>
        <v>0</v>
      </c>
      <c r="T255" s="35">
        <v>0</v>
      </c>
      <c r="U255" s="35">
        <f>SUM(AK255,AL266)</f>
        <v>1</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601</v>
      </c>
      <c r="F256" s="88"/>
      <c r="G256" s="322"/>
      <c r="H256" s="47" t="s">
        <v>248</v>
      </c>
      <c r="I256" s="35">
        <f>IF(E255&lt;&gt;0,E255,0)</f>
        <v>60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18</v>
      </c>
      <c r="F257" s="88"/>
      <c r="G257" s="321" t="s">
        <v>251</v>
      </c>
      <c r="H257" s="51" t="s">
        <v>252</v>
      </c>
      <c r="I257" s="112">
        <f>E256</f>
        <v>601</v>
      </c>
      <c r="J257" s="323" t="s">
        <v>253</v>
      </c>
      <c r="K257" s="324"/>
      <c r="L257" s="32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2"/>
      <c r="H258" s="47" t="s">
        <v>257</v>
      </c>
      <c r="I258" s="35">
        <f>IF(E256="","0",IF(AND(E253="EUC",E254=432), I257+(203-E255),IF(E256=0,0,(E256+(E254-E255)-1))))</f>
        <v>756</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156</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2"/>
      <c r="C262" s="294"/>
      <c r="D262" s="294"/>
      <c r="E262" s="307"/>
      <c r="F262" s="294"/>
      <c r="G262" s="309"/>
      <c r="H262" s="309"/>
      <c r="I262" s="309"/>
      <c r="J262" s="311"/>
      <c r="K262" s="294"/>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494</v>
      </c>
      <c r="D263" s="102"/>
      <c r="E263" s="32">
        <v>12</v>
      </c>
      <c r="F263" s="32"/>
      <c r="G263" s="68" t="s">
        <v>277</v>
      </c>
      <c r="H263" s="69">
        <f>IF(I263=0,0,I263-(E263-1))</f>
        <v>745</v>
      </c>
      <c r="I263" s="70">
        <f>IF(E263=0,0,I258)</f>
        <v>756</v>
      </c>
      <c r="J263" s="71" t="s">
        <v>278</v>
      </c>
      <c r="K263" s="32"/>
      <c r="L263" s="233"/>
      <c r="M263" s="277" t="s">
        <v>411</v>
      </c>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745-756</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1</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484</v>
      </c>
      <c r="D264" s="102" t="s">
        <v>755</v>
      </c>
      <c r="E264" s="32">
        <v>6</v>
      </c>
      <c r="F264" s="32" t="s">
        <v>483</v>
      </c>
      <c r="G264" s="68" t="s">
        <v>277</v>
      </c>
      <c r="H264" s="69">
        <f t="shared" ref="H264:H287" si="111">IF(E264=0,0,I264-(E264-1))</f>
        <v>739</v>
      </c>
      <c r="I264" s="70">
        <f t="shared" ref="I264:I287" si="112">IF(E264=0,0,H263-1)</f>
        <v>744</v>
      </c>
      <c r="J264" s="73" t="str">
        <f>IF(C264="","--",IF(AND(C264&lt;&gt;"FST",C264&lt;&gt;"TCF",BA263&lt;&gt;0),BA263,"--"))</f>
        <v>--</v>
      </c>
      <c r="K264" s="32"/>
      <c r="L264" s="233"/>
      <c r="M264" s="277" t="s">
        <v>735</v>
      </c>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739-744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6</v>
      </c>
    </row>
    <row r="265" spans="1:53" ht="15.75" thickBot="1" x14ac:dyDescent="0.3">
      <c r="A265" s="88"/>
      <c r="B265" s="74" t="s">
        <v>280</v>
      </c>
      <c r="C265" s="67" t="s">
        <v>484</v>
      </c>
      <c r="D265" s="102" t="s">
        <v>756</v>
      </c>
      <c r="E265" s="32">
        <v>4</v>
      </c>
      <c r="F265" s="32" t="s">
        <v>483</v>
      </c>
      <c r="G265" s="75" t="s">
        <v>277</v>
      </c>
      <c r="H265" s="69">
        <f t="shared" si="111"/>
        <v>735</v>
      </c>
      <c r="I265" s="70">
        <f t="shared" si="112"/>
        <v>738</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0</v>
      </c>
      <c r="AE265" s="109" t="str">
        <f t="shared" si="104"/>
        <v>735-738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757</v>
      </c>
      <c r="E266" s="32">
        <v>6</v>
      </c>
      <c r="F266" s="32" t="s">
        <v>483</v>
      </c>
      <c r="G266" s="68" t="s">
        <v>277</v>
      </c>
      <c r="H266" s="69">
        <f t="shared" si="111"/>
        <v>729</v>
      </c>
      <c r="I266" s="70">
        <f t="shared" si="112"/>
        <v>734</v>
      </c>
      <c r="J266" s="73" t="str">
        <f t="shared" si="113"/>
        <v>--</v>
      </c>
      <c r="K266" s="32"/>
      <c r="L266" s="233"/>
      <c r="M266" s="277" t="s">
        <v>735</v>
      </c>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0</v>
      </c>
      <c r="AE266" s="109" t="str">
        <f t="shared" si="104"/>
        <v>729-734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758</v>
      </c>
      <c r="E267" s="32">
        <v>8</v>
      </c>
      <c r="F267" s="32" t="s">
        <v>483</v>
      </c>
      <c r="G267" s="68" t="s">
        <v>277</v>
      </c>
      <c r="H267" s="69">
        <f t="shared" si="111"/>
        <v>721</v>
      </c>
      <c r="I267" s="70">
        <f t="shared" si="112"/>
        <v>728</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721-728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502</v>
      </c>
      <c r="D268" s="102"/>
      <c r="E268" s="32">
        <v>120</v>
      </c>
      <c r="F268" s="32"/>
      <c r="G268" s="68" t="s">
        <v>277</v>
      </c>
      <c r="H268" s="69">
        <f t="shared" si="111"/>
        <v>601</v>
      </c>
      <c r="I268" s="70">
        <f t="shared" si="112"/>
        <v>720</v>
      </c>
      <c r="J268" s="73" t="str">
        <f t="shared" si="113"/>
        <v>--</v>
      </c>
      <c r="K268" s="32"/>
      <c r="L268" s="233"/>
      <c r="M268" s="277" t="s">
        <v>412</v>
      </c>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601-720</v>
      </c>
      <c r="AF268" s="109" t="str">
        <f t="shared" si="105"/>
        <v>N</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157</v>
      </c>
      <c r="X274" s="84"/>
      <c r="Y274" s="78">
        <f>SUM(E263:E274)</f>
        <v>156</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157</v>
      </c>
      <c r="X275" s="84"/>
      <c r="Y275" s="78">
        <f>SUM(E263:E275)</f>
        <v>156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157</v>
      </c>
      <c r="X276" s="84"/>
      <c r="Y276" s="78">
        <f>SUM(E263:E276)</f>
        <v>156</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157</v>
      </c>
      <c r="X277" s="84"/>
      <c r="Y277" s="78">
        <f>SUM(E263:E277)</f>
        <v>156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157</v>
      </c>
      <c r="X278" s="84"/>
      <c r="Y278" s="78">
        <f>SUM(E263:E278)</f>
        <v>156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157</v>
      </c>
      <c r="X279" s="84"/>
      <c r="Y279" s="78">
        <f>SUM(E263:E279)</f>
        <v>156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157</v>
      </c>
      <c r="X280" s="84"/>
      <c r="Y280" s="78">
        <f>SUM(E263:E280)</f>
        <v>156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157</v>
      </c>
      <c r="X281" s="84"/>
      <c r="Y281" s="78">
        <f>SUM(E263:E281)</f>
        <v>156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157</v>
      </c>
      <c r="X282" s="84"/>
      <c r="Y282" s="78">
        <f>SUM(E263:E282)</f>
        <v>156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157</v>
      </c>
      <c r="X283" s="84"/>
      <c r="Y283" s="78">
        <f>SUM(E263:E283)</f>
        <v>156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157</v>
      </c>
      <c r="X284" s="84"/>
      <c r="Y284" s="78">
        <f>SUM(E263:E284)</f>
        <v>156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157</v>
      </c>
      <c r="X285" s="84"/>
      <c r="Y285" s="78">
        <f>SUM(E263:E285)</f>
        <v>156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157</v>
      </c>
      <c r="X286" s="84"/>
      <c r="Y286" s="78">
        <f>SUM(E263:E286)</f>
        <v>156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156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9" t="s">
        <v>317</v>
      </c>
      <c r="C288" s="320"/>
      <c r="D288" s="79"/>
      <c r="E288" s="80"/>
      <c r="F288" s="80"/>
      <c r="G288" s="81"/>
      <c r="H288" s="192"/>
      <c r="I288" s="192"/>
      <c r="J288" s="192"/>
      <c r="K288" s="82"/>
      <c r="L288" s="319" t="s">
        <v>306</v>
      </c>
      <c r="M288" s="330"/>
      <c r="N288" s="330"/>
      <c r="O288" s="330"/>
      <c r="P288" s="330"/>
      <c r="Q288" s="330"/>
      <c r="R288" s="330"/>
      <c r="S288" s="330"/>
      <c r="T288" s="330"/>
      <c r="U288" s="320"/>
      <c r="V288" s="104"/>
      <c r="W288" s="72"/>
      <c r="X288" s="72"/>
      <c r="Y288" s="72"/>
      <c r="Z288" s="72"/>
      <c r="AA288" s="72" t="str">
        <f t="shared" si="117"/>
        <v/>
      </c>
      <c r="AB288" s="72"/>
      <c r="AC288" s="72">
        <f>SUM(AC263:AC287)</f>
        <v>25</v>
      </c>
      <c r="AD288" s="72">
        <f>SUM(AD263:AD287)</f>
        <v>21</v>
      </c>
      <c r="AM288" s="109">
        <f>SUM(AM263:AM287)</f>
        <v>1</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2" t="s">
        <v>222</v>
      </c>
      <c r="C293" s="313"/>
      <c r="D293" s="314" t="s">
        <v>223</v>
      </c>
      <c r="E293" s="305"/>
      <c r="F293" s="88"/>
      <c r="G293" s="315" t="s">
        <v>224</v>
      </c>
      <c r="H293" s="316"/>
      <c r="I293" s="28">
        <f>SUM(E304:E328)</f>
        <v>12</v>
      </c>
      <c r="J293" s="317" t="s">
        <v>225</v>
      </c>
      <c r="K293" s="318"/>
      <c r="L293" s="305"/>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420</v>
      </c>
      <c r="J294" s="289" t="s">
        <v>231</v>
      </c>
      <c r="K294" s="290"/>
      <c r="L294" s="34">
        <f>I298</f>
        <v>589</v>
      </c>
      <c r="M294" s="196">
        <v>4</v>
      </c>
      <c r="N294" s="35">
        <f>SUM(AI294,AI305)</f>
        <v>0</v>
      </c>
      <c r="O294" s="35">
        <v>0</v>
      </c>
      <c r="P294" s="35">
        <f>SUM(AJ294,AJ305)</f>
        <v>0</v>
      </c>
      <c r="Q294" s="35">
        <v>0</v>
      </c>
      <c r="R294" s="35">
        <f>COUNTIFS($E304:$E328,"4",$F304:$F328,"Pole",$C304:$C328,"FST")</f>
        <v>0</v>
      </c>
      <c r="S294" s="35">
        <f>SUM(AL294,AK305)</f>
        <v>0</v>
      </c>
      <c r="T294" s="35">
        <v>0</v>
      </c>
      <c r="U294" s="35">
        <f>SUM(AK294,AL305)</f>
        <v>1</v>
      </c>
      <c r="V294" s="35">
        <v>0</v>
      </c>
      <c r="W294" s="34">
        <f>COUNTIFS($E304:$E328,"4",$F304:$F328,"HH",$C304:$C328,"FST")</f>
        <v>1</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1</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432</v>
      </c>
      <c r="F295" s="88"/>
      <c r="G295" s="291" t="s">
        <v>237</v>
      </c>
      <c r="H295" s="292"/>
      <c r="I295" s="35">
        <f>IF(E295=0,0,12-(MOD(I293,12)))</f>
        <v>12</v>
      </c>
      <c r="J295" s="289" t="s">
        <v>238</v>
      </c>
      <c r="K295" s="290"/>
      <c r="L295" s="39">
        <f>I299-I293</f>
        <v>588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192</v>
      </c>
      <c r="F296" s="88"/>
      <c r="G296" s="321" t="s">
        <v>242</v>
      </c>
      <c r="H296" s="43" t="s">
        <v>243</v>
      </c>
      <c r="I296" s="35">
        <f>IF(E296&lt;&gt;0,1,0)</f>
        <v>1</v>
      </c>
      <c r="J296" s="291" t="s">
        <v>244</v>
      </c>
      <c r="K296" s="292"/>
      <c r="L296" s="44">
        <f>'Cable Calculator'!AM3</f>
        <v>1312</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589</v>
      </c>
      <c r="F297" s="88"/>
      <c r="G297" s="322"/>
      <c r="H297" s="47" t="s">
        <v>248</v>
      </c>
      <c r="I297" s="35">
        <f>IF(E296&lt;&gt;0,E296,0)</f>
        <v>192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36</v>
      </c>
      <c r="F298" s="88"/>
      <c r="G298" s="321" t="s">
        <v>251</v>
      </c>
      <c r="H298" s="51" t="s">
        <v>252</v>
      </c>
      <c r="I298" s="112">
        <f>E297</f>
        <v>589</v>
      </c>
      <c r="J298" s="323" t="s">
        <v>253</v>
      </c>
      <c r="K298" s="324"/>
      <c r="L298" s="32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228</v>
      </c>
      <c r="D299" s="31" t="s">
        <v>256</v>
      </c>
      <c r="E299" s="101" t="str">
        <f>IF('Cable Calculator'!AM5="","",'Cable Calculator'!AM5)</f>
        <v>N</v>
      </c>
      <c r="F299" s="88"/>
      <c r="G299" s="322"/>
      <c r="H299" s="47" t="s">
        <v>257</v>
      </c>
      <c r="I299" s="35">
        <f>IF(E297="","0",IF(AND(E294="EUC",E295=432), I298+(203-E296),IF(E297=0,0,(E297+(E295-E296)-1))))</f>
        <v>600</v>
      </c>
      <c r="J299" s="285" t="str">
        <f>IFERROR(IF(OR(E294="EUC",E294="SS"),"---",IF(OR(P293,S293),"NO 2F Tethers for RPX!",IF(OR(P295,S295),"NO 6F Tethers for RPX!","---"))),"---")</f>
        <v>---</v>
      </c>
      <c r="K299" s="286"/>
      <c r="L299" s="287"/>
      <c r="M299" s="285" t="str">
        <f>IF(E296&gt;60,"Dead Count &gt;60: Consider Downsize","---")</f>
        <v>Dead Count &gt;60: Consider Downsize</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240</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2"/>
      <c r="C303" s="294"/>
      <c r="D303" s="294"/>
      <c r="E303" s="307"/>
      <c r="F303" s="294"/>
      <c r="G303" s="309"/>
      <c r="H303" s="309"/>
      <c r="I303" s="309"/>
      <c r="J303" s="311"/>
      <c r="K303" s="294"/>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760</v>
      </c>
      <c r="E304" s="32">
        <v>8</v>
      </c>
      <c r="F304" s="32" t="s">
        <v>488</v>
      </c>
      <c r="G304" s="68" t="s">
        <v>277</v>
      </c>
      <c r="H304" s="69">
        <f>IF(I304=0,0,I304-(E304-1))</f>
        <v>593</v>
      </c>
      <c r="I304" s="70">
        <f>IF(E304=0,0,I299)</f>
        <v>600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593-600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8</v>
      </c>
    </row>
    <row r="305" spans="1:53" ht="15.75" thickBot="1" x14ac:dyDescent="0.3">
      <c r="A305" s="88"/>
      <c r="B305" s="66" t="s">
        <v>279</v>
      </c>
      <c r="C305" s="67" t="s">
        <v>484</v>
      </c>
      <c r="D305" s="102" t="s">
        <v>759</v>
      </c>
      <c r="E305" s="32">
        <v>4</v>
      </c>
      <c r="F305" s="32" t="s">
        <v>488</v>
      </c>
      <c r="G305" s="68" t="s">
        <v>277</v>
      </c>
      <c r="H305" s="69">
        <f t="shared" ref="H305:H328" si="128">IF(E305=0,0,I305-(E305-1))</f>
        <v>589</v>
      </c>
      <c r="I305" s="70">
        <f t="shared" ref="I305:I328" si="129">IF(E305=0,0,H304-1)</f>
        <v>592</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589-592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502</v>
      </c>
      <c r="D306" s="102"/>
      <c r="E306" s="32"/>
      <c r="F306" s="32"/>
      <c r="G306" s="75" t="s">
        <v>277</v>
      </c>
      <c r="H306" s="69">
        <f t="shared" si="128"/>
        <v>0</v>
      </c>
      <c r="I306" s="70">
        <f t="shared" si="129"/>
        <v>0</v>
      </c>
      <c r="J306" s="73" t="str">
        <f t="shared" ref="J306:J328" si="130">IF(C306="","--",IF(AND(C306&lt;&gt;"FST",C306&lt;&gt;"TCF",BA305&lt;&gt;0),BA305,"--"))</f>
        <v>--</v>
      </c>
      <c r="K306" s="32"/>
      <c r="L306" s="233"/>
      <c r="M306" s="277" t="s">
        <v>736</v>
      </c>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1</v>
      </c>
      <c r="AE306" s="109" t="str">
        <f t="shared" si="121"/>
        <v>0-0</v>
      </c>
      <c r="AF306" s="109" t="str">
        <f t="shared" si="122"/>
        <v>N</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9" t="s">
        <v>319</v>
      </c>
      <c r="C329" s="320"/>
      <c r="D329" s="79"/>
      <c r="E329" s="80"/>
      <c r="F329" s="80"/>
      <c r="G329" s="81"/>
      <c r="H329" s="192"/>
      <c r="I329" s="192"/>
      <c r="J329" s="192"/>
      <c r="K329" s="82"/>
      <c r="L329" s="319" t="s">
        <v>306</v>
      </c>
      <c r="M329" s="330"/>
      <c r="N329" s="330"/>
      <c r="O329" s="330"/>
      <c r="P329" s="330"/>
      <c r="Q329" s="330"/>
      <c r="R329" s="330"/>
      <c r="S329" s="330"/>
      <c r="T329" s="330"/>
      <c r="U329" s="320"/>
      <c r="V329" s="104"/>
      <c r="W329" s="72"/>
      <c r="X329" s="72"/>
      <c r="Y329" s="72"/>
      <c r="Z329" s="72"/>
      <c r="AA329" s="72" t="str">
        <f t="shared" si="134"/>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2" t="s">
        <v>222</v>
      </c>
      <c r="C334" s="313"/>
      <c r="D334" s="314" t="s">
        <v>223</v>
      </c>
      <c r="E334" s="305"/>
      <c r="F334" s="88"/>
      <c r="G334" s="315" t="s">
        <v>224</v>
      </c>
      <c r="H334" s="316"/>
      <c r="I334" s="28">
        <f>SUM(E345:E369)</f>
        <v>12</v>
      </c>
      <c r="J334" s="317" t="s">
        <v>225</v>
      </c>
      <c r="K334" s="318"/>
      <c r="L334" s="305"/>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226</v>
      </c>
      <c r="AA334" s="296"/>
      <c r="AB334" s="297"/>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4" t="s">
        <v>230</v>
      </c>
      <c r="H335" s="305"/>
      <c r="I335" s="33">
        <f>E336-I334</f>
        <v>12</v>
      </c>
      <c r="J335" s="289" t="s">
        <v>231</v>
      </c>
      <c r="K335" s="290"/>
      <c r="L335" s="34">
        <f>I339</f>
        <v>745</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8" t="s">
        <v>232</v>
      </c>
      <c r="AA335" s="300" t="s">
        <v>233</v>
      </c>
      <c r="AB335" s="301"/>
      <c r="AC335" s="25"/>
      <c r="AD335" s="25"/>
      <c r="AH335" s="109">
        <v>4</v>
      </c>
      <c r="AI335" s="109" t="str">
        <f>IF($E335="SS",COUNTIFS($C345:$C369,"FST",$E345:$E369,"4"),"0")</f>
        <v>0</v>
      </c>
      <c r="AJ335" s="109">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1" t="s">
        <v>237</v>
      </c>
      <c r="H336" s="292"/>
      <c r="I336" s="35">
        <f>IF(E336=0,0,12-(MOD(I334,12)))</f>
        <v>12</v>
      </c>
      <c r="J336" s="289" t="s">
        <v>238</v>
      </c>
      <c r="K336" s="290"/>
      <c r="L336" s="39">
        <f>I340-I334</f>
        <v>744</v>
      </c>
      <c r="M336" s="196">
        <v>6</v>
      </c>
      <c r="N336" s="35">
        <f>SUM(AI336,AI347)</f>
        <v>0</v>
      </c>
      <c r="O336" s="35">
        <v>0</v>
      </c>
      <c r="P336" s="35">
        <f>SUM(AJ336,AJ347)</f>
        <v>2</v>
      </c>
      <c r="Q336" s="35">
        <v>0</v>
      </c>
      <c r="R336" s="35">
        <f>COUNTIFS($E345:$E369,"6",$F345:$F369,"Pole",$C345:$C369,"FST")</f>
        <v>2</v>
      </c>
      <c r="S336" s="35">
        <f>SUM(AL336,AK347)</f>
        <v>0</v>
      </c>
      <c r="T336" s="35">
        <v>0</v>
      </c>
      <c r="U336" s="35">
        <f>SUM(AK336,AL347)</f>
        <v>0</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f>IF($E335="RPX",COUNTIFS($C345:$C369,"FST",$E345:$E369,"6"),"0")</f>
        <v>2</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1" t="s">
        <v>242</v>
      </c>
      <c r="H337" s="43" t="s">
        <v>243</v>
      </c>
      <c r="I337" s="35">
        <f>IF(E337&lt;&gt;0,1,0)</f>
        <v>1</v>
      </c>
      <c r="J337" s="291" t="s">
        <v>244</v>
      </c>
      <c r="K337" s="292"/>
      <c r="L337" s="44">
        <f>'Cable Calculator'!AR3</f>
        <v>553</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745</v>
      </c>
      <c r="F338" s="88"/>
      <c r="G338" s="322"/>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1" t="s">
        <v>251</v>
      </c>
      <c r="H339" s="51" t="s">
        <v>252</v>
      </c>
      <c r="I339" s="112">
        <f>E338</f>
        <v>745</v>
      </c>
      <c r="J339" s="323" t="s">
        <v>253</v>
      </c>
      <c r="K339" s="324"/>
      <c r="L339" s="32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2"/>
      <c r="H340" s="47" t="s">
        <v>257</v>
      </c>
      <c r="I340" s="35">
        <f>IF(E338="","0",IF(AND(E335="EUC",E336=432), I339+(203-E337),IF(E338=0,0,(E338+(E336-E337)-1))))</f>
        <v>756</v>
      </c>
      <c r="J340" s="285" t="str">
        <f>IFERROR(IF(OR(E335="EUC",E335="SS"),"---",IF(OR(P334,S334),"NO 2F Tethers for RPX!",IF(OR(P336,S336),"NO 6F Tethers for RPX!","---"))),"---")</f>
        <v>NO 6F Tethers for RPX!</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2"/>
      <c r="C344" s="294"/>
      <c r="D344" s="294"/>
      <c r="E344" s="307"/>
      <c r="F344" s="294"/>
      <c r="G344" s="309"/>
      <c r="H344" s="309"/>
      <c r="I344" s="309"/>
      <c r="J344" s="311"/>
      <c r="K344" s="294"/>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761</v>
      </c>
      <c r="E345" s="32">
        <v>6</v>
      </c>
      <c r="F345" s="32" t="s">
        <v>483</v>
      </c>
      <c r="G345" s="68" t="s">
        <v>277</v>
      </c>
      <c r="H345" s="69">
        <f>IF(I345=0,0,I345-(E345-1))</f>
        <v>751</v>
      </c>
      <c r="I345" s="70">
        <f>IF(E345=0,0,I340)</f>
        <v>756</v>
      </c>
      <c r="J345" s="71" t="s">
        <v>278</v>
      </c>
      <c r="K345" s="32"/>
      <c r="L345" s="233"/>
      <c r="M345" s="277" t="s">
        <v>735</v>
      </c>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751-756</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6</v>
      </c>
    </row>
    <row r="346" spans="1:53" ht="15.75" thickBot="1" x14ac:dyDescent="0.3">
      <c r="A346" s="88"/>
      <c r="B346" s="66" t="s">
        <v>279</v>
      </c>
      <c r="C346" s="67" t="s">
        <v>484</v>
      </c>
      <c r="D346" s="102" t="s">
        <v>762</v>
      </c>
      <c r="E346" s="32">
        <v>6</v>
      </c>
      <c r="F346" s="32" t="s">
        <v>483</v>
      </c>
      <c r="G346" s="68" t="s">
        <v>277</v>
      </c>
      <c r="H346" s="69">
        <f t="shared" ref="H346:H369" si="145">IF(E346=0,0,I346-(E346-1))</f>
        <v>745</v>
      </c>
      <c r="I346" s="70">
        <f t="shared" ref="I346:I369" si="146">IF(E346=0,0,H345-1)</f>
        <v>750</v>
      </c>
      <c r="J346" s="73" t="str">
        <f>IF(C346="","--",IF(AND(C346&lt;&gt;"FST",C346&lt;&gt;"TCF",BA345&lt;&gt;0),BA345,"--"))</f>
        <v>--</v>
      </c>
      <c r="K346" s="32"/>
      <c r="L346" s="233"/>
      <c r="M346" s="277" t="s">
        <v>735</v>
      </c>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745-750</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319" t="s">
        <v>321</v>
      </c>
      <c r="C370" s="320"/>
      <c r="D370" s="79"/>
      <c r="E370" s="80"/>
      <c r="F370" s="80"/>
      <c r="G370" s="81"/>
      <c r="H370" s="192"/>
      <c r="I370" s="192"/>
      <c r="J370" s="192"/>
      <c r="K370" s="82"/>
      <c r="L370" s="319" t="s">
        <v>306</v>
      </c>
      <c r="M370" s="330"/>
      <c r="N370" s="330"/>
      <c r="O370" s="330"/>
      <c r="P370" s="330"/>
      <c r="Q370" s="330"/>
      <c r="R370" s="330"/>
      <c r="S370" s="330"/>
      <c r="T370" s="330"/>
      <c r="U370" s="320"/>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2" t="s">
        <v>222</v>
      </c>
      <c r="C375" s="313"/>
      <c r="D375" s="314" t="s">
        <v>223</v>
      </c>
      <c r="E375" s="305"/>
      <c r="F375" s="88"/>
      <c r="G375" s="315" t="s">
        <v>224</v>
      </c>
      <c r="H375" s="316"/>
      <c r="I375" s="28">
        <f>SUM(E386:E410)</f>
        <v>120</v>
      </c>
      <c r="J375" s="317" t="s">
        <v>225</v>
      </c>
      <c r="K375" s="318"/>
      <c r="L375" s="305"/>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4" t="s">
        <v>230</v>
      </c>
      <c r="H376" s="305"/>
      <c r="I376" s="33">
        <f>E377-I375</f>
        <v>24</v>
      </c>
      <c r="J376" s="289" t="s">
        <v>231</v>
      </c>
      <c r="K376" s="290"/>
      <c r="L376" s="34">
        <f>I380</f>
        <v>601</v>
      </c>
      <c r="M376" s="196">
        <v>4</v>
      </c>
      <c r="N376" s="35">
        <f>SUM(AI376,AI387)</f>
        <v>0</v>
      </c>
      <c r="O376" s="35">
        <v>0</v>
      </c>
      <c r="P376" s="35">
        <f>SUM(AJ376,AJ387)</f>
        <v>0</v>
      </c>
      <c r="Q376" s="35">
        <v>0</v>
      </c>
      <c r="R376" s="35">
        <f>COUNTIFS($E386:$E410,"4",$F386:$F410,"Pole",$C386:$C410,"FST")</f>
        <v>0</v>
      </c>
      <c r="S376" s="35">
        <f>SUM(AL376,AK387)</f>
        <v>0</v>
      </c>
      <c r="T376" s="35">
        <v>0</v>
      </c>
      <c r="U376" s="35">
        <f>SUM(AK376,AL387)</f>
        <v>6</v>
      </c>
      <c r="V376" s="35">
        <v>0</v>
      </c>
      <c r="W376" s="34">
        <f>COUNTIFS($E386:$E410,"4",$F386:$F410,"HH",$C386:$C410,"FST")</f>
        <v>6</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144</v>
      </c>
      <c r="F377" s="88"/>
      <c r="G377" s="291" t="s">
        <v>237</v>
      </c>
      <c r="H377" s="292"/>
      <c r="I377" s="35">
        <f>IF(E377=0,0,12-(MOD(I375,12)))</f>
        <v>12</v>
      </c>
      <c r="J377" s="289" t="s">
        <v>238</v>
      </c>
      <c r="K377" s="290"/>
      <c r="L377" s="39">
        <f>I381-I375</f>
        <v>600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24</v>
      </c>
      <c r="F378" s="88"/>
      <c r="G378" s="321" t="s">
        <v>242</v>
      </c>
      <c r="H378" s="43" t="s">
        <v>243</v>
      </c>
      <c r="I378" s="35">
        <f>IF(E378&lt;&gt;0,1,0)</f>
        <v>1</v>
      </c>
      <c r="J378" s="291" t="s">
        <v>244</v>
      </c>
      <c r="K378" s="292"/>
      <c r="L378" s="44">
        <f>'Cable Calculator'!AW3</f>
        <v>1941</v>
      </c>
      <c r="M378" s="196">
        <v>8</v>
      </c>
      <c r="N378" s="35">
        <f>SUM(AI378,AI389)</f>
        <v>0</v>
      </c>
      <c r="O378" s="35">
        <v>0</v>
      </c>
      <c r="P378" s="35">
        <f>SUM(AJ378,AJ389)</f>
        <v>0</v>
      </c>
      <c r="Q378" s="35">
        <v>0</v>
      </c>
      <c r="R378" s="35">
        <f>COUNTIFS($E386:$E410,"8",$F386:$F410,"Pole",$C386:$C410,"FST")</f>
        <v>0</v>
      </c>
      <c r="S378" s="35">
        <f>SUM(AL378,AK389)</f>
        <v>0</v>
      </c>
      <c r="T378" s="35">
        <v>0</v>
      </c>
      <c r="U378" s="35">
        <f>SUM(AK378,AL389)</f>
        <v>3</v>
      </c>
      <c r="V378" s="35">
        <v>0</v>
      </c>
      <c r="W378" s="34">
        <f>COUNTIFS($E386:$E410,"8",$F386:$F410,"HH",$C386:$C410,"FST")</f>
        <v>3</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601</v>
      </c>
      <c r="F379" s="88"/>
      <c r="G379" s="322"/>
      <c r="H379" s="47" t="s">
        <v>248</v>
      </c>
      <c r="I379" s="35">
        <f>IF(E378&lt;&gt;0,E378,0)</f>
        <v>24</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12</v>
      </c>
      <c r="F380" s="88"/>
      <c r="G380" s="321" t="s">
        <v>251</v>
      </c>
      <c r="H380" s="51" t="s">
        <v>252</v>
      </c>
      <c r="I380" s="112">
        <f>E379</f>
        <v>601</v>
      </c>
      <c r="J380" s="323" t="s">
        <v>253</v>
      </c>
      <c r="K380" s="324"/>
      <c r="L380" s="32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2"/>
      <c r="H381" s="47" t="s">
        <v>257</v>
      </c>
      <c r="I381" s="35">
        <f>IF(E379="","0",IF(AND(E376="EUC",E377=432), I380+(203-E378),IF(E379=0,0,(E379+(E377-E378)-1))))</f>
        <v>720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2"/>
      <c r="C385" s="294"/>
      <c r="D385" s="294"/>
      <c r="E385" s="307"/>
      <c r="F385" s="294"/>
      <c r="G385" s="309"/>
      <c r="H385" s="309"/>
      <c r="I385" s="309"/>
      <c r="J385" s="311"/>
      <c r="K385" s="294"/>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763</v>
      </c>
      <c r="E386" s="32">
        <v>4</v>
      </c>
      <c r="F386" s="32" t="s">
        <v>488</v>
      </c>
      <c r="G386" s="68" t="s">
        <v>277</v>
      </c>
      <c r="H386" s="69">
        <f>IF(I386=0,0,I386-(E386-1))</f>
        <v>717</v>
      </c>
      <c r="I386" s="70">
        <f>IF(E386=0,0,I381)</f>
        <v>720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717-720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764</v>
      </c>
      <c r="E387" s="32">
        <v>4</v>
      </c>
      <c r="F387" s="32" t="s">
        <v>488</v>
      </c>
      <c r="G387" s="68" t="s">
        <v>277</v>
      </c>
      <c r="H387" s="69">
        <f t="shared" ref="H387:H410" si="162">IF(E387=0,0,I387-(E387-1))</f>
        <v>713</v>
      </c>
      <c r="I387" s="70">
        <f t="shared" ref="I387:I410" si="163">IF(E387=0,0,H386-1)</f>
        <v>716</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0</v>
      </c>
      <c r="AE387" s="109" t="str">
        <f t="shared" si="155"/>
        <v>713-716</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8</v>
      </c>
    </row>
    <row r="388" spans="1:53" ht="15.75" thickBot="1" x14ac:dyDescent="0.3">
      <c r="A388" s="88"/>
      <c r="B388" s="74" t="s">
        <v>280</v>
      </c>
      <c r="C388" s="67" t="s">
        <v>484</v>
      </c>
      <c r="D388" s="102" t="s">
        <v>822</v>
      </c>
      <c r="E388" s="32">
        <v>8</v>
      </c>
      <c r="F388" s="32" t="s">
        <v>488</v>
      </c>
      <c r="G388" s="75" t="s">
        <v>277</v>
      </c>
      <c r="H388" s="69">
        <f t="shared" si="162"/>
        <v>705</v>
      </c>
      <c r="I388" s="70">
        <f t="shared" si="163"/>
        <v>712</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0</v>
      </c>
      <c r="AE388" s="109" t="str">
        <f t="shared" si="155"/>
        <v>705-712</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765</v>
      </c>
      <c r="E389" s="32">
        <v>4</v>
      </c>
      <c r="F389" s="32" t="s">
        <v>488</v>
      </c>
      <c r="G389" s="68" t="s">
        <v>277</v>
      </c>
      <c r="H389" s="69">
        <f t="shared" si="162"/>
        <v>701</v>
      </c>
      <c r="I389" s="70">
        <f t="shared" si="163"/>
        <v>704</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0</v>
      </c>
      <c r="AE389" s="109" t="str">
        <f t="shared" si="155"/>
        <v>701-704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4</v>
      </c>
    </row>
    <row r="390" spans="1:53" ht="15.75" thickBot="1" x14ac:dyDescent="0.3">
      <c r="A390" s="88"/>
      <c r="B390" s="66" t="s">
        <v>282</v>
      </c>
      <c r="C390" s="67" t="s">
        <v>484</v>
      </c>
      <c r="D390" s="102" t="s">
        <v>766</v>
      </c>
      <c r="E390" s="32">
        <v>8</v>
      </c>
      <c r="F390" s="32" t="s">
        <v>488</v>
      </c>
      <c r="G390" s="68" t="s">
        <v>277</v>
      </c>
      <c r="H390" s="69">
        <f t="shared" si="162"/>
        <v>693</v>
      </c>
      <c r="I390" s="70">
        <f t="shared" si="163"/>
        <v>700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693-700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8</v>
      </c>
    </row>
    <row r="391" spans="1:53" ht="15.75" thickBot="1" x14ac:dyDescent="0.3">
      <c r="A391" s="88"/>
      <c r="B391" s="66" t="s">
        <v>283</v>
      </c>
      <c r="C391" s="67" t="s">
        <v>484</v>
      </c>
      <c r="D391" s="102" t="s">
        <v>817</v>
      </c>
      <c r="E391" s="32">
        <v>4</v>
      </c>
      <c r="F391" s="32" t="s">
        <v>488</v>
      </c>
      <c r="G391" s="68" t="s">
        <v>277</v>
      </c>
      <c r="H391" s="69">
        <f t="shared" si="162"/>
        <v>689</v>
      </c>
      <c r="I391" s="70">
        <f t="shared" si="163"/>
        <v>692</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0</v>
      </c>
      <c r="AE391" s="109" t="str">
        <f t="shared" si="155"/>
        <v>689-692</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t="s">
        <v>484</v>
      </c>
      <c r="D392" s="102" t="s">
        <v>818</v>
      </c>
      <c r="E392" s="32">
        <v>4</v>
      </c>
      <c r="F392" s="32" t="s">
        <v>488</v>
      </c>
      <c r="G392" s="68" t="s">
        <v>277</v>
      </c>
      <c r="H392" s="69">
        <f t="shared" si="162"/>
        <v>685</v>
      </c>
      <c r="I392" s="70">
        <f t="shared" si="163"/>
        <v>688</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0</v>
      </c>
      <c r="AE392" s="109" t="str">
        <f t="shared" si="155"/>
        <v>685-688</v>
      </c>
      <c r="AF392" s="109" t="str">
        <f t="shared" si="156"/>
        <v>Y</v>
      </c>
      <c r="AG392" s="109" t="str">
        <f t="shared" si="157"/>
        <v>B</v>
      </c>
      <c r="AM392" s="109">
        <f t="shared" si="158"/>
        <v>0</v>
      </c>
      <c r="AN392" s="109">
        <f t="shared" si="159"/>
        <v>0</v>
      </c>
      <c r="AO392" s="109" t="str">
        <f t="shared" si="160"/>
        <v/>
      </c>
      <c r="AQ392" s="109" t="str">
        <f t="shared" si="161"/>
        <v/>
      </c>
      <c r="BA392" s="229">
        <f>MOD(SUM(E386:E393),12)</f>
        <v>4</v>
      </c>
    </row>
    <row r="393" spans="1:53" ht="15.75" thickBot="1" x14ac:dyDescent="0.3">
      <c r="A393" s="88"/>
      <c r="B393" s="66" t="s">
        <v>285</v>
      </c>
      <c r="C393" s="67" t="s">
        <v>484</v>
      </c>
      <c r="D393" s="102" t="s">
        <v>821</v>
      </c>
      <c r="E393" s="32">
        <v>4</v>
      </c>
      <c r="F393" s="32" t="s">
        <v>488</v>
      </c>
      <c r="G393" s="68" t="s">
        <v>277</v>
      </c>
      <c r="H393" s="69">
        <f t="shared" si="162"/>
        <v>681</v>
      </c>
      <c r="I393" s="70">
        <f t="shared" si="163"/>
        <v>684</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0</v>
      </c>
      <c r="AE393" s="109" t="str">
        <f t="shared" si="155"/>
        <v>681-684</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t="s">
        <v>484</v>
      </c>
      <c r="D394" s="102" t="s">
        <v>820</v>
      </c>
      <c r="E394" s="32">
        <v>8</v>
      </c>
      <c r="F394" s="32" t="s">
        <v>488</v>
      </c>
      <c r="G394" s="68" t="s">
        <v>277</v>
      </c>
      <c r="H394" s="69">
        <f t="shared" si="162"/>
        <v>673</v>
      </c>
      <c r="I394" s="70">
        <f t="shared" si="163"/>
        <v>680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0</v>
      </c>
      <c r="AE394" s="109" t="str">
        <f t="shared" si="155"/>
        <v>673-680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t="s">
        <v>502</v>
      </c>
      <c r="D395" s="102"/>
      <c r="E395" s="32">
        <v>12</v>
      </c>
      <c r="F395" s="32"/>
      <c r="G395" s="68" t="s">
        <v>277</v>
      </c>
      <c r="H395" s="69">
        <f t="shared" si="162"/>
        <v>661</v>
      </c>
      <c r="I395" s="70">
        <f t="shared" si="163"/>
        <v>672</v>
      </c>
      <c r="J395" s="73" t="str">
        <f t="shared" si="164"/>
        <v>--</v>
      </c>
      <c r="K395" s="32"/>
      <c r="L395" s="233"/>
      <c r="M395" s="277" t="s">
        <v>413</v>
      </c>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661-672</v>
      </c>
      <c r="AF395" s="109" t="str">
        <f t="shared" si="156"/>
        <v>N</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t="s">
        <v>502</v>
      </c>
      <c r="D396" s="102"/>
      <c r="E396" s="32">
        <v>60</v>
      </c>
      <c r="F396" s="32"/>
      <c r="G396" s="68" t="s">
        <v>277</v>
      </c>
      <c r="H396" s="69">
        <f t="shared" si="162"/>
        <v>601</v>
      </c>
      <c r="I396" s="70">
        <f t="shared" si="163"/>
        <v>660</v>
      </c>
      <c r="J396" s="73" t="str">
        <f t="shared" si="164"/>
        <v>--</v>
      </c>
      <c r="K396" s="32"/>
      <c r="L396" s="233"/>
      <c r="M396" s="277" t="s">
        <v>414</v>
      </c>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601-660</v>
      </c>
      <c r="AF396" s="109" t="str">
        <f t="shared" si="156"/>
        <v>N</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121</v>
      </c>
      <c r="X397" s="84"/>
      <c r="Y397" s="78">
        <f>SUM(E386:E397)</f>
        <v>120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121</v>
      </c>
      <c r="X398" s="84"/>
      <c r="Y398" s="78">
        <f>SUM(E386:E398)</f>
        <v>120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121</v>
      </c>
      <c r="X399" s="84"/>
      <c r="Y399" s="78">
        <f>SUM(E386:E399)</f>
        <v>120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121</v>
      </c>
      <c r="X400" s="84"/>
      <c r="Y400" s="78">
        <f>SUM(E386:E400)</f>
        <v>120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121</v>
      </c>
      <c r="X401" s="84"/>
      <c r="Y401" s="78">
        <f>SUM(E386:E401)</f>
        <v>120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121</v>
      </c>
      <c r="X402" s="84"/>
      <c r="Y402" s="78">
        <f>SUM(E386:E402)</f>
        <v>120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121</v>
      </c>
      <c r="X403" s="84"/>
      <c r="Y403" s="78">
        <f>SUM(E386:E403)</f>
        <v>120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121</v>
      </c>
      <c r="X404" s="84"/>
      <c r="Y404" s="78">
        <f>SUM(E386:E404)</f>
        <v>120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121</v>
      </c>
      <c r="X405" s="84"/>
      <c r="Y405" s="78">
        <f>SUM(E386:E405)</f>
        <v>120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121</v>
      </c>
      <c r="X406" s="84"/>
      <c r="Y406" s="78">
        <f>SUM(E386:E406)</f>
        <v>120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121</v>
      </c>
      <c r="X407" s="84"/>
      <c r="Y407" s="78">
        <f>SUM(E386:E407)</f>
        <v>120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121</v>
      </c>
      <c r="X408" s="84"/>
      <c r="Y408" s="78">
        <f>SUM(E386:E408)</f>
        <v>120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121</v>
      </c>
      <c r="X409" s="84"/>
      <c r="Y409" s="78">
        <f>SUM(E386:E409)</f>
        <v>120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120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9" t="s">
        <v>323</v>
      </c>
      <c r="C411" s="320"/>
      <c r="D411" s="79"/>
      <c r="E411" s="80"/>
      <c r="F411" s="80"/>
      <c r="G411" s="81"/>
      <c r="H411" s="192"/>
      <c r="I411" s="192"/>
      <c r="J411" s="192"/>
      <c r="K411" s="82"/>
      <c r="L411" s="319" t="s">
        <v>306</v>
      </c>
      <c r="M411" s="330"/>
      <c r="N411" s="330"/>
      <c r="O411" s="330"/>
      <c r="P411" s="330"/>
      <c r="Q411" s="330"/>
      <c r="R411" s="330"/>
      <c r="S411" s="330"/>
      <c r="T411" s="330"/>
      <c r="U411" s="320"/>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2" t="s">
        <v>222</v>
      </c>
      <c r="C416" s="313"/>
      <c r="D416" s="314" t="s">
        <v>223</v>
      </c>
      <c r="E416" s="305"/>
      <c r="F416" s="88"/>
      <c r="G416" s="315" t="s">
        <v>224</v>
      </c>
      <c r="H416" s="316"/>
      <c r="I416" s="28">
        <f>SUM(E427:E451)</f>
        <v>12</v>
      </c>
      <c r="J416" s="317" t="s">
        <v>225</v>
      </c>
      <c r="K416" s="318"/>
      <c r="L416" s="305"/>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4" t="s">
        <v>230</v>
      </c>
      <c r="H417" s="305"/>
      <c r="I417" s="33">
        <f>E418-I416</f>
        <v>12</v>
      </c>
      <c r="J417" s="289" t="s">
        <v>231</v>
      </c>
      <c r="K417" s="290"/>
      <c r="L417" s="34">
        <f>I421</f>
        <v>661</v>
      </c>
      <c r="M417" s="196">
        <v>4</v>
      </c>
      <c r="N417" s="35">
        <f>SUM(AI417,AI428)</f>
        <v>0</v>
      </c>
      <c r="O417" s="35">
        <v>0</v>
      </c>
      <c r="P417" s="35">
        <f>SUM(AJ417,AJ428)</f>
        <v>0</v>
      </c>
      <c r="Q417" s="35">
        <v>0</v>
      </c>
      <c r="R417" s="35">
        <f>COUNTIFS($E427:$E451,"4",$F427:$F451,"Pole",$C427:$C451,"FST")</f>
        <v>0</v>
      </c>
      <c r="S417" s="35">
        <f>SUM(AL417,AK428)</f>
        <v>0</v>
      </c>
      <c r="T417" s="35">
        <v>0</v>
      </c>
      <c r="U417" s="35">
        <f>SUM(AK417,AL428)</f>
        <v>3</v>
      </c>
      <c r="V417" s="35">
        <v>0</v>
      </c>
      <c r="W417" s="34">
        <f>COUNTIFS($E427:$E451,"4",$F427:$F451,"HH",$C427:$C451,"FST")</f>
        <v>3</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f>IF($E417="EUC",COUNTIFS($C427:$C451,"FST",$E427:$E451,"4"),"0")</f>
        <v>3</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1" t="s">
        <v>237</v>
      </c>
      <c r="H418" s="292"/>
      <c r="I418" s="35">
        <f>IF(E418=0,0,12-(MOD(I416,12)))</f>
        <v>12</v>
      </c>
      <c r="J418" s="289" t="s">
        <v>238</v>
      </c>
      <c r="K418" s="290"/>
      <c r="L418" s="39">
        <f>I422-I416</f>
        <v>660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1" t="s">
        <v>242</v>
      </c>
      <c r="H419" s="43" t="s">
        <v>243</v>
      </c>
      <c r="I419" s="35">
        <f>IF(E419&lt;&gt;0,1,0)</f>
        <v>1</v>
      </c>
      <c r="J419" s="291" t="s">
        <v>244</v>
      </c>
      <c r="K419" s="292"/>
      <c r="L419" s="44">
        <f>'Cable Calculator'!BB3</f>
        <v>313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661</v>
      </c>
      <c r="F420" s="88"/>
      <c r="G420" s="322"/>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1" t="s">
        <v>251</v>
      </c>
      <c r="H421" s="51" t="s">
        <v>252</v>
      </c>
      <c r="I421" s="112">
        <f>E420</f>
        <v>661</v>
      </c>
      <c r="J421" s="323" t="s">
        <v>253</v>
      </c>
      <c r="K421" s="324"/>
      <c r="L421" s="32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2"/>
      <c r="H422" s="47" t="s">
        <v>257</v>
      </c>
      <c r="I422" s="35">
        <f>IF(E420="","0",IF(AND(E417="EUC",E418=432), I421+(203-E419),IF(E420=0,0,(E420+(E418-E419)-1))))</f>
        <v>672</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2"/>
      <c r="C426" s="294"/>
      <c r="D426" s="294"/>
      <c r="E426" s="307"/>
      <c r="F426" s="294"/>
      <c r="G426" s="309"/>
      <c r="H426" s="309"/>
      <c r="I426" s="309"/>
      <c r="J426" s="311"/>
      <c r="K426" s="294"/>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767</v>
      </c>
      <c r="E427" s="32">
        <v>4</v>
      </c>
      <c r="F427" s="32" t="s">
        <v>488</v>
      </c>
      <c r="G427" s="68" t="s">
        <v>277</v>
      </c>
      <c r="H427" s="69">
        <f>IF(I427=0,0,I427-(E427-1))</f>
        <v>669</v>
      </c>
      <c r="I427" s="70">
        <f>IF(E427=0,0,I422)</f>
        <v>672</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669-672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819</v>
      </c>
      <c r="E428" s="32">
        <v>4</v>
      </c>
      <c r="F428" s="32" t="s">
        <v>488</v>
      </c>
      <c r="G428" s="68" t="s">
        <v>277</v>
      </c>
      <c r="H428" s="69">
        <f t="shared" ref="H428:H451" si="179">IF(E428=0,0,I428-(E428-1))</f>
        <v>665</v>
      </c>
      <c r="I428" s="70">
        <f t="shared" ref="I428:I451" si="180">IF(E428=0,0,H427-1)</f>
        <v>668</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0</v>
      </c>
      <c r="AE428" s="109" t="str">
        <f t="shared" si="172"/>
        <v>665-668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768</v>
      </c>
      <c r="E429" s="32">
        <v>4</v>
      </c>
      <c r="F429" s="32" t="s">
        <v>488</v>
      </c>
      <c r="G429" s="75" t="s">
        <v>277</v>
      </c>
      <c r="H429" s="69">
        <f t="shared" si="179"/>
        <v>661</v>
      </c>
      <c r="I429" s="70">
        <f t="shared" si="180"/>
        <v>664</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0</v>
      </c>
      <c r="AE429" s="109" t="str">
        <f t="shared" si="172"/>
        <v>661-664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9" t="s">
        <v>325</v>
      </c>
      <c r="C452" s="320"/>
      <c r="D452" s="79"/>
      <c r="E452" s="80"/>
      <c r="F452" s="80"/>
      <c r="G452" s="81"/>
      <c r="H452" s="192"/>
      <c r="I452" s="192"/>
      <c r="J452" s="192"/>
      <c r="K452" s="82"/>
      <c r="L452" s="319" t="s">
        <v>306</v>
      </c>
      <c r="M452" s="330"/>
      <c r="N452" s="330"/>
      <c r="O452" s="330"/>
      <c r="P452" s="330"/>
      <c r="Q452" s="330"/>
      <c r="R452" s="330"/>
      <c r="S452" s="330"/>
      <c r="T452" s="330"/>
      <c r="U452" s="320"/>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2" t="s">
        <v>222</v>
      </c>
      <c r="C457" s="313"/>
      <c r="D457" s="314" t="s">
        <v>223</v>
      </c>
      <c r="E457" s="305"/>
      <c r="F457" s="88"/>
      <c r="G457" s="315" t="s">
        <v>224</v>
      </c>
      <c r="H457" s="316"/>
      <c r="I457" s="28">
        <f>SUM(E468:E492)</f>
        <v>60</v>
      </c>
      <c r="J457" s="317" t="s">
        <v>225</v>
      </c>
      <c r="K457" s="318"/>
      <c r="L457" s="305"/>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226</v>
      </c>
      <c r="AA457" s="296"/>
      <c r="AB457" s="297"/>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4" t="s">
        <v>230</v>
      </c>
      <c r="H458" s="305"/>
      <c r="I458" s="33">
        <f>E459-I457</f>
        <v>12</v>
      </c>
      <c r="J458" s="289" t="s">
        <v>231</v>
      </c>
      <c r="K458" s="290"/>
      <c r="L458" s="34">
        <f>I462</f>
        <v>601</v>
      </c>
      <c r="M458" s="196">
        <v>4</v>
      </c>
      <c r="N458" s="35">
        <f>SUM(AI458,AI469)</f>
        <v>0</v>
      </c>
      <c r="O458" s="35">
        <v>0</v>
      </c>
      <c r="P458" s="35">
        <f>SUM(AJ458,AJ469)</f>
        <v>0</v>
      </c>
      <c r="Q458" s="35">
        <v>0</v>
      </c>
      <c r="R458" s="35">
        <f>COUNTIFS($E468:$E492,"4",$F468:$F492,"Pole",$C468:$C492,"FST")</f>
        <v>0</v>
      </c>
      <c r="S458" s="35">
        <f>SUM(AL458,AK469)</f>
        <v>0</v>
      </c>
      <c r="T458" s="35">
        <v>0</v>
      </c>
      <c r="U458" s="35">
        <f>SUM(AK458,AL469)</f>
        <v>1</v>
      </c>
      <c r="V458" s="35">
        <v>0</v>
      </c>
      <c r="W458" s="34">
        <f>COUNTIFS($E468:$E492,"4",$F468:$F492,"HH",$C468:$C492,"FST")</f>
        <v>1</v>
      </c>
      <c r="X458" s="35">
        <f>COUNTIFS($E468:$E492,"4",$F468:$F492,"Ped",$C468:$C492,"FST")</f>
        <v>0</v>
      </c>
      <c r="Y458" s="25"/>
      <c r="Z458" s="298" t="s">
        <v>232</v>
      </c>
      <c r="AA458" s="300" t="s">
        <v>233</v>
      </c>
      <c r="AB458" s="301"/>
      <c r="AC458" s="25"/>
      <c r="AD458" s="25"/>
      <c r="AH458" s="109">
        <v>4</v>
      </c>
      <c r="AI458" s="109" t="str">
        <f>IF($E458="SS",COUNTIFS($C468:$C492,"FST",$E468:$E492,"4"),"0")</f>
        <v>0</v>
      </c>
      <c r="AJ458" s="109" t="str">
        <f>IF($E458="RPX",COUNTIFS($C468:$C492,"FST",$E468:$E492,"4"),"0")</f>
        <v>0</v>
      </c>
      <c r="AK458" s="109">
        <f>IF($E458="EUC",COUNTIFS($C468:$C492,"FST",$E468:$E492,"4"),"0")</f>
        <v>1</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72</v>
      </c>
      <c r="F459" s="88"/>
      <c r="G459" s="291" t="s">
        <v>237</v>
      </c>
      <c r="H459" s="292"/>
      <c r="I459" s="35">
        <f>IF(E459=0,0,12-(MOD(I457,12)))</f>
        <v>12</v>
      </c>
      <c r="J459" s="289" t="s">
        <v>238</v>
      </c>
      <c r="K459" s="290"/>
      <c r="L459" s="39">
        <f>I463-I457</f>
        <v>600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1" t="s">
        <v>242</v>
      </c>
      <c r="H460" s="43" t="s">
        <v>243</v>
      </c>
      <c r="I460" s="35">
        <f>IF(E460&lt;&gt;0,1,0)</f>
        <v>1</v>
      </c>
      <c r="J460" s="291" t="s">
        <v>244</v>
      </c>
      <c r="K460" s="292"/>
      <c r="L460" s="44">
        <f>'Cable Calculator'!BG3</f>
        <v>459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1</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601</v>
      </c>
      <c r="F461" s="88"/>
      <c r="G461" s="322"/>
      <c r="H461" s="47" t="s">
        <v>248</v>
      </c>
      <c r="I461" s="35">
        <f>IF(E460&lt;&gt;0,E460,0)</f>
        <v>12</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6</v>
      </c>
      <c r="F462" s="88"/>
      <c r="G462" s="321" t="s">
        <v>251</v>
      </c>
      <c r="H462" s="51" t="s">
        <v>252</v>
      </c>
      <c r="I462" s="112">
        <f>E461</f>
        <v>601</v>
      </c>
      <c r="J462" s="323" t="s">
        <v>253</v>
      </c>
      <c r="K462" s="324"/>
      <c r="L462" s="32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2"/>
      <c r="H463" s="47" t="s">
        <v>257</v>
      </c>
      <c r="I463" s="35">
        <f>IF(E461="","0",IF(AND(E458="EUC",E459=432), I462+(203-E460),IF(E461=0,0,(E461+(E459-E460)-1))))</f>
        <v>660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60</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2"/>
      <c r="C467" s="294"/>
      <c r="D467" s="294"/>
      <c r="E467" s="307"/>
      <c r="F467" s="294"/>
      <c r="G467" s="309"/>
      <c r="H467" s="309"/>
      <c r="I467" s="309"/>
      <c r="J467" s="311"/>
      <c r="K467" s="294"/>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769</v>
      </c>
      <c r="E468" s="32">
        <v>8</v>
      </c>
      <c r="F468" s="32" t="s">
        <v>488</v>
      </c>
      <c r="G468" s="68" t="s">
        <v>277</v>
      </c>
      <c r="H468" s="69">
        <f>IF(I468=0,0,I468-(E468-1))</f>
        <v>653</v>
      </c>
      <c r="I468" s="70">
        <f>IF(E468=0,0,I463)</f>
        <v>660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653-660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770</v>
      </c>
      <c r="E469" s="32">
        <v>4</v>
      </c>
      <c r="F469" s="32" t="s">
        <v>488</v>
      </c>
      <c r="G469" s="68" t="s">
        <v>277</v>
      </c>
      <c r="H469" s="69">
        <f t="shared" ref="H469:H492" si="196">IF(E469=0,0,I469-(E469-1))</f>
        <v>649</v>
      </c>
      <c r="I469" s="70">
        <f t="shared" ref="I469:I492" si="197">IF(E469=0,0,H468-1)</f>
        <v>652</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649-652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12</v>
      </c>
      <c r="F470" s="32"/>
      <c r="G470" s="75" t="s">
        <v>277</v>
      </c>
      <c r="H470" s="69">
        <f t="shared" si="196"/>
        <v>637</v>
      </c>
      <c r="I470" s="70">
        <f t="shared" si="197"/>
        <v>648</v>
      </c>
      <c r="J470" s="73" t="str">
        <f t="shared" ref="J470:J492" si="198">IF(C470="","--",IF(AND(C470&lt;&gt;"FST",C470&lt;&gt;"TCF",BA469&lt;&gt;0),BA469,"--"))</f>
        <v>--</v>
      </c>
      <c r="K470" s="32"/>
      <c r="L470" s="233"/>
      <c r="M470" s="277" t="s">
        <v>415</v>
      </c>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1</v>
      </c>
      <c r="AE470" s="109" t="str">
        <f t="shared" si="189"/>
        <v>637-648</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36</v>
      </c>
      <c r="F471" s="32"/>
      <c r="G471" s="68" t="s">
        <v>277</v>
      </c>
      <c r="H471" s="69">
        <f t="shared" si="196"/>
        <v>601</v>
      </c>
      <c r="I471" s="70">
        <f t="shared" si="197"/>
        <v>636</v>
      </c>
      <c r="J471" s="73" t="str">
        <f t="shared" si="198"/>
        <v>--</v>
      </c>
      <c r="K471" s="32"/>
      <c r="L471" s="233"/>
      <c r="M471" s="277" t="s">
        <v>416</v>
      </c>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1</v>
      </c>
      <c r="AE471" s="109" t="str">
        <f t="shared" si="189"/>
        <v>601-636</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61</v>
      </c>
      <c r="X479" s="84"/>
      <c r="Y479" s="78">
        <f>SUM(E468:E479)</f>
        <v>60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61</v>
      </c>
      <c r="X480" s="84"/>
      <c r="Y480" s="78">
        <f>SUM(E468:E480)</f>
        <v>60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61</v>
      </c>
      <c r="X481" s="84"/>
      <c r="Y481" s="78">
        <f>SUM(E468:E481)</f>
        <v>60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61</v>
      </c>
      <c r="X482" s="84"/>
      <c r="Y482" s="78">
        <f>SUM(E468:E482)</f>
        <v>60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61</v>
      </c>
      <c r="X483" s="84"/>
      <c r="Y483" s="78">
        <f>SUM(E468:E483)</f>
        <v>60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61</v>
      </c>
      <c r="X484" s="84"/>
      <c r="Y484" s="78">
        <f>SUM(E468:E484)</f>
        <v>60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61</v>
      </c>
      <c r="X485" s="84"/>
      <c r="Y485" s="78">
        <f>SUM(E468:E485)</f>
        <v>60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61</v>
      </c>
      <c r="X486" s="84"/>
      <c r="Y486" s="78">
        <f>SUM(E468:E486)</f>
        <v>60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61</v>
      </c>
      <c r="X487" s="84"/>
      <c r="Y487" s="78">
        <f>SUM(E468:E487)</f>
        <v>60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61</v>
      </c>
      <c r="X488" s="84"/>
      <c r="Y488" s="78">
        <f>SUM(E468:E488)</f>
        <v>60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61</v>
      </c>
      <c r="X489" s="84"/>
      <c r="Y489" s="78">
        <f>SUM(E468:E489)</f>
        <v>60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61</v>
      </c>
      <c r="X490" s="84"/>
      <c r="Y490" s="78">
        <f>SUM(E468:E490)</f>
        <v>60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61</v>
      </c>
      <c r="X491" s="84"/>
      <c r="Y491" s="78">
        <f>SUM(E468:E491)</f>
        <v>60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60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9" t="s">
        <v>327</v>
      </c>
      <c r="C493" s="320"/>
      <c r="D493" s="79"/>
      <c r="E493" s="80"/>
      <c r="F493" s="80"/>
      <c r="G493" s="81"/>
      <c r="H493" s="192"/>
      <c r="I493" s="192"/>
      <c r="J493" s="192"/>
      <c r="K493" s="82"/>
      <c r="L493" s="319" t="s">
        <v>306</v>
      </c>
      <c r="M493" s="330"/>
      <c r="N493" s="330"/>
      <c r="O493" s="330"/>
      <c r="P493" s="330"/>
      <c r="Q493" s="330"/>
      <c r="R493" s="330"/>
      <c r="S493" s="330"/>
      <c r="T493" s="330"/>
      <c r="U493" s="320"/>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2" t="s">
        <v>222</v>
      </c>
      <c r="C498" s="313"/>
      <c r="D498" s="314" t="s">
        <v>223</v>
      </c>
      <c r="E498" s="305"/>
      <c r="F498" s="88"/>
      <c r="G498" s="315" t="s">
        <v>224</v>
      </c>
      <c r="H498" s="316"/>
      <c r="I498" s="28">
        <f>SUM(E509:E533)</f>
        <v>12</v>
      </c>
      <c r="J498" s="317" t="s">
        <v>225</v>
      </c>
      <c r="K498" s="318"/>
      <c r="L498" s="305"/>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5" t="s">
        <v>226</v>
      </c>
      <c r="AA498" s="296"/>
      <c r="AB498" s="297"/>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4" t="s">
        <v>230</v>
      </c>
      <c r="H499" s="305"/>
      <c r="I499" s="33">
        <f>E500-I498</f>
        <v>12</v>
      </c>
      <c r="J499" s="289" t="s">
        <v>231</v>
      </c>
      <c r="K499" s="290"/>
      <c r="L499" s="34">
        <f>I503</f>
        <v>637</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8" t="s">
        <v>232</v>
      </c>
      <c r="AA499" s="300" t="s">
        <v>233</v>
      </c>
      <c r="AB499" s="301"/>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1" t="s">
        <v>237</v>
      </c>
      <c r="H500" s="292"/>
      <c r="I500" s="35">
        <f>IF(E500=0,0,12-(MOD(I498,12)))</f>
        <v>12</v>
      </c>
      <c r="J500" s="289" t="s">
        <v>238</v>
      </c>
      <c r="K500" s="290"/>
      <c r="L500" s="39">
        <f>I504-I498</f>
        <v>636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1" t="s">
        <v>242</v>
      </c>
      <c r="H501" s="43" t="s">
        <v>243</v>
      </c>
      <c r="I501" s="35">
        <f>IF(E501&lt;&gt;0,1,0)</f>
        <v>1</v>
      </c>
      <c r="J501" s="291" t="s">
        <v>244</v>
      </c>
      <c r="K501" s="292"/>
      <c r="L501" s="44">
        <f>'Cable Calculator'!BL3</f>
        <v>490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637</v>
      </c>
      <c r="F502" s="88"/>
      <c r="G502" s="322"/>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1" t="s">
        <v>251</v>
      </c>
      <c r="H503" s="51" t="s">
        <v>252</v>
      </c>
      <c r="I503" s="112">
        <f>E502</f>
        <v>637</v>
      </c>
      <c r="J503" s="323" t="s">
        <v>253</v>
      </c>
      <c r="K503" s="324"/>
      <c r="L503" s="32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2"/>
      <c r="H504" s="47" t="s">
        <v>257</v>
      </c>
      <c r="I504" s="35">
        <f>IF(E502="","0",IF(AND(E499="EUC",E500=432), I503+(203-E501),IF(E502=0,0,(E502+(E500-E501)-1))))</f>
        <v>648</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2"/>
      <c r="C508" s="294"/>
      <c r="D508" s="294"/>
      <c r="E508" s="307"/>
      <c r="F508" s="294"/>
      <c r="G508" s="309"/>
      <c r="H508" s="309"/>
      <c r="I508" s="309"/>
      <c r="J508" s="311"/>
      <c r="K508" s="294"/>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771</v>
      </c>
      <c r="E509" s="32">
        <v>2</v>
      </c>
      <c r="F509" s="32" t="s">
        <v>488</v>
      </c>
      <c r="G509" s="68" t="s">
        <v>277</v>
      </c>
      <c r="H509" s="69">
        <f>IF(I509=0,0,I509-(E509-1))</f>
        <v>647</v>
      </c>
      <c r="I509" s="70">
        <f>IF(E509=0,0,I504)</f>
        <v>648</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647-648</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2</v>
      </c>
    </row>
    <row r="510" spans="1:53" ht="15.75" thickBot="1" x14ac:dyDescent="0.3">
      <c r="A510" s="88"/>
      <c r="B510" s="66" t="s">
        <v>279</v>
      </c>
      <c r="C510" s="67" t="s">
        <v>484</v>
      </c>
      <c r="D510" s="102" t="s">
        <v>830</v>
      </c>
      <c r="E510" s="32">
        <v>2</v>
      </c>
      <c r="F510" s="32" t="s">
        <v>488</v>
      </c>
      <c r="G510" s="68" t="s">
        <v>277</v>
      </c>
      <c r="H510" s="69">
        <f t="shared" ref="H510:H533" si="213">IF(E510=0,0,I510-(E510-1))</f>
        <v>645</v>
      </c>
      <c r="I510" s="70">
        <f t="shared" ref="I510:I533" si="214">IF(E510=0,0,H509-1)</f>
        <v>646</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0</v>
      </c>
      <c r="AE510" s="109" t="str">
        <f t="shared" si="206"/>
        <v>645-646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4</v>
      </c>
    </row>
    <row r="511" spans="1:53" ht="15.75" thickBot="1" x14ac:dyDescent="0.3">
      <c r="A511" s="88"/>
      <c r="B511" s="74" t="s">
        <v>280</v>
      </c>
      <c r="C511" s="67" t="s">
        <v>484</v>
      </c>
      <c r="D511" s="102" t="s">
        <v>831</v>
      </c>
      <c r="E511" s="32">
        <v>4</v>
      </c>
      <c r="F511" s="32" t="s">
        <v>488</v>
      </c>
      <c r="G511" s="75" t="s">
        <v>277</v>
      </c>
      <c r="H511" s="69">
        <f t="shared" si="213"/>
        <v>641</v>
      </c>
      <c r="I511" s="70">
        <f t="shared" si="214"/>
        <v>644</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0</v>
      </c>
      <c r="AE511" s="109" t="str">
        <f t="shared" si="206"/>
        <v>641-644</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832</v>
      </c>
      <c r="E512" s="32">
        <v>4</v>
      </c>
      <c r="F512" s="32" t="s">
        <v>488</v>
      </c>
      <c r="G512" s="68" t="s">
        <v>277</v>
      </c>
      <c r="H512" s="69">
        <f t="shared" si="213"/>
        <v>637</v>
      </c>
      <c r="I512" s="70">
        <f t="shared" si="214"/>
        <v>640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0</v>
      </c>
      <c r="AE512" s="109" t="str">
        <f t="shared" si="206"/>
        <v>637-640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13</v>
      </c>
      <c r="X520" s="84"/>
      <c r="Y520" s="78">
        <f>SUM(E509:E520)</f>
        <v>12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13</v>
      </c>
      <c r="X521" s="84"/>
      <c r="Y521" s="78">
        <f>SUM(E509:E521)</f>
        <v>12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13</v>
      </c>
      <c r="X522" s="84"/>
      <c r="Y522" s="78">
        <f>SUM(E509:E522)</f>
        <v>12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13</v>
      </c>
      <c r="X523" s="84"/>
      <c r="Y523" s="78">
        <f>SUM(E509:E523)</f>
        <v>12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13</v>
      </c>
      <c r="X524" s="84"/>
      <c r="Y524" s="78">
        <f>SUM(E509:E524)</f>
        <v>12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13</v>
      </c>
      <c r="X525" s="84"/>
      <c r="Y525" s="78">
        <f>SUM(E509:E525)</f>
        <v>12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13</v>
      </c>
      <c r="X526" s="84"/>
      <c r="Y526" s="78">
        <f>SUM(E509:E526)</f>
        <v>12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13</v>
      </c>
      <c r="X527" s="84"/>
      <c r="Y527" s="78">
        <f>SUM(E509:E527)</f>
        <v>12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13</v>
      </c>
      <c r="X528" s="84"/>
      <c r="Y528" s="78">
        <f>SUM(E509:E528)</f>
        <v>12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13</v>
      </c>
      <c r="X529" s="84"/>
      <c r="Y529" s="78">
        <f>SUM(E509:E529)</f>
        <v>12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13</v>
      </c>
      <c r="X530" s="84"/>
      <c r="Y530" s="78">
        <f>SUM(E509:E530)</f>
        <v>12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13</v>
      </c>
      <c r="X531" s="84"/>
      <c r="Y531" s="78">
        <f>SUM(E509:E531)</f>
        <v>12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13</v>
      </c>
      <c r="X532" s="84"/>
      <c r="Y532" s="78">
        <f>SUM(E509:E532)</f>
        <v>12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12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9" t="s">
        <v>329</v>
      </c>
      <c r="C534" s="320"/>
      <c r="D534" s="79"/>
      <c r="E534" s="80"/>
      <c r="F534" s="80"/>
      <c r="G534" s="81"/>
      <c r="H534" s="192"/>
      <c r="I534" s="192"/>
      <c r="J534" s="192"/>
      <c r="K534" s="82"/>
      <c r="L534" s="319" t="s">
        <v>306</v>
      </c>
      <c r="M534" s="330"/>
      <c r="N534" s="330"/>
      <c r="O534" s="330"/>
      <c r="P534" s="330"/>
      <c r="Q534" s="330"/>
      <c r="R534" s="330"/>
      <c r="S534" s="330"/>
      <c r="T534" s="330"/>
      <c r="U534" s="320"/>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2" t="s">
        <v>222</v>
      </c>
      <c r="C539" s="313"/>
      <c r="D539" s="314" t="s">
        <v>223</v>
      </c>
      <c r="E539" s="305"/>
      <c r="F539" s="88"/>
      <c r="G539" s="315" t="s">
        <v>224</v>
      </c>
      <c r="H539" s="316"/>
      <c r="I539" s="28">
        <f>SUM(E550:E574)</f>
        <v>36</v>
      </c>
      <c r="J539" s="317" t="s">
        <v>225</v>
      </c>
      <c r="K539" s="318"/>
      <c r="L539" s="305"/>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4" t="s">
        <v>230</v>
      </c>
      <c r="H540" s="305"/>
      <c r="I540" s="33">
        <f>E541-I539</f>
        <v>12</v>
      </c>
      <c r="J540" s="289" t="s">
        <v>231</v>
      </c>
      <c r="K540" s="290"/>
      <c r="L540" s="34">
        <f>I544</f>
        <v>601</v>
      </c>
      <c r="M540" s="196">
        <v>4</v>
      </c>
      <c r="N540" s="35">
        <f>SUM(AI540,AI551)</f>
        <v>0</v>
      </c>
      <c r="O540" s="35">
        <v>0</v>
      </c>
      <c r="P540" s="35">
        <f>SUM(AJ540,AJ551)</f>
        <v>0</v>
      </c>
      <c r="Q540" s="35">
        <v>0</v>
      </c>
      <c r="R540" s="35">
        <f>COUNTIFS($E550:$E574,"4",$F550:$F574,"Pole",$C550:$C574,"FST")</f>
        <v>0</v>
      </c>
      <c r="S540" s="35">
        <f>SUM(AL540,AK551)</f>
        <v>0</v>
      </c>
      <c r="T540" s="35">
        <v>0</v>
      </c>
      <c r="U540" s="35">
        <f>SUM(AK540,AL551)</f>
        <v>7</v>
      </c>
      <c r="V540" s="35">
        <v>0</v>
      </c>
      <c r="W540" s="34">
        <f>COUNTIFS($E550:$E574,"4",$F550:$F574,"HH",$C550:$C574,"FST")</f>
        <v>7</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f>IF($E540="EUC",COUNTIFS($C550:$C574,"FST",$E550:$E574,"4"),"0")</f>
        <v>7</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1" t="s">
        <v>237</v>
      </c>
      <c r="H541" s="292"/>
      <c r="I541" s="35">
        <f>IF(E541=0,0,12-(MOD(I539,12)))</f>
        <v>12</v>
      </c>
      <c r="J541" s="289" t="s">
        <v>238</v>
      </c>
      <c r="K541" s="290"/>
      <c r="L541" s="39">
        <f>I545-I539</f>
        <v>600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1" t="s">
        <v>242</v>
      </c>
      <c r="H542" s="43" t="s">
        <v>243</v>
      </c>
      <c r="I542" s="35">
        <f>IF(E542&lt;&gt;0,1,0)</f>
        <v>1</v>
      </c>
      <c r="J542" s="291" t="s">
        <v>244</v>
      </c>
      <c r="K542" s="292"/>
      <c r="L542" s="44">
        <f>'Cable Calculator'!BQ3</f>
        <v>1070</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601</v>
      </c>
      <c r="F543" s="88"/>
      <c r="G543" s="322"/>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1" t="s">
        <v>251</v>
      </c>
      <c r="H544" s="51" t="s">
        <v>252</v>
      </c>
      <c r="I544" s="112">
        <f>E543</f>
        <v>601</v>
      </c>
      <c r="J544" s="323" t="s">
        <v>253</v>
      </c>
      <c r="K544" s="324"/>
      <c r="L544" s="32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2"/>
      <c r="H545" s="47" t="s">
        <v>257</v>
      </c>
      <c r="I545" s="35">
        <f>IF(E543="","0",IF(AND(E540="EUC",E541=432), I544+(203-E542),IF(E543=0,0,(E543+(E541-E542)-1))))</f>
        <v>636</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2"/>
      <c r="C549" s="294"/>
      <c r="D549" s="294"/>
      <c r="E549" s="307"/>
      <c r="F549" s="294"/>
      <c r="G549" s="309"/>
      <c r="H549" s="309"/>
      <c r="I549" s="309"/>
      <c r="J549" s="311"/>
      <c r="K549" s="294"/>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823</v>
      </c>
      <c r="E550" s="32">
        <v>4</v>
      </c>
      <c r="F550" s="32" t="s">
        <v>488</v>
      </c>
      <c r="G550" s="68" t="s">
        <v>277</v>
      </c>
      <c r="H550" s="69">
        <f>IF(I550=0,0,I550-(E550-1))</f>
        <v>633</v>
      </c>
      <c r="I550" s="70">
        <f>IF(E550=0,0,I545)</f>
        <v>636</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633-636</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772</v>
      </c>
      <c r="E551" s="32">
        <v>4</v>
      </c>
      <c r="F551" s="32" t="s">
        <v>488</v>
      </c>
      <c r="G551" s="68" t="s">
        <v>277</v>
      </c>
      <c r="H551" s="69">
        <f t="shared" ref="H551:H574" si="230">IF(E551=0,0,I551-(E551-1))</f>
        <v>629</v>
      </c>
      <c r="I551" s="70">
        <f t="shared" ref="I551:I574" si="231">IF(E551=0,0,H550-1)</f>
        <v>632</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629-632</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773</v>
      </c>
      <c r="E552" s="32">
        <v>4</v>
      </c>
      <c r="F552" s="32" t="s">
        <v>488</v>
      </c>
      <c r="G552" s="75" t="s">
        <v>277</v>
      </c>
      <c r="H552" s="69">
        <f t="shared" si="230"/>
        <v>625</v>
      </c>
      <c r="I552" s="70">
        <f t="shared" si="231"/>
        <v>628</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0</v>
      </c>
      <c r="AE552" s="109" t="str">
        <f t="shared" si="223"/>
        <v>625-628</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4</v>
      </c>
    </row>
    <row r="553" spans="1:53" ht="15.75" thickBot="1" x14ac:dyDescent="0.3">
      <c r="A553" s="88"/>
      <c r="B553" s="66" t="s">
        <v>281</v>
      </c>
      <c r="C553" s="67" t="s">
        <v>484</v>
      </c>
      <c r="D553" s="102" t="s">
        <v>774</v>
      </c>
      <c r="E553" s="32">
        <v>4</v>
      </c>
      <c r="F553" s="32" t="s">
        <v>488</v>
      </c>
      <c r="G553" s="68" t="s">
        <v>277</v>
      </c>
      <c r="H553" s="69">
        <f t="shared" si="230"/>
        <v>621</v>
      </c>
      <c r="I553" s="70">
        <f t="shared" si="231"/>
        <v>624</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0</v>
      </c>
      <c r="AE553" s="109" t="str">
        <f t="shared" si="223"/>
        <v>621-624</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824</v>
      </c>
      <c r="E554" s="32">
        <v>4</v>
      </c>
      <c r="F554" s="32" t="s">
        <v>488</v>
      </c>
      <c r="G554" s="68" t="s">
        <v>277</v>
      </c>
      <c r="H554" s="69">
        <f t="shared" si="230"/>
        <v>617</v>
      </c>
      <c r="I554" s="70">
        <f t="shared" si="231"/>
        <v>620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617-620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4</v>
      </c>
    </row>
    <row r="555" spans="1:53" ht="15.75" thickBot="1" x14ac:dyDescent="0.3">
      <c r="A555" s="88"/>
      <c r="B555" s="66" t="s">
        <v>283</v>
      </c>
      <c r="C555" s="67" t="s">
        <v>484</v>
      </c>
      <c r="D555" s="102" t="s">
        <v>775</v>
      </c>
      <c r="E555" s="32">
        <v>8</v>
      </c>
      <c r="F555" s="32" t="s">
        <v>488</v>
      </c>
      <c r="G555" s="68" t="s">
        <v>277</v>
      </c>
      <c r="H555" s="69">
        <f t="shared" si="230"/>
        <v>609</v>
      </c>
      <c r="I555" s="70">
        <f t="shared" si="231"/>
        <v>616</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0</v>
      </c>
      <c r="AE555" s="109" t="str">
        <f t="shared" si="223"/>
        <v>609-616</v>
      </c>
      <c r="AF555" s="109" t="str">
        <f t="shared" si="224"/>
        <v>Y</v>
      </c>
      <c r="AG555" s="109" t="str">
        <f t="shared" si="225"/>
        <v>B</v>
      </c>
      <c r="AM555" s="109">
        <f t="shared" si="226"/>
        <v>0</v>
      </c>
      <c r="AN555" s="109">
        <f t="shared" si="227"/>
        <v>0</v>
      </c>
      <c r="AO555" s="109" t="str">
        <f t="shared" si="228"/>
        <v/>
      </c>
      <c r="AQ555" s="109" t="str">
        <f t="shared" si="229"/>
        <v/>
      </c>
      <c r="BA555" s="229">
        <f>MOD(SUM(E550:E556),12)</f>
        <v>8</v>
      </c>
    </row>
    <row r="556" spans="1:53" ht="15.75" thickBot="1" x14ac:dyDescent="0.3">
      <c r="A556" s="88"/>
      <c r="B556" s="66" t="s">
        <v>284</v>
      </c>
      <c r="C556" s="67" t="s">
        <v>484</v>
      </c>
      <c r="D556" s="102" t="s">
        <v>825</v>
      </c>
      <c r="E556" s="32">
        <v>4</v>
      </c>
      <c r="F556" s="32" t="s">
        <v>488</v>
      </c>
      <c r="G556" s="68" t="s">
        <v>277</v>
      </c>
      <c r="H556" s="69">
        <f t="shared" si="230"/>
        <v>605</v>
      </c>
      <c r="I556" s="70">
        <f t="shared" si="231"/>
        <v>608</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0</v>
      </c>
      <c r="AE556" s="109" t="str">
        <f t="shared" si="223"/>
        <v>605-608</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t="s">
        <v>484</v>
      </c>
      <c r="D557" s="102" t="s">
        <v>776</v>
      </c>
      <c r="E557" s="32">
        <v>4</v>
      </c>
      <c r="F557" s="32" t="s">
        <v>488</v>
      </c>
      <c r="G557" s="68" t="s">
        <v>277</v>
      </c>
      <c r="H557" s="69">
        <f t="shared" si="230"/>
        <v>601</v>
      </c>
      <c r="I557" s="70">
        <f t="shared" si="231"/>
        <v>604</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0</v>
      </c>
      <c r="AE557" s="109" t="str">
        <f t="shared" si="223"/>
        <v>601-604</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37</v>
      </c>
      <c r="X561" s="84"/>
      <c r="Y561" s="78">
        <f>SUM(E550:E561)</f>
        <v>36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37</v>
      </c>
      <c r="X562" s="84"/>
      <c r="Y562" s="78">
        <f>SUM(E550:E562)</f>
        <v>36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37</v>
      </c>
      <c r="X563" s="84"/>
      <c r="Y563" s="78">
        <f>SUM(E550:E563)</f>
        <v>36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37</v>
      </c>
      <c r="X564" s="84"/>
      <c r="Y564" s="78">
        <f>SUM(E550:E564)</f>
        <v>36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37</v>
      </c>
      <c r="X565" s="84"/>
      <c r="Y565" s="78">
        <f>SUM(E550:E565)</f>
        <v>36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37</v>
      </c>
      <c r="X566" s="84"/>
      <c r="Y566" s="78">
        <f>SUM(E550:E566)</f>
        <v>36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37</v>
      </c>
      <c r="X567" s="84"/>
      <c r="Y567" s="78">
        <f>SUM(E550:E567)</f>
        <v>36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37</v>
      </c>
      <c r="X568" s="84"/>
      <c r="Y568" s="78">
        <f>SUM(E550:E568)</f>
        <v>36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37</v>
      </c>
      <c r="X569" s="84"/>
      <c r="Y569" s="78">
        <f>SUM(E550:E569)</f>
        <v>36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37</v>
      </c>
      <c r="X570" s="84"/>
      <c r="Y570" s="78">
        <f>SUM(E550:E570)</f>
        <v>36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37</v>
      </c>
      <c r="X571" s="84"/>
      <c r="Y571" s="78">
        <f>SUM(E550:E571)</f>
        <v>36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37</v>
      </c>
      <c r="X572" s="84"/>
      <c r="Y572" s="78">
        <f>SUM(E550:E572)</f>
        <v>36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37</v>
      </c>
      <c r="X573" s="84"/>
      <c r="Y573" s="78">
        <f>SUM(E550:E573)</f>
        <v>36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36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9" t="s">
        <v>331</v>
      </c>
      <c r="C575" s="320"/>
      <c r="D575" s="79"/>
      <c r="E575" s="80"/>
      <c r="F575" s="80"/>
      <c r="G575" s="81"/>
      <c r="H575" s="192"/>
      <c r="I575" s="192"/>
      <c r="J575" s="192"/>
      <c r="K575" s="82"/>
      <c r="L575" s="319" t="s">
        <v>306</v>
      </c>
      <c r="M575" s="330"/>
      <c r="N575" s="330"/>
      <c r="O575" s="330"/>
      <c r="P575" s="330"/>
      <c r="Q575" s="330"/>
      <c r="R575" s="330"/>
      <c r="S575" s="330"/>
      <c r="T575" s="330"/>
      <c r="U575" s="320"/>
      <c r="V575" s="104"/>
      <c r="W575" s="72"/>
      <c r="X575" s="72"/>
      <c r="Y575" s="72"/>
      <c r="Z575" s="72"/>
      <c r="AA575" s="72" t="str">
        <f t="shared" si="236"/>
        <v/>
      </c>
      <c r="AB575" s="72"/>
      <c r="AC575" s="72">
        <f>SUM(AC550:AC574)</f>
        <v>25</v>
      </c>
      <c r="AD575" s="72">
        <f>SUM(AD550:AD574)</f>
        <v>17</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2" t="s">
        <v>222</v>
      </c>
      <c r="C580" s="313"/>
      <c r="D580" s="314" t="s">
        <v>223</v>
      </c>
      <c r="E580" s="305"/>
      <c r="F580" s="88"/>
      <c r="G580" s="315" t="s">
        <v>224</v>
      </c>
      <c r="H580" s="316"/>
      <c r="I580" s="28">
        <f>SUM(E591:E615)</f>
        <v>12</v>
      </c>
      <c r="J580" s="317" t="s">
        <v>225</v>
      </c>
      <c r="K580" s="318"/>
      <c r="L580" s="305"/>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4" t="s">
        <v>230</v>
      </c>
      <c r="H581" s="305"/>
      <c r="I581" s="33">
        <f>E582-I580</f>
        <v>420</v>
      </c>
      <c r="J581" s="289" t="s">
        <v>231</v>
      </c>
      <c r="K581" s="290"/>
      <c r="L581" s="34">
        <f>I585</f>
        <v>577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8" t="s">
        <v>232</v>
      </c>
      <c r="AA581" s="300" t="s">
        <v>233</v>
      </c>
      <c r="AB581" s="301"/>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432</v>
      </c>
      <c r="F582" s="88"/>
      <c r="G582" s="291" t="s">
        <v>237</v>
      </c>
      <c r="H582" s="292"/>
      <c r="I582" s="35">
        <f>IF(E582=0,0,12-(MOD(I580,12)))</f>
        <v>12</v>
      </c>
      <c r="J582" s="289" t="s">
        <v>238</v>
      </c>
      <c r="K582" s="290"/>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192</v>
      </c>
      <c r="F583" s="88"/>
      <c r="G583" s="321" t="s">
        <v>242</v>
      </c>
      <c r="H583" s="43" t="s">
        <v>243</v>
      </c>
      <c r="I583" s="35">
        <f>IF(E583&lt;&gt;0,1,0)</f>
        <v>1</v>
      </c>
      <c r="J583" s="291" t="s">
        <v>244</v>
      </c>
      <c r="K583" s="292"/>
      <c r="L583" s="44">
        <f>'Cable Calculator'!BV3</f>
        <v>1589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2"/>
      <c r="H584" s="47" t="s">
        <v>248</v>
      </c>
      <c r="I584" s="35">
        <f>IF(E583&lt;&gt;0,E583,0)</f>
        <v>192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1</v>
      </c>
      <c r="V584" s="35">
        <f>IF($E581="EUC",SUM($AN616,AP616,AR616),"0")</f>
        <v>0</v>
      </c>
      <c r="W584" s="34">
        <f>COUNTIFS($E591:$E615,"12",$F591:$F615,"HH",$C591:$C615,"FST")</f>
        <v>1</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1</v>
      </c>
      <c r="AL584" s="109" t="str">
        <f>IF($E581="RPX-T",COUNTIFS($C591:$C615,"FST",$E591:$E615,"12"),"0")</f>
        <v>0</v>
      </c>
      <c r="BA584" s="227"/>
    </row>
    <row r="585" spans="1:53" ht="16.5" customHeight="1" thickTop="1" thickBot="1" x14ac:dyDescent="0.3">
      <c r="A585" s="88"/>
      <c r="B585" s="36" t="s">
        <v>249</v>
      </c>
      <c r="C585" s="30">
        <v>0</v>
      </c>
      <c r="D585" s="49" t="s">
        <v>250</v>
      </c>
      <c r="E585" s="50">
        <f>E582/12</f>
        <v>36</v>
      </c>
      <c r="F585" s="88"/>
      <c r="G585" s="321" t="s">
        <v>251</v>
      </c>
      <c r="H585" s="51" t="s">
        <v>252</v>
      </c>
      <c r="I585" s="112">
        <f>E584</f>
        <v>577</v>
      </c>
      <c r="J585" s="323" t="s">
        <v>253</v>
      </c>
      <c r="K585" s="324"/>
      <c r="L585" s="32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216</v>
      </c>
      <c r="D586" s="31" t="s">
        <v>256</v>
      </c>
      <c r="E586" s="101" t="str">
        <f>IF('Cable Calculator'!BV5="","",'Cable Calculator'!BV5)</f>
        <v>N</v>
      </c>
      <c r="F586" s="88"/>
      <c r="G586" s="322"/>
      <c r="H586" s="47" t="s">
        <v>257</v>
      </c>
      <c r="I586" s="35">
        <f>IF(E584="","0",IF(AND(E581="EUC",E582=432), I585+(203-E583),IF(E584=0,0,(E584+(E582-E583)-1))))</f>
        <v>588</v>
      </c>
      <c r="J586" s="285" t="str">
        <f>IFERROR(IF(OR(E581="EUC",E581="SS"),"---",IF(OR(P580,S580),"NO 2F Tethers for RPX!",IF(OR(P582,S582),"NO 6F Tethers for RPX!","---"))),"---")</f>
        <v>---</v>
      </c>
      <c r="K586" s="286"/>
      <c r="L586" s="287"/>
      <c r="M586" s="285" t="str">
        <f>IF(E583&gt;60,"Dead Count &gt;60: Consider Downsize","---")</f>
        <v>Dead Count &gt;60: Consider Downsize</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228</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2"/>
      <c r="C590" s="294"/>
      <c r="D590" s="294"/>
      <c r="E590" s="307"/>
      <c r="F590" s="294"/>
      <c r="G590" s="309"/>
      <c r="H590" s="309"/>
      <c r="I590" s="309"/>
      <c r="J590" s="311"/>
      <c r="K590" s="294"/>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777</v>
      </c>
      <c r="E591" s="32">
        <v>12</v>
      </c>
      <c r="F591" s="32" t="s">
        <v>488</v>
      </c>
      <c r="G591" s="68" t="s">
        <v>277</v>
      </c>
      <c r="H591" s="69">
        <f>IF(I591=0,0,I591-(E591-1))</f>
        <v>577</v>
      </c>
      <c r="I591" s="70">
        <f>IF(E591=0,0,I586)</f>
        <v>588</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577-588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502</v>
      </c>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77" t="s">
        <v>738</v>
      </c>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1</v>
      </c>
      <c r="AE592" s="109" t="str">
        <f t="shared" si="240"/>
        <v>0-0</v>
      </c>
      <c r="AF592" s="109" t="str">
        <f t="shared" si="241"/>
        <v>N</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9" t="s">
        <v>333</v>
      </c>
      <c r="C616" s="320"/>
      <c r="D616" s="79"/>
      <c r="E616" s="80"/>
      <c r="F616" s="80"/>
      <c r="G616" s="81"/>
      <c r="H616" s="192"/>
      <c r="I616" s="192"/>
      <c r="J616" s="192"/>
      <c r="K616" s="82"/>
      <c r="L616" s="319" t="s">
        <v>306</v>
      </c>
      <c r="M616" s="330"/>
      <c r="N616" s="330"/>
      <c r="O616" s="330"/>
      <c r="P616" s="330"/>
      <c r="Q616" s="330"/>
      <c r="R616" s="330"/>
      <c r="S616" s="330"/>
      <c r="T616" s="330"/>
      <c r="U616" s="320"/>
      <c r="V616" s="104"/>
      <c r="W616" s="72"/>
      <c r="X616" s="72"/>
      <c r="Y616" s="72"/>
      <c r="Z616" s="72"/>
      <c r="AA616" s="72" t="str">
        <f t="shared" si="253"/>
        <v/>
      </c>
      <c r="AB616" s="72"/>
      <c r="AC616" s="72">
        <f>SUM(AC591:AC615)</f>
        <v>25</v>
      </c>
      <c r="AD616" s="72">
        <f>SUM(AD591:AD615)</f>
        <v>24</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2" t="s">
        <v>222</v>
      </c>
      <c r="C621" s="313"/>
      <c r="D621" s="314" t="s">
        <v>223</v>
      </c>
      <c r="E621" s="305"/>
      <c r="F621" s="88"/>
      <c r="G621" s="315" t="s">
        <v>224</v>
      </c>
      <c r="H621" s="316"/>
      <c r="I621" s="28">
        <f>SUM(E632:E656)</f>
        <v>216</v>
      </c>
      <c r="J621" s="317" t="s">
        <v>225</v>
      </c>
      <c r="K621" s="318"/>
      <c r="L621" s="305"/>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4" t="s">
        <v>230</v>
      </c>
      <c r="H622" s="305"/>
      <c r="I622" s="33">
        <f>E623-I621</f>
        <v>0</v>
      </c>
      <c r="J622" s="289" t="s">
        <v>231</v>
      </c>
      <c r="K622" s="290"/>
      <c r="L622" s="34">
        <f>I626</f>
        <v>361</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216</v>
      </c>
      <c r="F623" s="88"/>
      <c r="G623" s="291" t="s">
        <v>237</v>
      </c>
      <c r="H623" s="292"/>
      <c r="I623" s="35">
        <f>IF(E623=0,0,12-(MOD(I621,12)))</f>
        <v>12</v>
      </c>
      <c r="J623" s="289" t="s">
        <v>238</v>
      </c>
      <c r="K623" s="290"/>
      <c r="L623" s="39">
        <f>I627-I621</f>
        <v>360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321" t="s">
        <v>242</v>
      </c>
      <c r="H624" s="43" t="s">
        <v>243</v>
      </c>
      <c r="I624" s="35">
        <f>IF(E624&lt;&gt;0,1,0)</f>
        <v>0</v>
      </c>
      <c r="J624" s="291" t="s">
        <v>244</v>
      </c>
      <c r="K624" s="292"/>
      <c r="L624" s="44">
        <f>'Cable Calculator'!CA3</f>
        <v>1546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361</v>
      </c>
      <c r="F625" s="88"/>
      <c r="G625" s="322"/>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18</v>
      </c>
      <c r="F626" s="88"/>
      <c r="G626" s="321" t="s">
        <v>251</v>
      </c>
      <c r="H626" s="51" t="s">
        <v>252</v>
      </c>
      <c r="I626" s="112">
        <f>E625</f>
        <v>361</v>
      </c>
      <c r="J626" s="323" t="s">
        <v>253</v>
      </c>
      <c r="K626" s="324"/>
      <c r="L626" s="32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2"/>
      <c r="H627" s="47" t="s">
        <v>257</v>
      </c>
      <c r="I627" s="35">
        <f>IF(E625="","0",IF(AND(E622="EUC",E623=432), I626+(203-E624),IF(E625=0,0,(E625+(E623-E624)-1))))</f>
        <v>576</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216</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2"/>
      <c r="C631" s="294"/>
      <c r="D631" s="294"/>
      <c r="E631" s="307"/>
      <c r="F631" s="294"/>
      <c r="G631" s="309"/>
      <c r="H631" s="309"/>
      <c r="I631" s="309"/>
      <c r="J631" s="311"/>
      <c r="K631" s="294"/>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778</v>
      </c>
      <c r="E632" s="32">
        <v>4</v>
      </c>
      <c r="F632" s="32" t="s">
        <v>488</v>
      </c>
      <c r="G632" s="68" t="s">
        <v>277</v>
      </c>
      <c r="H632" s="69">
        <f>IF(I632=0,0,I632-(E632-1))</f>
        <v>573</v>
      </c>
      <c r="I632" s="70">
        <f>IF(E632=0,0,I627)</f>
        <v>576</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573-576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828</v>
      </c>
      <c r="E633" s="32">
        <v>4</v>
      </c>
      <c r="F633" s="32" t="s">
        <v>488</v>
      </c>
      <c r="G633" s="68" t="s">
        <v>277</v>
      </c>
      <c r="H633" s="69">
        <f t="shared" ref="H633:H656" si="264">IF(E633=0,0,I633-(E633-1))</f>
        <v>569</v>
      </c>
      <c r="I633" s="70">
        <f t="shared" ref="I633:I656" si="265">IF(E633=0,0,H632-1)</f>
        <v>572</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569-572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779</v>
      </c>
      <c r="E634" s="32">
        <v>4</v>
      </c>
      <c r="F634" s="32" t="s">
        <v>488</v>
      </c>
      <c r="G634" s="75" t="s">
        <v>277</v>
      </c>
      <c r="H634" s="69">
        <f t="shared" si="264"/>
        <v>565</v>
      </c>
      <c r="I634" s="70">
        <f t="shared" si="265"/>
        <v>568</v>
      </c>
      <c r="J634" s="73" t="str">
        <f t="shared" ref="J634:J656" si="266">IF(C634="","--",IF(AND(C634&lt;&gt;"FST",C634&lt;&gt;"TCF",BA633&lt;&gt;0),BA633,"--"))</f>
        <v>--</v>
      </c>
      <c r="K634" s="32"/>
      <c r="L634" s="233"/>
      <c r="M634" s="277" t="s">
        <v>419</v>
      </c>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565-568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502</v>
      </c>
      <c r="D635" s="102"/>
      <c r="E635" s="32">
        <v>72</v>
      </c>
      <c r="F635" s="32"/>
      <c r="G635" s="68" t="s">
        <v>277</v>
      </c>
      <c r="H635" s="69">
        <f t="shared" si="264"/>
        <v>493</v>
      </c>
      <c r="I635" s="70">
        <f t="shared" si="265"/>
        <v>564</v>
      </c>
      <c r="J635" s="73" t="str">
        <f t="shared" si="266"/>
        <v>--</v>
      </c>
      <c r="K635" s="32"/>
      <c r="L635" s="233"/>
      <c r="M635" s="277" t="s">
        <v>420</v>
      </c>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493-564</v>
      </c>
      <c r="AF635" s="109" t="str">
        <f t="shared" si="258"/>
        <v>N</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502</v>
      </c>
      <c r="D636" s="102"/>
      <c r="E636" s="32">
        <v>132</v>
      </c>
      <c r="F636" s="32"/>
      <c r="G636" s="68" t="s">
        <v>277</v>
      </c>
      <c r="H636" s="69">
        <f t="shared" si="264"/>
        <v>361</v>
      </c>
      <c r="I636" s="70">
        <f t="shared" si="265"/>
        <v>492</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361-492</v>
      </c>
      <c r="AF636" s="109" t="str">
        <f t="shared" si="258"/>
        <v>N</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217</v>
      </c>
      <c r="X643" s="84"/>
      <c r="Y643" s="78">
        <f>SUM(E632:E643)</f>
        <v>216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217</v>
      </c>
      <c r="X644" s="84"/>
      <c r="Y644" s="78">
        <f>SUM(E632:E644)</f>
        <v>216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217</v>
      </c>
      <c r="X645" s="84"/>
      <c r="Y645" s="78">
        <f>SUM(E632:E645)</f>
        <v>216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217</v>
      </c>
      <c r="X646" s="84"/>
      <c r="Y646" s="78">
        <f>SUM(E632:E646)</f>
        <v>216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217</v>
      </c>
      <c r="X647" s="84"/>
      <c r="Y647" s="78">
        <f>SUM(E632:E647)</f>
        <v>216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217</v>
      </c>
      <c r="X648" s="84"/>
      <c r="Y648" s="78">
        <f>SUM(E632:E648)</f>
        <v>216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217</v>
      </c>
      <c r="X649" s="84"/>
      <c r="Y649" s="78">
        <f>SUM(E632:E649)</f>
        <v>216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217</v>
      </c>
      <c r="X650" s="84"/>
      <c r="Y650" s="78">
        <f>SUM(E632:E650)</f>
        <v>216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217</v>
      </c>
      <c r="X651" s="84"/>
      <c r="Y651" s="78">
        <f>SUM(E632:E651)</f>
        <v>216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217</v>
      </c>
      <c r="X652" s="84"/>
      <c r="Y652" s="78">
        <f>SUM(E632:E652)</f>
        <v>216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217</v>
      </c>
      <c r="X653" s="84"/>
      <c r="Y653" s="78">
        <f>SUM(E632:E653)</f>
        <v>216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217</v>
      </c>
      <c r="X654" s="84"/>
      <c r="Y654" s="78">
        <f>SUM(E632:E654)</f>
        <v>216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217</v>
      </c>
      <c r="X655" s="84"/>
      <c r="Y655" s="78">
        <f>SUM(E632:E655)</f>
        <v>216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216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9" t="s">
        <v>335</v>
      </c>
      <c r="C657" s="320"/>
      <c r="D657" s="79"/>
      <c r="E657" s="80"/>
      <c r="F657" s="80"/>
      <c r="G657" s="81"/>
      <c r="H657" s="192"/>
      <c r="I657" s="192"/>
      <c r="J657" s="192"/>
      <c r="K657" s="82"/>
      <c r="L657" s="319" t="s">
        <v>306</v>
      </c>
      <c r="M657" s="330"/>
      <c r="N657" s="330"/>
      <c r="O657" s="330"/>
      <c r="P657" s="330"/>
      <c r="Q657" s="330"/>
      <c r="R657" s="330"/>
      <c r="S657" s="330"/>
      <c r="T657" s="330"/>
      <c r="U657" s="320"/>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2" t="s">
        <v>222</v>
      </c>
      <c r="C662" s="313"/>
      <c r="D662" s="314" t="s">
        <v>223</v>
      </c>
      <c r="E662" s="305"/>
      <c r="F662" s="88"/>
      <c r="G662" s="315" t="s">
        <v>224</v>
      </c>
      <c r="H662" s="316"/>
      <c r="I662" s="28">
        <f>SUM(E673:E697)</f>
        <v>72</v>
      </c>
      <c r="J662" s="317" t="s">
        <v>225</v>
      </c>
      <c r="K662" s="318"/>
      <c r="L662" s="305"/>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4" t="s">
        <v>230</v>
      </c>
      <c r="H663" s="305"/>
      <c r="I663" s="33">
        <f>E664-I662</f>
        <v>0</v>
      </c>
      <c r="J663" s="289" t="s">
        <v>231</v>
      </c>
      <c r="K663" s="290"/>
      <c r="L663" s="34">
        <f>I667</f>
        <v>493</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3</v>
      </c>
      <c r="X663" s="35">
        <f>COUNTIFS($E673:$E697,"4",$F673:$F697,"Ped",$C673:$C697,"FST")</f>
        <v>0</v>
      </c>
      <c r="Y663" s="25"/>
      <c r="Z663" s="298" t="s">
        <v>232</v>
      </c>
      <c r="AA663" s="300" t="s">
        <v>233</v>
      </c>
      <c r="AB663" s="301"/>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1" t="s">
        <v>237</v>
      </c>
      <c r="H664" s="292"/>
      <c r="I664" s="35">
        <f>IF(E664=0,0,12-(MOD(I662,12)))</f>
        <v>12</v>
      </c>
      <c r="J664" s="289" t="s">
        <v>238</v>
      </c>
      <c r="K664" s="290"/>
      <c r="L664" s="39">
        <f>I668-I662</f>
        <v>492</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1" t="s">
        <v>242</v>
      </c>
      <c r="H665" s="43" t="s">
        <v>243</v>
      </c>
      <c r="I665" s="35">
        <f>IF(E665&lt;&gt;0,1,0)</f>
        <v>0</v>
      </c>
      <c r="J665" s="291" t="s">
        <v>244</v>
      </c>
      <c r="K665" s="292"/>
      <c r="L665" s="44">
        <f>'Cable Calculator'!CF3</f>
        <v>1741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493</v>
      </c>
      <c r="F666" s="88"/>
      <c r="G666" s="322"/>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1" t="s">
        <v>251</v>
      </c>
      <c r="H667" s="51" t="s">
        <v>252</v>
      </c>
      <c r="I667" s="112">
        <f>E666</f>
        <v>493</v>
      </c>
      <c r="J667" s="323" t="s">
        <v>253</v>
      </c>
      <c r="K667" s="324"/>
      <c r="L667" s="32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2"/>
      <c r="H668" s="47" t="s">
        <v>257</v>
      </c>
      <c r="I668" s="35">
        <f>IF(E666="","0",IF(AND(E663="EUC",E664=432), I667+(203-E665),IF(E666=0,0,(E666+(E664-E665)-1))))</f>
        <v>564</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2"/>
      <c r="C672" s="294"/>
      <c r="D672" s="294"/>
      <c r="E672" s="307"/>
      <c r="F672" s="294"/>
      <c r="G672" s="309"/>
      <c r="H672" s="309"/>
      <c r="I672" s="309"/>
      <c r="J672" s="311"/>
      <c r="K672" s="294"/>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780</v>
      </c>
      <c r="E673" s="32">
        <v>4</v>
      </c>
      <c r="F673" s="32" t="s">
        <v>488</v>
      </c>
      <c r="G673" s="68" t="s">
        <v>277</v>
      </c>
      <c r="H673" s="69">
        <f>IF(I673=0,0,I673-(E673-1))</f>
        <v>561</v>
      </c>
      <c r="I673" s="70">
        <f>IF(E673=0,0,I668)</f>
        <v>564</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561-564</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781</v>
      </c>
      <c r="E674" s="32">
        <v>4</v>
      </c>
      <c r="F674" s="32" t="s">
        <v>488</v>
      </c>
      <c r="G674" s="68" t="s">
        <v>277</v>
      </c>
      <c r="H674" s="69">
        <f t="shared" ref="H674:H697" si="281">IF(E674=0,0,I674-(E674-1))</f>
        <v>557</v>
      </c>
      <c r="I674" s="70">
        <f t="shared" ref="I674:I697" si="282">IF(E674=0,0,H673-1)</f>
        <v>560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0</v>
      </c>
      <c r="AE674" s="109" t="str">
        <f t="shared" si="274"/>
        <v>557-560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782</v>
      </c>
      <c r="E675" s="32">
        <v>4</v>
      </c>
      <c r="F675" s="32" t="s">
        <v>488</v>
      </c>
      <c r="G675" s="75" t="s">
        <v>277</v>
      </c>
      <c r="H675" s="69">
        <f t="shared" si="281"/>
        <v>553</v>
      </c>
      <c r="I675" s="70">
        <f t="shared" si="282"/>
        <v>556</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0</v>
      </c>
      <c r="AE675" s="109" t="str">
        <f t="shared" si="274"/>
        <v>553-556</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60</v>
      </c>
      <c r="F676" s="32"/>
      <c r="G676" s="68" t="s">
        <v>277</v>
      </c>
      <c r="H676" s="69">
        <f t="shared" si="281"/>
        <v>493</v>
      </c>
      <c r="I676" s="70">
        <f t="shared" si="282"/>
        <v>552</v>
      </c>
      <c r="J676" s="73" t="str">
        <f t="shared" si="283"/>
        <v>--</v>
      </c>
      <c r="K676" s="32"/>
      <c r="L676" s="233"/>
      <c r="M676" s="277" t="s">
        <v>421</v>
      </c>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493-552</v>
      </c>
      <c r="AF676" s="109" t="str">
        <f t="shared" si="275"/>
        <v>N</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9" t="s">
        <v>337</v>
      </c>
      <c r="C698" s="320"/>
      <c r="D698" s="79"/>
      <c r="E698" s="80"/>
      <c r="F698" s="80"/>
      <c r="G698" s="81"/>
      <c r="H698" s="192"/>
      <c r="I698" s="192"/>
      <c r="J698" s="192"/>
      <c r="K698" s="82"/>
      <c r="L698" s="319" t="s">
        <v>306</v>
      </c>
      <c r="M698" s="330"/>
      <c r="N698" s="330"/>
      <c r="O698" s="330"/>
      <c r="P698" s="330"/>
      <c r="Q698" s="330"/>
      <c r="R698" s="330"/>
      <c r="S698" s="330"/>
      <c r="T698" s="330"/>
      <c r="U698" s="320"/>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2" t="s">
        <v>222</v>
      </c>
      <c r="C703" s="313"/>
      <c r="D703" s="314" t="s">
        <v>223</v>
      </c>
      <c r="E703" s="305"/>
      <c r="F703" s="88"/>
      <c r="G703" s="315" t="s">
        <v>224</v>
      </c>
      <c r="H703" s="316"/>
      <c r="I703" s="28">
        <f>SUM(E714:E738)</f>
        <v>132</v>
      </c>
      <c r="J703" s="317" t="s">
        <v>225</v>
      </c>
      <c r="K703" s="318"/>
      <c r="L703" s="305"/>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EUC</v>
      </c>
      <c r="F704" s="88"/>
      <c r="G704" s="304" t="s">
        <v>230</v>
      </c>
      <c r="H704" s="305"/>
      <c r="I704" s="33">
        <f>E705-I703</f>
        <v>12</v>
      </c>
      <c r="J704" s="289" t="s">
        <v>231</v>
      </c>
      <c r="K704" s="290"/>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1</v>
      </c>
      <c r="V704" s="35">
        <v>0</v>
      </c>
      <c r="W704" s="34">
        <f>COUNTIFS($E714:$E738,"4",$F714:$F738,"HH",$C714:$C738,"FST")</f>
        <v>1</v>
      </c>
      <c r="X704" s="35">
        <f>COUNTIFS($E714:$E738,"4",$F714:$F738,"Ped",$C714:$C738,"FST")</f>
        <v>0</v>
      </c>
      <c r="Y704" s="25"/>
      <c r="Z704" s="298" t="s">
        <v>232</v>
      </c>
      <c r="AA704" s="300" t="s">
        <v>233</v>
      </c>
      <c r="AB704" s="301"/>
      <c r="AC704" s="25"/>
      <c r="AD704" s="25"/>
      <c r="AH704" s="109">
        <v>4</v>
      </c>
      <c r="AI704" s="109" t="str">
        <f>IF($E704="SS",COUNTIFS($C714:$C738,"FST",$E714:$E738,"4"),"0")</f>
        <v>0</v>
      </c>
      <c r="AJ704" s="109" t="str">
        <f>IF($E704="RPX",COUNTIFS($C714:$C738,"FST",$E714:$E738,"4"),"0")</f>
        <v>0</v>
      </c>
      <c r="AK704" s="109">
        <f>IF($E704="EUC",COUNTIFS($C714:$C738,"FST",$E714:$E738,"4"),"0")</f>
        <v>1</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144</v>
      </c>
      <c r="F705" s="88"/>
      <c r="G705" s="291" t="s">
        <v>237</v>
      </c>
      <c r="H705" s="292"/>
      <c r="I705" s="35">
        <f>IF(E705=0,0,12-(MOD(I703,12)))</f>
        <v>12</v>
      </c>
      <c r="J705" s="289" t="s">
        <v>238</v>
      </c>
      <c r="K705" s="290"/>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1" t="s">
        <v>242</v>
      </c>
      <c r="H706" s="43" t="s">
        <v>243</v>
      </c>
      <c r="I706" s="35">
        <f>IF(E706&lt;&gt;0,1,0)</f>
        <v>1</v>
      </c>
      <c r="J706" s="291" t="s">
        <v>244</v>
      </c>
      <c r="K706" s="292"/>
      <c r="L706" s="44">
        <f>'Cable Calculator'!CK3</f>
        <v>1398</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1</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322"/>
      <c r="H707" s="47" t="s">
        <v>248</v>
      </c>
      <c r="I707" s="35">
        <f>IF(E706&lt;&gt;0,E706,0)</f>
        <v>12</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12</v>
      </c>
      <c r="F708" s="88"/>
      <c r="G708" s="321" t="s">
        <v>251</v>
      </c>
      <c r="H708" s="51" t="s">
        <v>252</v>
      </c>
      <c r="I708" s="112">
        <f>E707</f>
        <v>361</v>
      </c>
      <c r="J708" s="323" t="s">
        <v>253</v>
      </c>
      <c r="K708" s="324"/>
      <c r="L708" s="32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2"/>
      <c r="H709" s="47" t="s">
        <v>257</v>
      </c>
      <c r="I709" s="35">
        <f>IF(E707="","0",IF(AND(E704="EUC",E705=432), I708+(203-E706),IF(E707=0,0,(E707+(E705-E706)-1))))</f>
        <v>492</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132</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2"/>
      <c r="C713" s="294"/>
      <c r="D713" s="294"/>
      <c r="E713" s="307"/>
      <c r="F713" s="294"/>
      <c r="G713" s="309"/>
      <c r="H713" s="309"/>
      <c r="I713" s="309"/>
      <c r="J713" s="311"/>
      <c r="K713" s="294"/>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784</v>
      </c>
      <c r="E714" s="32">
        <v>8</v>
      </c>
      <c r="F714" s="32" t="s">
        <v>488</v>
      </c>
      <c r="G714" s="68" t="s">
        <v>277</v>
      </c>
      <c r="H714" s="69">
        <f>IF(I714=0,0,I714-(E714-1))</f>
        <v>485</v>
      </c>
      <c r="I714" s="70">
        <f>IF(E714=0,0,I709)</f>
        <v>492</v>
      </c>
      <c r="J714" s="71" t="s">
        <v>278</v>
      </c>
      <c r="K714" s="32">
        <v>1000</v>
      </c>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485-492</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8</v>
      </c>
    </row>
    <row r="715" spans="1:53" ht="15.75" thickBot="1" x14ac:dyDescent="0.3">
      <c r="A715" s="88"/>
      <c r="B715" s="66" t="s">
        <v>279</v>
      </c>
      <c r="C715" s="67" t="s">
        <v>484</v>
      </c>
      <c r="D715" s="102" t="s">
        <v>785</v>
      </c>
      <c r="E715" s="32">
        <v>4</v>
      </c>
      <c r="F715" s="32" t="s">
        <v>488</v>
      </c>
      <c r="G715" s="68" t="s">
        <v>277</v>
      </c>
      <c r="H715" s="69">
        <f t="shared" ref="H715:H738" si="298">IF(E715=0,0,I715-(E715-1))</f>
        <v>481</v>
      </c>
      <c r="I715" s="70">
        <f t="shared" ref="I715:I738" si="299">IF(E715=0,0,H714-1)</f>
        <v>484</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0</v>
      </c>
      <c r="AE715" s="109" t="str">
        <f t="shared" si="291"/>
        <v>481-484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t="s">
        <v>502</v>
      </c>
      <c r="D716" s="102"/>
      <c r="E716" s="32">
        <v>120</v>
      </c>
      <c r="F716" s="32"/>
      <c r="G716" s="75" t="s">
        <v>277</v>
      </c>
      <c r="H716" s="69">
        <f t="shared" si="298"/>
        <v>361</v>
      </c>
      <c r="I716" s="70">
        <f t="shared" si="299"/>
        <v>480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361-480</v>
      </c>
      <c r="AF716" s="109" t="str">
        <f t="shared" si="292"/>
        <v>N</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t="s">
        <v>425</v>
      </c>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133</v>
      </c>
      <c r="X725" s="84"/>
      <c r="Y725" s="78">
        <f>SUM(E714:E725)</f>
        <v>132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133</v>
      </c>
      <c r="X726" s="84"/>
      <c r="Y726" s="78">
        <f>SUM(E714:E726)</f>
        <v>132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133</v>
      </c>
      <c r="X727" s="84"/>
      <c r="Y727" s="78">
        <f>SUM(E714:E727)</f>
        <v>132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133</v>
      </c>
      <c r="X728" s="84"/>
      <c r="Y728" s="78">
        <f>SUM(E714:E728)</f>
        <v>132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133</v>
      </c>
      <c r="X729" s="84"/>
      <c r="Y729" s="78">
        <f>SUM(E714:E729)</f>
        <v>132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133</v>
      </c>
      <c r="X730" s="84"/>
      <c r="Y730" s="78">
        <f>SUM(E714:E730)</f>
        <v>132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133</v>
      </c>
      <c r="X731" s="84"/>
      <c r="Y731" s="78">
        <f>SUM(E714:E731)</f>
        <v>132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133</v>
      </c>
      <c r="X732" s="84"/>
      <c r="Y732" s="78">
        <f>SUM(E714:E732)</f>
        <v>132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133</v>
      </c>
      <c r="X733" s="84"/>
      <c r="Y733" s="78">
        <f>SUM(E714:E733)</f>
        <v>132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133</v>
      </c>
      <c r="X734" s="84"/>
      <c r="Y734" s="78">
        <f>SUM(E714:E734)</f>
        <v>132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133</v>
      </c>
      <c r="X735" s="84"/>
      <c r="Y735" s="78">
        <f>SUM(E714:E735)</f>
        <v>132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133</v>
      </c>
      <c r="X736" s="84"/>
      <c r="Y736" s="78">
        <f>SUM(E714:E736)</f>
        <v>132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133</v>
      </c>
      <c r="X737" s="84"/>
      <c r="Y737" s="78">
        <f>SUM(E714:E737)</f>
        <v>132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132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9" t="s">
        <v>339</v>
      </c>
      <c r="C739" s="320"/>
      <c r="D739" s="79"/>
      <c r="E739" s="80"/>
      <c r="F739" s="80"/>
      <c r="G739" s="81"/>
      <c r="H739" s="192"/>
      <c r="I739" s="192"/>
      <c r="J739" s="192"/>
      <c r="K739" s="82"/>
      <c r="L739" s="319" t="s">
        <v>306</v>
      </c>
      <c r="M739" s="330"/>
      <c r="N739" s="330"/>
      <c r="O739" s="330"/>
      <c r="P739" s="330"/>
      <c r="Q739" s="330"/>
      <c r="R739" s="330"/>
      <c r="S739" s="330"/>
      <c r="T739" s="330"/>
      <c r="U739" s="320"/>
      <c r="V739" s="104"/>
      <c r="W739" s="72"/>
      <c r="X739" s="72"/>
      <c r="Y739" s="72"/>
      <c r="Z739" s="72"/>
      <c r="AA739" s="72" t="str">
        <f t="shared" si="304"/>
        <v/>
      </c>
      <c r="AB739" s="72"/>
      <c r="AC739" s="72">
        <f>SUM(AC714:AC738)</f>
        <v>25</v>
      </c>
      <c r="AD739" s="72">
        <f>SUM(AD714:AD738)</f>
        <v>23</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2" t="s">
        <v>222</v>
      </c>
      <c r="C744" s="313"/>
      <c r="D744" s="314" t="s">
        <v>223</v>
      </c>
      <c r="E744" s="305"/>
      <c r="F744" s="88"/>
      <c r="G744" s="315" t="s">
        <v>224</v>
      </c>
      <c r="H744" s="316"/>
      <c r="I744" s="28">
        <f>SUM(E755:E779)</f>
        <v>60</v>
      </c>
      <c r="J744" s="317" t="s">
        <v>225</v>
      </c>
      <c r="K744" s="318"/>
      <c r="L744" s="305"/>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4" t="s">
        <v>230</v>
      </c>
      <c r="H745" s="305"/>
      <c r="I745" s="33">
        <f>E746-I744</f>
        <v>12</v>
      </c>
      <c r="J745" s="289" t="s">
        <v>231</v>
      </c>
      <c r="K745" s="290"/>
      <c r="L745" s="34">
        <f>I749</f>
        <v>493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8" t="s">
        <v>232</v>
      </c>
      <c r="AA745" s="300" t="s">
        <v>233</v>
      </c>
      <c r="AB745" s="301"/>
      <c r="AC745" s="25"/>
      <c r="AD745" s="25"/>
      <c r="AH745" s="109">
        <v>4</v>
      </c>
      <c r="AI745" s="109" t="str">
        <f>IF($E745="SS",COUNTIFS($C755:$C779,"FST",$E755:$E779,"4"),"0")</f>
        <v>0</v>
      </c>
      <c r="AJ745" s="109" t="str">
        <f>IF($E745="RPX",COUNTIFS($C755:$C779,"FST",$E755:$E779,"4"),"0")</f>
        <v>0</v>
      </c>
      <c r="AK745" s="109">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291" t="s">
        <v>237</v>
      </c>
      <c r="H746" s="292"/>
      <c r="I746" s="35">
        <f>IF(E746=0,0,12-(MOD(I744,12)))</f>
        <v>12</v>
      </c>
      <c r="J746" s="289" t="s">
        <v>238</v>
      </c>
      <c r="K746" s="290"/>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1" t="s">
        <v>242</v>
      </c>
      <c r="H747" s="43" t="s">
        <v>243</v>
      </c>
      <c r="I747" s="35">
        <f>IF(E747&lt;&gt;0,1,0)</f>
        <v>1</v>
      </c>
      <c r="J747" s="291" t="s">
        <v>244</v>
      </c>
      <c r="K747" s="292"/>
      <c r="L747" s="44">
        <f>'Cable Calculator'!CP3</f>
        <v>1485</v>
      </c>
      <c r="M747" s="196">
        <v>8</v>
      </c>
      <c r="N747" s="35">
        <f>SUM(AI747,AI758)</f>
        <v>0</v>
      </c>
      <c r="O747" s="35">
        <v>0</v>
      </c>
      <c r="P747" s="35">
        <f>SUM(AJ747,AJ758)</f>
        <v>0</v>
      </c>
      <c r="Q747" s="35">
        <v>0</v>
      </c>
      <c r="R747" s="35">
        <f>COUNTIFS($E755:$E779,"8",$F755:$F779,"Pole",$C755:$C779,"FST")</f>
        <v>0</v>
      </c>
      <c r="S747" s="35">
        <f>SUM(AL747,AK758)</f>
        <v>0</v>
      </c>
      <c r="T747" s="35">
        <v>0</v>
      </c>
      <c r="U747" s="35">
        <f>SUM(AK747,AL758)</f>
        <v>3</v>
      </c>
      <c r="V747" s="35">
        <v>0</v>
      </c>
      <c r="W747" s="34">
        <f>COUNTIFS($E755:$E779,"8",$F755:$F779,"HH",$C755:$C779,"FST")</f>
        <v>3</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3</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322"/>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2</v>
      </c>
      <c r="V748" s="35">
        <f>IF($E745="EUC",SUM($AN780,AP780,AR780),"0")</f>
        <v>1</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321" t="s">
        <v>251</v>
      </c>
      <c r="H749" s="51" t="s">
        <v>252</v>
      </c>
      <c r="I749" s="112">
        <f>E748</f>
        <v>493</v>
      </c>
      <c r="J749" s="323" t="s">
        <v>253</v>
      </c>
      <c r="K749" s="324"/>
      <c r="L749" s="32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2"/>
      <c r="H750" s="47" t="s">
        <v>257</v>
      </c>
      <c r="I750" s="35">
        <f>IF(E748="","0",IF(AND(E745="EUC",E746=432), I749+(203-E747),IF(E748=0,0,(E748+(E746-E747)-1))))</f>
        <v>552</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2"/>
      <c r="C754" s="294"/>
      <c r="D754" s="294"/>
      <c r="E754" s="307"/>
      <c r="F754" s="294"/>
      <c r="G754" s="309"/>
      <c r="H754" s="309"/>
      <c r="I754" s="309"/>
      <c r="J754" s="311"/>
      <c r="K754" s="294"/>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783</v>
      </c>
      <c r="E755" s="32">
        <v>8</v>
      </c>
      <c r="F755" s="32" t="s">
        <v>488</v>
      </c>
      <c r="G755" s="68" t="s">
        <v>277</v>
      </c>
      <c r="H755" s="69">
        <f>IF(I755=0,0,I755-(E755-1))</f>
        <v>545</v>
      </c>
      <c r="I755" s="70">
        <f>IF(E755=0,0,I750)</f>
        <v>552</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545-552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8</v>
      </c>
    </row>
    <row r="756" spans="1:53" ht="15.75" thickBot="1" x14ac:dyDescent="0.3">
      <c r="A756" s="88"/>
      <c r="B756" s="66" t="s">
        <v>279</v>
      </c>
      <c r="C756" s="67" t="s">
        <v>484</v>
      </c>
      <c r="D756" s="102" t="s">
        <v>789</v>
      </c>
      <c r="E756" s="32">
        <v>8</v>
      </c>
      <c r="F756" s="32" t="s">
        <v>488</v>
      </c>
      <c r="G756" s="68" t="s">
        <v>277</v>
      </c>
      <c r="H756" s="69">
        <f t="shared" ref="H756:H779" si="315">IF(E756=0,0,I756-(E756-1))</f>
        <v>537</v>
      </c>
      <c r="I756" s="70">
        <f t="shared" ref="I756:I779" si="316">IF(E756=0,0,H755-1)</f>
        <v>544</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0</v>
      </c>
      <c r="AE756" s="109" t="str">
        <f t="shared" si="308"/>
        <v>537-544</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4</v>
      </c>
    </row>
    <row r="757" spans="1:53" ht="15.75" thickBot="1" x14ac:dyDescent="0.3">
      <c r="A757" s="88"/>
      <c r="B757" s="74" t="s">
        <v>280</v>
      </c>
      <c r="C757" s="67" t="s">
        <v>484</v>
      </c>
      <c r="D757" s="102" t="s">
        <v>790</v>
      </c>
      <c r="E757" s="32">
        <v>8</v>
      </c>
      <c r="F757" s="32" t="s">
        <v>488</v>
      </c>
      <c r="G757" s="75" t="s">
        <v>277</v>
      </c>
      <c r="H757" s="69">
        <f t="shared" si="315"/>
        <v>529</v>
      </c>
      <c r="I757" s="70">
        <f t="shared" si="316"/>
        <v>536</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0</v>
      </c>
      <c r="AE757" s="109" t="str">
        <f t="shared" si="308"/>
        <v>529-536</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500</v>
      </c>
      <c r="D758" s="102"/>
      <c r="E758" s="32">
        <v>12</v>
      </c>
      <c r="F758" s="32"/>
      <c r="G758" s="68" t="s">
        <v>277</v>
      </c>
      <c r="H758" s="69">
        <f t="shared" si="315"/>
        <v>517</v>
      </c>
      <c r="I758" s="70">
        <f t="shared" si="316"/>
        <v>528</v>
      </c>
      <c r="J758" s="73" t="str">
        <f t="shared" si="317"/>
        <v>--</v>
      </c>
      <c r="K758" s="32"/>
      <c r="L758" s="233"/>
      <c r="M758" s="277" t="s">
        <v>737</v>
      </c>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517-528</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Y</v>
      </c>
      <c r="AQ758" s="109" t="str">
        <f t="shared" si="314"/>
        <v/>
      </c>
      <c r="BA758" s="229">
        <f>MOD(SUM(E755:E759),12)</f>
        <v>0</v>
      </c>
    </row>
    <row r="759" spans="1:53" ht="15.75" thickBot="1" x14ac:dyDescent="0.3">
      <c r="A759" s="88"/>
      <c r="B759" s="66" t="s">
        <v>282</v>
      </c>
      <c r="C759" s="67" t="s">
        <v>500</v>
      </c>
      <c r="D759" s="102"/>
      <c r="E759" s="32">
        <v>12</v>
      </c>
      <c r="F759" s="32"/>
      <c r="G759" s="68" t="s">
        <v>277</v>
      </c>
      <c r="H759" s="69">
        <f t="shared" si="315"/>
        <v>505</v>
      </c>
      <c r="I759" s="70">
        <f t="shared" si="316"/>
        <v>516</v>
      </c>
      <c r="J759" s="73" t="str">
        <f t="shared" si="317"/>
        <v>--</v>
      </c>
      <c r="K759" s="32"/>
      <c r="L759" s="233"/>
      <c r="M759" s="277" t="s">
        <v>422</v>
      </c>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505-516</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Y</v>
      </c>
      <c r="AQ759" s="109" t="str">
        <f t="shared" si="314"/>
        <v/>
      </c>
      <c r="BA759" s="229">
        <f>MOD(SUM(E755:E760),12)</f>
        <v>0</v>
      </c>
    </row>
    <row r="760" spans="1:53" ht="15.75" thickBot="1" x14ac:dyDescent="0.3">
      <c r="A760" s="88"/>
      <c r="B760" s="66" t="s">
        <v>283</v>
      </c>
      <c r="C760" s="67" t="s">
        <v>500</v>
      </c>
      <c r="D760" s="102"/>
      <c r="E760" s="32">
        <v>12</v>
      </c>
      <c r="F760" s="32"/>
      <c r="G760" s="68" t="s">
        <v>277</v>
      </c>
      <c r="H760" s="69">
        <f t="shared" si="315"/>
        <v>493</v>
      </c>
      <c r="I760" s="70">
        <f t="shared" si="316"/>
        <v>504</v>
      </c>
      <c r="J760" s="73" t="str">
        <f t="shared" si="317"/>
        <v>--</v>
      </c>
      <c r="K760" s="32"/>
      <c r="L760" s="233"/>
      <c r="M760" s="277" t="s">
        <v>737</v>
      </c>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493-504</v>
      </c>
      <c r="AF760" s="109" t="str">
        <f t="shared" si="309"/>
        <v>Y</v>
      </c>
      <c r="AG760" s="109" t="str">
        <f t="shared" si="310"/>
        <v>B</v>
      </c>
      <c r="AM760" s="109">
        <f t="shared" si="311"/>
        <v>0</v>
      </c>
      <c r="AN760" s="109">
        <f t="shared" si="312"/>
        <v>0</v>
      </c>
      <c r="AO760" s="109" t="str">
        <f t="shared" si="313"/>
        <v>Y</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61</v>
      </c>
      <c r="X766" s="84"/>
      <c r="Y766" s="78">
        <f>SUM(E755:E766)</f>
        <v>60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61</v>
      </c>
      <c r="X767" s="84"/>
      <c r="Y767" s="78">
        <f>SUM(E755:E767)</f>
        <v>60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61</v>
      </c>
      <c r="X768" s="84"/>
      <c r="Y768" s="78">
        <f>SUM(E755:E768)</f>
        <v>60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61</v>
      </c>
      <c r="X769" s="84"/>
      <c r="Y769" s="78">
        <f>SUM(E755:E769)</f>
        <v>60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61</v>
      </c>
      <c r="X770" s="84"/>
      <c r="Y770" s="78">
        <f>SUM(E755:E770)</f>
        <v>60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61</v>
      </c>
      <c r="X771" s="84"/>
      <c r="Y771" s="78">
        <f>SUM(E755:E771)</f>
        <v>60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61</v>
      </c>
      <c r="X772" s="84"/>
      <c r="Y772" s="78">
        <f>SUM(E755:E772)</f>
        <v>60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61</v>
      </c>
      <c r="X773" s="84"/>
      <c r="Y773" s="78">
        <f>SUM(E755:E773)</f>
        <v>60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61</v>
      </c>
      <c r="X774" s="84"/>
      <c r="Y774" s="78">
        <f>SUM(E755:E774)</f>
        <v>60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61</v>
      </c>
      <c r="X775" s="84"/>
      <c r="Y775" s="78">
        <f>SUM(E755:E775)</f>
        <v>60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61</v>
      </c>
      <c r="X776" s="84"/>
      <c r="Y776" s="78">
        <f>SUM(E755:E776)</f>
        <v>60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61</v>
      </c>
      <c r="X777" s="84"/>
      <c r="Y777" s="78">
        <f>SUM(E755:E777)</f>
        <v>60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61</v>
      </c>
      <c r="X778" s="84"/>
      <c r="Y778" s="78">
        <f>SUM(E755:E778)</f>
        <v>60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60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9" t="s">
        <v>341</v>
      </c>
      <c r="C780" s="320"/>
      <c r="D780" s="79"/>
      <c r="E780" s="80"/>
      <c r="F780" s="80"/>
      <c r="G780" s="81"/>
      <c r="H780" s="192"/>
      <c r="I780" s="192"/>
      <c r="J780" s="192"/>
      <c r="K780" s="82"/>
      <c r="L780" s="319" t="s">
        <v>306</v>
      </c>
      <c r="M780" s="330"/>
      <c r="N780" s="330"/>
      <c r="O780" s="330"/>
      <c r="P780" s="330"/>
      <c r="Q780" s="330"/>
      <c r="R780" s="330"/>
      <c r="S780" s="330"/>
      <c r="T780" s="330"/>
      <c r="U780" s="320"/>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2</v>
      </c>
      <c r="AP780" s="109">
        <f>(COUNTIF(AO755:AO779,"Y")/3)</f>
        <v>1</v>
      </c>
      <c r="AQ780" s="109">
        <f>(COUNTIF(AQ755:AQ779,"Y")/2)</f>
        <v>0</v>
      </c>
      <c r="AR780" s="109">
        <f>(COUNTIF(AQ755:AQ779,"Y")/2)</f>
        <v>0</v>
      </c>
      <c r="BA780" s="228"/>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2" t="s">
        <v>222</v>
      </c>
      <c r="C785" s="313"/>
      <c r="D785" s="314" t="s">
        <v>223</v>
      </c>
      <c r="E785" s="305"/>
      <c r="F785" s="88"/>
      <c r="G785" s="315" t="s">
        <v>224</v>
      </c>
      <c r="H785" s="316"/>
      <c r="I785" s="28">
        <f>SUM(E796:E820)</f>
        <v>36</v>
      </c>
      <c r="J785" s="317" t="s">
        <v>225</v>
      </c>
      <c r="K785" s="318"/>
      <c r="L785" s="305"/>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226</v>
      </c>
      <c r="AA785" s="296"/>
      <c r="AB785" s="297"/>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EUC</v>
      </c>
      <c r="F786" s="88"/>
      <c r="G786" s="304" t="s">
        <v>230</v>
      </c>
      <c r="H786" s="305"/>
      <c r="I786" s="33">
        <f>E787-I785</f>
        <v>12</v>
      </c>
      <c r="J786" s="289" t="s">
        <v>231</v>
      </c>
      <c r="K786" s="290"/>
      <c r="L786" s="34">
        <f>I790</f>
        <v>493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1</v>
      </c>
      <c r="X786" s="35">
        <f>COUNTIFS($E796:$E820,"4",$F796:$F820,"Ped",$C796:$C820,"FST")</f>
        <v>0</v>
      </c>
      <c r="Y786" s="25"/>
      <c r="Z786" s="298" t="s">
        <v>232</v>
      </c>
      <c r="AA786" s="300" t="s">
        <v>233</v>
      </c>
      <c r="AB786" s="301"/>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291" t="s">
        <v>237</v>
      </c>
      <c r="H787" s="292"/>
      <c r="I787" s="35">
        <f>IF(E787=0,0,12-(MOD(I785,12)))</f>
        <v>12</v>
      </c>
      <c r="J787" s="289" t="s">
        <v>238</v>
      </c>
      <c r="K787" s="290"/>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Y</v>
      </c>
      <c r="AT787" s="110" t="s">
        <v>239</v>
      </c>
      <c r="AU787" s="109">
        <f>COUNTIFS($E786,"SS",$AS787,"Y")</f>
        <v>0</v>
      </c>
      <c r="AV787" s="108">
        <f>COUNTIFS($E786,"RPX",$AS787,"Y")</f>
        <v>0</v>
      </c>
      <c r="AW787" s="108">
        <f>COUNTIFS($E786,"EUC",$AS787,"Y")</f>
        <v>1</v>
      </c>
      <c r="AX787" s="109">
        <f>COUNTIFS($E786,"RPX-T",$AS787,"Y")</f>
        <v>0</v>
      </c>
      <c r="BA787" s="227"/>
    </row>
    <row r="788" spans="1:53" ht="16.5" customHeight="1" thickTop="1" thickBot="1" x14ac:dyDescent="0.3">
      <c r="A788" s="88"/>
      <c r="B788" s="40" t="s">
        <v>240</v>
      </c>
      <c r="C788" s="30">
        <v>0</v>
      </c>
      <c r="D788" s="41" t="s">
        <v>241</v>
      </c>
      <c r="E788" s="42">
        <v>12</v>
      </c>
      <c r="F788" s="88"/>
      <c r="G788" s="321" t="s">
        <v>242</v>
      </c>
      <c r="H788" s="43" t="s">
        <v>243</v>
      </c>
      <c r="I788" s="35">
        <f>IF(E788&lt;&gt;0,1,0)</f>
        <v>1</v>
      </c>
      <c r="J788" s="291" t="s">
        <v>244</v>
      </c>
      <c r="K788" s="292"/>
      <c r="L788" s="44">
        <f>'Cable Calculator'!CU3</f>
        <v>1955</v>
      </c>
      <c r="M788" s="196">
        <v>8</v>
      </c>
      <c r="N788" s="35">
        <f>SUM(AI788,AI799)</f>
        <v>0</v>
      </c>
      <c r="O788" s="35">
        <v>0</v>
      </c>
      <c r="P788" s="35">
        <f>SUM(AJ788,AJ799)</f>
        <v>0</v>
      </c>
      <c r="Q788" s="35">
        <v>0</v>
      </c>
      <c r="R788" s="35">
        <f>COUNTIFS($E796:$E820,"8",$F796:$F820,"Pole",$C796:$C820,"FST")</f>
        <v>0</v>
      </c>
      <c r="S788" s="35">
        <f>SUM(AL788,AK799)</f>
        <v>0</v>
      </c>
      <c r="T788" s="35">
        <v>0</v>
      </c>
      <c r="U788" s="35">
        <f>SUM(AK788,AL799)</f>
        <v>1</v>
      </c>
      <c r="V788" s="35">
        <v>0</v>
      </c>
      <c r="W788" s="34">
        <f>COUNTIFS($E796:$E820,"8",$F796:$F820,"HH",$C796:$C820,"FST")</f>
        <v>1</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322"/>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321" t="s">
        <v>251</v>
      </c>
      <c r="H790" s="51" t="s">
        <v>252</v>
      </c>
      <c r="I790" s="112">
        <f>E789</f>
        <v>493</v>
      </c>
      <c r="J790" s="323" t="s">
        <v>253</v>
      </c>
      <c r="K790" s="324"/>
      <c r="L790" s="32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2"/>
      <c r="H791" s="47" t="s">
        <v>257</v>
      </c>
      <c r="I791" s="35">
        <f>IF(E789="","0",IF(AND(E786="EUC",E787=432), I790+(203-E788),IF(E789=0,0,(E789+(E787-E788)-1))))</f>
        <v>528</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36</v>
      </c>
      <c r="D792" s="31" t="s">
        <v>259</v>
      </c>
      <c r="E792" s="101" t="str">
        <f>IF(AS786="Y","DBL",IF(AS787="Y","TRPL",IF(AS788="Y","QUAD","")))</f>
        <v>TRPL</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2"/>
      <c r="C795" s="294"/>
      <c r="D795" s="294"/>
      <c r="E795" s="307"/>
      <c r="F795" s="294"/>
      <c r="G795" s="309"/>
      <c r="H795" s="309"/>
      <c r="I795" s="309"/>
      <c r="J795" s="311"/>
      <c r="K795" s="294"/>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791</v>
      </c>
      <c r="E796" s="32">
        <v>4</v>
      </c>
      <c r="F796" s="32" t="s">
        <v>488</v>
      </c>
      <c r="G796" s="68" t="s">
        <v>277</v>
      </c>
      <c r="H796" s="69">
        <f>IF(I796=0,0,I796-(E796-1))</f>
        <v>525</v>
      </c>
      <c r="I796" s="70">
        <f>IF(E796=0,0,I791)</f>
        <v>528</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525-528</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792</v>
      </c>
      <c r="E797" s="32">
        <v>8</v>
      </c>
      <c r="F797" s="32" t="s">
        <v>488</v>
      </c>
      <c r="G797" s="68" t="s">
        <v>277</v>
      </c>
      <c r="H797" s="69">
        <f t="shared" ref="H797:H820" si="332">IF(E797=0,0,I797-(E797-1))</f>
        <v>517</v>
      </c>
      <c r="I797" s="70">
        <f t="shared" ref="I797:I820" si="333">IF(E797=0,0,H796-1)</f>
        <v>524</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0</v>
      </c>
      <c r="AE797" s="109" t="str">
        <f t="shared" si="325"/>
        <v>517-524</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502</v>
      </c>
      <c r="D798" s="102"/>
      <c r="E798" s="32">
        <v>24</v>
      </c>
      <c r="F798" s="32"/>
      <c r="G798" s="75" t="s">
        <v>277</v>
      </c>
      <c r="H798" s="69">
        <f t="shared" si="332"/>
        <v>493</v>
      </c>
      <c r="I798" s="70">
        <f t="shared" si="333"/>
        <v>516</v>
      </c>
      <c r="J798" s="73" t="str">
        <f t="shared" ref="J798:J820" si="334">IF(C798="","--",IF(AND(C798&lt;&gt;"FST",C798&lt;&gt;"TCF",BA797&lt;&gt;0),BA797,"--"))</f>
        <v>--</v>
      </c>
      <c r="K798" s="32"/>
      <c r="L798" s="233"/>
      <c r="M798" s="277" t="s">
        <v>423</v>
      </c>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493-516</v>
      </c>
      <c r="AF798" s="109" t="str">
        <f t="shared" si="326"/>
        <v>N</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37</v>
      </c>
      <c r="X807" s="84"/>
      <c r="Y807" s="78">
        <f>SUM(E796:E807)</f>
        <v>36</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37</v>
      </c>
      <c r="X808" s="84"/>
      <c r="Y808" s="78">
        <f>SUM(E796:E808)</f>
        <v>36</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37</v>
      </c>
      <c r="X809" s="84"/>
      <c r="Y809" s="78">
        <f>SUM(E796:E809)</f>
        <v>36</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37</v>
      </c>
      <c r="X810" s="84"/>
      <c r="Y810" s="78">
        <f>SUM(E796:E810)</f>
        <v>36</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37</v>
      </c>
      <c r="X811" s="84"/>
      <c r="Y811" s="78">
        <f>SUM(E796:E811)</f>
        <v>36</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37</v>
      </c>
      <c r="X812" s="84"/>
      <c r="Y812" s="78">
        <f>SUM(E796:E812)</f>
        <v>36</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37</v>
      </c>
      <c r="X813" s="84"/>
      <c r="Y813" s="78">
        <f>SUM(E796:E813)</f>
        <v>36</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37</v>
      </c>
      <c r="X814" s="84"/>
      <c r="Y814" s="78">
        <f>SUM(E796:E814)</f>
        <v>36</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37</v>
      </c>
      <c r="X815" s="84"/>
      <c r="Y815" s="78">
        <f>SUM(E796:E815)</f>
        <v>36</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37</v>
      </c>
      <c r="X816" s="84"/>
      <c r="Y816" s="78">
        <f>SUM(E796:E816)</f>
        <v>36</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37</v>
      </c>
      <c r="X817" s="84"/>
      <c r="Y817" s="78">
        <f>SUM(E796:E817)</f>
        <v>36</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37</v>
      </c>
      <c r="X818" s="84"/>
      <c r="Y818" s="78">
        <f>SUM(E796:E818)</f>
        <v>36</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37</v>
      </c>
      <c r="X819" s="84"/>
      <c r="Y819" s="78">
        <f>SUM(E796:E819)</f>
        <v>36</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36</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9" t="s">
        <v>343</v>
      </c>
      <c r="C821" s="320"/>
      <c r="D821" s="79"/>
      <c r="E821" s="80"/>
      <c r="F821" s="80"/>
      <c r="G821" s="81"/>
      <c r="H821" s="192"/>
      <c r="I821" s="192"/>
      <c r="J821" s="192"/>
      <c r="K821" s="82"/>
      <c r="L821" s="319" t="s">
        <v>306</v>
      </c>
      <c r="M821" s="330"/>
      <c r="N821" s="330"/>
      <c r="O821" s="330"/>
      <c r="P821" s="330"/>
      <c r="Q821" s="330"/>
      <c r="R821" s="330"/>
      <c r="S821" s="330"/>
      <c r="T821" s="330"/>
      <c r="U821" s="320"/>
      <c r="V821" s="104"/>
      <c r="W821" s="72"/>
      <c r="X821" s="72"/>
      <c r="Y821" s="72"/>
      <c r="Z821" s="72"/>
      <c r="AA821" s="72" t="str">
        <f t="shared" si="338"/>
        <v/>
      </c>
      <c r="AB821" s="72"/>
      <c r="AC821" s="72">
        <f>SUM(AC796:AC820)</f>
        <v>25</v>
      </c>
      <c r="AD821" s="72">
        <f>SUM(AD796:AD820)</f>
        <v>23</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2" t="s">
        <v>222</v>
      </c>
      <c r="C826" s="313"/>
      <c r="D826" s="314" t="s">
        <v>223</v>
      </c>
      <c r="E826" s="305"/>
      <c r="F826" s="88"/>
      <c r="G826" s="315" t="s">
        <v>224</v>
      </c>
      <c r="H826" s="316"/>
      <c r="I826" s="28">
        <f>SUM(E837:E861)</f>
        <v>24</v>
      </c>
      <c r="J826" s="317" t="s">
        <v>225</v>
      </c>
      <c r="K826" s="318"/>
      <c r="L826" s="305"/>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4" t="s">
        <v>230</v>
      </c>
      <c r="H827" s="305"/>
      <c r="I827" s="33">
        <f>E828-I826</f>
        <v>0</v>
      </c>
      <c r="J827" s="289" t="s">
        <v>231</v>
      </c>
      <c r="K827" s="290"/>
      <c r="L827" s="34">
        <f>I831</f>
        <v>493</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8" t="s">
        <v>232</v>
      </c>
      <c r="AA827" s="300" t="s">
        <v>233</v>
      </c>
      <c r="AB827" s="301"/>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291" t="s">
        <v>237</v>
      </c>
      <c r="H828" s="292"/>
      <c r="I828" s="35">
        <f>IF(E828=0,0,12-(MOD(I826,12)))</f>
        <v>12</v>
      </c>
      <c r="J828" s="289" t="s">
        <v>238</v>
      </c>
      <c r="K828" s="290"/>
      <c r="L828" s="39">
        <f>I832-I826</f>
        <v>492</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1" t="s">
        <v>242</v>
      </c>
      <c r="H829" s="43" t="s">
        <v>243</v>
      </c>
      <c r="I829" s="35">
        <f>IF(E829&lt;&gt;0,1,0)</f>
        <v>0</v>
      </c>
      <c r="J829" s="291" t="s">
        <v>244</v>
      </c>
      <c r="K829" s="292"/>
      <c r="L829" s="44">
        <f>'Cable Calculator'!CZ3</f>
        <v>948</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493</v>
      </c>
      <c r="F830" s="88"/>
      <c r="G830" s="322"/>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321" t="s">
        <v>251</v>
      </c>
      <c r="H831" s="51" t="s">
        <v>252</v>
      </c>
      <c r="I831" s="112">
        <f>E830</f>
        <v>493</v>
      </c>
      <c r="J831" s="323" t="s">
        <v>253</v>
      </c>
      <c r="K831" s="324"/>
      <c r="L831" s="32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2"/>
      <c r="H832" s="47" t="s">
        <v>257</v>
      </c>
      <c r="I832" s="35">
        <f>IF(E830="","0",IF(AND(E827="EUC",E828=432), I831+(203-E829),IF(E830=0,0,(E830+(E828-E829)-1))))</f>
        <v>516</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24</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2"/>
      <c r="C836" s="294"/>
      <c r="D836" s="294"/>
      <c r="E836" s="307"/>
      <c r="F836" s="294"/>
      <c r="G836" s="309"/>
      <c r="H836" s="309"/>
      <c r="I836" s="309"/>
      <c r="J836" s="311"/>
      <c r="K836" s="294"/>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24</v>
      </c>
      <c r="F837" s="32"/>
      <c r="G837" s="68" t="s">
        <v>277</v>
      </c>
      <c r="H837" s="69">
        <f>IF(I837=0,0,I837-(E837-1))</f>
        <v>493</v>
      </c>
      <c r="I837" s="70">
        <f>IF(E837=0,0,I832)</f>
        <v>516</v>
      </c>
      <c r="J837" s="71" t="s">
        <v>278</v>
      </c>
      <c r="K837" s="32"/>
      <c r="L837" s="233"/>
      <c r="M837" s="277" t="s">
        <v>424</v>
      </c>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493-516</v>
      </c>
      <c r="AF837" s="109" t="str">
        <f t="shared" ref="AF837:AF861" si="343">IF(C837="Field SPL","N","Y")</f>
        <v>N</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25</v>
      </c>
      <c r="X848" s="84"/>
      <c r="Y848" s="78">
        <f>SUM(E837:E848)</f>
        <v>24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25</v>
      </c>
      <c r="X849" s="84"/>
      <c r="Y849" s="78">
        <f>SUM(E837:E849)</f>
        <v>24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25</v>
      </c>
      <c r="X850" s="84"/>
      <c r="Y850" s="78">
        <f>SUM(E837:E850)</f>
        <v>24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25</v>
      </c>
      <c r="X851" s="84"/>
      <c r="Y851" s="78">
        <f>SUM(E837:E851)</f>
        <v>24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25</v>
      </c>
      <c r="X852" s="84"/>
      <c r="Y852" s="78">
        <f>SUM(E837:E852)</f>
        <v>24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25</v>
      </c>
      <c r="X853" s="84"/>
      <c r="Y853" s="78">
        <f>SUM(E837:E853)</f>
        <v>24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25</v>
      </c>
      <c r="X854" s="84"/>
      <c r="Y854" s="78">
        <f>SUM(E837:E854)</f>
        <v>24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25</v>
      </c>
      <c r="X855" s="84"/>
      <c r="Y855" s="78">
        <f>SUM(E837:E855)</f>
        <v>24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25</v>
      </c>
      <c r="X856" s="84"/>
      <c r="Y856" s="78">
        <f>SUM(E837:E856)</f>
        <v>24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25</v>
      </c>
      <c r="X857" s="84"/>
      <c r="Y857" s="78">
        <f>SUM(E837:E857)</f>
        <v>24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25</v>
      </c>
      <c r="X858" s="84"/>
      <c r="Y858" s="78">
        <f>SUM(E837:E858)</f>
        <v>24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25</v>
      </c>
      <c r="X859" s="84"/>
      <c r="Y859" s="78">
        <f>SUM(E837:E859)</f>
        <v>24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25</v>
      </c>
      <c r="X860" s="84"/>
      <c r="Y860" s="78">
        <f>SUM(E837:E860)</f>
        <v>24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24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9" t="s">
        <v>345</v>
      </c>
      <c r="C862" s="320"/>
      <c r="D862" s="79"/>
      <c r="E862" s="80"/>
      <c r="F862" s="80"/>
      <c r="G862" s="81"/>
      <c r="H862" s="192"/>
      <c r="I862" s="192"/>
      <c r="J862" s="192"/>
      <c r="K862" s="82"/>
      <c r="L862" s="319" t="s">
        <v>306</v>
      </c>
      <c r="M862" s="330"/>
      <c r="N862" s="330"/>
      <c r="O862" s="330"/>
      <c r="P862" s="330"/>
      <c r="Q862" s="330"/>
      <c r="R862" s="330"/>
      <c r="S862" s="330"/>
      <c r="T862" s="330"/>
      <c r="U862" s="320"/>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2" t="s">
        <v>222</v>
      </c>
      <c r="C867" s="313"/>
      <c r="D867" s="314" t="s">
        <v>223</v>
      </c>
      <c r="E867" s="305"/>
      <c r="F867" s="88"/>
      <c r="G867" s="315" t="s">
        <v>224</v>
      </c>
      <c r="H867" s="316"/>
      <c r="I867" s="28">
        <f>SUM(E878:E902)</f>
        <v>24</v>
      </c>
      <c r="J867" s="317" t="s">
        <v>225</v>
      </c>
      <c r="K867" s="318"/>
      <c r="L867" s="305"/>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4" t="s">
        <v>230</v>
      </c>
      <c r="H868" s="305"/>
      <c r="I868" s="33">
        <f>E869-I867</f>
        <v>0</v>
      </c>
      <c r="J868" s="289" t="s">
        <v>231</v>
      </c>
      <c r="K868" s="290"/>
      <c r="L868" s="34">
        <f>I872</f>
        <v>493</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1" t="s">
        <v>237</v>
      </c>
      <c r="H869" s="292"/>
      <c r="I869" s="35">
        <f>IF(E869=0,0,12-(MOD(I867,12)))</f>
        <v>12</v>
      </c>
      <c r="J869" s="289" t="s">
        <v>238</v>
      </c>
      <c r="K869" s="290"/>
      <c r="L869" s="39">
        <f>I873-I867</f>
        <v>492</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321" t="s">
        <v>242</v>
      </c>
      <c r="H870" s="43" t="s">
        <v>243</v>
      </c>
      <c r="I870" s="35">
        <f>IF(E870&lt;&gt;0,1,0)</f>
        <v>0</v>
      </c>
      <c r="J870" s="291" t="s">
        <v>244</v>
      </c>
      <c r="K870" s="292"/>
      <c r="L870" s="44">
        <f>'Cable Calculator'!DE3</f>
        <v>1438</v>
      </c>
      <c r="M870" s="196">
        <v>8</v>
      </c>
      <c r="N870" s="35">
        <f>SUM(AI870,AI881)</f>
        <v>0</v>
      </c>
      <c r="O870" s="35">
        <v>0</v>
      </c>
      <c r="P870" s="35">
        <f>SUM(AJ870,AJ881)</f>
        <v>0</v>
      </c>
      <c r="Q870" s="35">
        <v>0</v>
      </c>
      <c r="R870" s="35">
        <f>COUNTIFS($E878:$E902,"8",$F878:$F902,"Pole",$C878:$C902,"FST")</f>
        <v>0</v>
      </c>
      <c r="S870" s="35">
        <f>SUM(AL870,AK881)</f>
        <v>0</v>
      </c>
      <c r="T870" s="35">
        <v>0</v>
      </c>
      <c r="U870" s="35">
        <f>SUM(AK870,AL881)</f>
        <v>2</v>
      </c>
      <c r="V870" s="35">
        <v>0</v>
      </c>
      <c r="W870" s="34">
        <f>COUNTIFS($E878:$E902,"8",$F878:$F902,"HH",$C878:$C902,"FST")</f>
        <v>2</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2</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493</v>
      </c>
      <c r="F871" s="88"/>
      <c r="G871" s="322"/>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1" t="s">
        <v>251</v>
      </c>
      <c r="H872" s="51" t="s">
        <v>252</v>
      </c>
      <c r="I872" s="112">
        <f>E871</f>
        <v>493</v>
      </c>
      <c r="J872" s="323" t="s">
        <v>253</v>
      </c>
      <c r="K872" s="324"/>
      <c r="L872" s="32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2"/>
      <c r="H873" s="47" t="s">
        <v>257</v>
      </c>
      <c r="I873" s="35">
        <f>IF(E871="","0",IF(AND(E868="EUC",E869=432), I872+(203-E870),IF(E871=0,0,(E871+(E869-E870)-1))))</f>
        <v>516</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24</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2"/>
      <c r="C877" s="294"/>
      <c r="D877" s="294"/>
      <c r="E877" s="307"/>
      <c r="F877" s="294"/>
      <c r="G877" s="309"/>
      <c r="H877" s="309"/>
      <c r="I877" s="309"/>
      <c r="J877" s="311"/>
      <c r="K877" s="294"/>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793</v>
      </c>
      <c r="E878" s="32">
        <v>8</v>
      </c>
      <c r="F878" s="32" t="s">
        <v>488</v>
      </c>
      <c r="G878" s="68" t="s">
        <v>277</v>
      </c>
      <c r="H878" s="69">
        <f>IF(I878=0,0,I878-(E878-1))</f>
        <v>509</v>
      </c>
      <c r="I878" s="70">
        <f>IF(E878=0,0,I873)</f>
        <v>516</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509-516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8</v>
      </c>
    </row>
    <row r="879" spans="1:53" ht="15.75" thickBot="1" x14ac:dyDescent="0.3">
      <c r="A879" s="88"/>
      <c r="B879" s="66" t="s">
        <v>279</v>
      </c>
      <c r="C879" s="67" t="s">
        <v>484</v>
      </c>
      <c r="D879" s="102" t="s">
        <v>794</v>
      </c>
      <c r="E879" s="32">
        <v>8</v>
      </c>
      <c r="F879" s="32" t="s">
        <v>488</v>
      </c>
      <c r="G879" s="68" t="s">
        <v>277</v>
      </c>
      <c r="H879" s="69">
        <f t="shared" ref="H879:H902" si="366">IF(E879=0,0,I879-(E879-1))</f>
        <v>501</v>
      </c>
      <c r="I879" s="70">
        <f t="shared" ref="I879:I902" si="367">IF(E879=0,0,H878-1)</f>
        <v>508</v>
      </c>
      <c r="J879" s="73" t="str">
        <f>IF(C879="","--",IF(AND(C879&lt;&gt;"FST",C879&lt;&gt;"TCF",BA878&lt;&gt;0),BA878,"--"))</f>
        <v>--</v>
      </c>
      <c r="K879" s="32">
        <v>200</v>
      </c>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0</v>
      </c>
      <c r="AE879" s="109" t="str">
        <f t="shared" si="359"/>
        <v>501-508</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4</v>
      </c>
    </row>
    <row r="880" spans="1:53" ht="15.75" thickBot="1" x14ac:dyDescent="0.3">
      <c r="A880" s="88"/>
      <c r="B880" s="74" t="s">
        <v>280</v>
      </c>
      <c r="C880" s="67" t="s">
        <v>484</v>
      </c>
      <c r="D880" s="102" t="s">
        <v>795</v>
      </c>
      <c r="E880" s="32">
        <v>4</v>
      </c>
      <c r="F880" s="32" t="s">
        <v>488</v>
      </c>
      <c r="G880" s="75" t="s">
        <v>277</v>
      </c>
      <c r="H880" s="69">
        <f t="shared" si="366"/>
        <v>497</v>
      </c>
      <c r="I880" s="70">
        <f t="shared" si="367"/>
        <v>500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0</v>
      </c>
      <c r="AE880" s="109" t="str">
        <f t="shared" si="359"/>
        <v>497-500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796</v>
      </c>
      <c r="E881" s="32">
        <v>4</v>
      </c>
      <c r="F881" s="32" t="s">
        <v>488</v>
      </c>
      <c r="G881" s="68" t="s">
        <v>277</v>
      </c>
      <c r="H881" s="69">
        <f t="shared" si="366"/>
        <v>493</v>
      </c>
      <c r="I881" s="70">
        <f t="shared" si="367"/>
        <v>496</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0</v>
      </c>
      <c r="AE881" s="109" t="str">
        <f t="shared" si="359"/>
        <v>493-496</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25</v>
      </c>
      <c r="X889" s="84"/>
      <c r="Y889" s="78">
        <f>SUM(E878:E889)</f>
        <v>24</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25</v>
      </c>
      <c r="X890" s="84"/>
      <c r="Y890" s="78">
        <f>SUM(E878:E890)</f>
        <v>24</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25</v>
      </c>
      <c r="X891" s="84"/>
      <c r="Y891" s="78">
        <f>SUM(E878:E891)</f>
        <v>24</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25</v>
      </c>
      <c r="X892" s="84"/>
      <c r="Y892" s="78">
        <f>SUM(E878:E892)</f>
        <v>24</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25</v>
      </c>
      <c r="X893" s="84"/>
      <c r="Y893" s="78">
        <f>SUM(E878:E893)</f>
        <v>24</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25</v>
      </c>
      <c r="X894" s="84"/>
      <c r="Y894" s="78">
        <f>SUM(E878:E894)</f>
        <v>24</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25</v>
      </c>
      <c r="X895" s="84"/>
      <c r="Y895" s="78">
        <f>SUM(E878:E895)</f>
        <v>24</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25</v>
      </c>
      <c r="X896" s="84"/>
      <c r="Y896" s="78">
        <f>SUM(E878:E896)</f>
        <v>24</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25</v>
      </c>
      <c r="X897" s="84"/>
      <c r="Y897" s="78">
        <f>SUM(E878:E897)</f>
        <v>24</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25</v>
      </c>
      <c r="X898" s="84"/>
      <c r="Y898" s="78">
        <f>SUM(E878:E898)</f>
        <v>24</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25</v>
      </c>
      <c r="X899" s="84"/>
      <c r="Y899" s="78">
        <f>SUM(E878:E899)</f>
        <v>24</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25</v>
      </c>
      <c r="X900" s="84"/>
      <c r="Y900" s="78">
        <f>SUM(E878:E900)</f>
        <v>24</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25</v>
      </c>
      <c r="X901" s="84"/>
      <c r="Y901" s="78">
        <f>SUM(E878:E901)</f>
        <v>24</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24</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9" t="s">
        <v>347</v>
      </c>
      <c r="C903" s="320"/>
      <c r="D903" s="79"/>
      <c r="E903" s="80"/>
      <c r="F903" s="80"/>
      <c r="G903" s="81"/>
      <c r="H903" s="192"/>
      <c r="I903" s="192"/>
      <c r="J903" s="192"/>
      <c r="K903" s="82"/>
      <c r="L903" s="319" t="s">
        <v>306</v>
      </c>
      <c r="M903" s="330"/>
      <c r="N903" s="330"/>
      <c r="O903" s="330"/>
      <c r="P903" s="330"/>
      <c r="Q903" s="330"/>
      <c r="R903" s="330"/>
      <c r="S903" s="330"/>
      <c r="T903" s="330"/>
      <c r="U903" s="320"/>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2" t="s">
        <v>222</v>
      </c>
      <c r="C908" s="313"/>
      <c r="D908" s="314" t="s">
        <v>223</v>
      </c>
      <c r="E908" s="305"/>
      <c r="F908" s="88"/>
      <c r="G908" s="315" t="s">
        <v>224</v>
      </c>
      <c r="H908" s="316"/>
      <c r="I908" s="28">
        <f>SUM(E919:E943)</f>
        <v>120</v>
      </c>
      <c r="J908" s="317" t="s">
        <v>225</v>
      </c>
      <c r="K908" s="318"/>
      <c r="L908" s="305"/>
      <c r="M908" s="196">
        <v>2</v>
      </c>
      <c r="N908" s="35">
        <f>SUM(AI908,AI919)</f>
        <v>0</v>
      </c>
      <c r="O908" s="35">
        <v>0</v>
      </c>
      <c r="P908" s="35">
        <f>SUM(AJ908,AJ919)</f>
        <v>0</v>
      </c>
      <c r="Q908" s="35">
        <v>0</v>
      </c>
      <c r="R908" s="35">
        <f>COUNTIFS($E919:$E943,"2",$F919:$F943,"Pole",$C919:$C943,"FST")</f>
        <v>0</v>
      </c>
      <c r="S908" s="35">
        <f>SUM(AL908,AK919)</f>
        <v>0</v>
      </c>
      <c r="T908" s="35">
        <v>0</v>
      </c>
      <c r="U908" s="35">
        <f>SUM(AK908,AL919)</f>
        <v>2</v>
      </c>
      <c r="V908" s="35">
        <v>0</v>
      </c>
      <c r="W908" s="34">
        <f>COUNTIFS($E919:$E943,"2",$F919:$F943,"HH",$C919:$C943,"FST")</f>
        <v>2</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f>IF($E909="EUC",COUNTIFS($C919:$C943,"FST",$E919:$E943,"2"),"0")</f>
        <v>2</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EUC</v>
      </c>
      <c r="F909" s="88"/>
      <c r="G909" s="304" t="s">
        <v>230</v>
      </c>
      <c r="H909" s="305"/>
      <c r="I909" s="33">
        <f>E910-I908</f>
        <v>24</v>
      </c>
      <c r="J909" s="289" t="s">
        <v>231</v>
      </c>
      <c r="K909" s="290"/>
      <c r="L909" s="34">
        <f>I913</f>
        <v>361</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1" t="s">
        <v>237</v>
      </c>
      <c r="H910" s="292"/>
      <c r="I910" s="35">
        <f>IF(E910=0,0,12-(MOD(I908,12)))</f>
        <v>12</v>
      </c>
      <c r="J910" s="289" t="s">
        <v>238</v>
      </c>
      <c r="K910" s="290"/>
      <c r="L910" s="39">
        <f>I914-I908</f>
        <v>360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24</v>
      </c>
      <c r="F911" s="88"/>
      <c r="G911" s="321" t="s">
        <v>242</v>
      </c>
      <c r="H911" s="43" t="s">
        <v>243</v>
      </c>
      <c r="I911" s="35">
        <f>IF(E911&lt;&gt;0,1,0)</f>
        <v>1</v>
      </c>
      <c r="J911" s="291" t="s">
        <v>244</v>
      </c>
      <c r="K911" s="292"/>
      <c r="L911" s="44">
        <f>'Cable Calculator'!DJ3</f>
        <v>1824</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361</v>
      </c>
      <c r="F912" s="88"/>
      <c r="G912" s="322"/>
      <c r="H912" s="47" t="s">
        <v>248</v>
      </c>
      <c r="I912" s="35">
        <f>IF(E911&lt;&gt;0,E911,0)</f>
        <v>24</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1</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1" t="s">
        <v>251</v>
      </c>
      <c r="H913" s="51" t="s">
        <v>252</v>
      </c>
      <c r="I913" s="112">
        <f>E912</f>
        <v>361</v>
      </c>
      <c r="J913" s="323" t="s">
        <v>253</v>
      </c>
      <c r="K913" s="324"/>
      <c r="L913" s="32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2"/>
      <c r="H914" s="47" t="s">
        <v>257</v>
      </c>
      <c r="I914" s="35">
        <f>IF(E912="","0",IF(AND(E909="EUC",E910=432), I913+(203-E911),IF(E912=0,0,(E912+(E910-E911)-1))))</f>
        <v>480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120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2"/>
      <c r="C918" s="294"/>
      <c r="D918" s="294"/>
      <c r="E918" s="307"/>
      <c r="F918" s="294"/>
      <c r="G918" s="309"/>
      <c r="H918" s="309"/>
      <c r="I918" s="309"/>
      <c r="J918" s="311"/>
      <c r="K918" s="294"/>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786</v>
      </c>
      <c r="E919" s="32">
        <v>2</v>
      </c>
      <c r="F919" s="32" t="s">
        <v>488</v>
      </c>
      <c r="G919" s="68" t="s">
        <v>277</v>
      </c>
      <c r="H919" s="69">
        <f>IF(I919=0,0,I919-(E919-1))</f>
        <v>479</v>
      </c>
      <c r="I919" s="70">
        <f>IF(E919=0,0,I914)</f>
        <v>480</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479-480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2</v>
      </c>
    </row>
    <row r="920" spans="1:53" ht="15.75" thickBot="1" x14ac:dyDescent="0.3">
      <c r="A920" s="88"/>
      <c r="B920" s="66" t="s">
        <v>279</v>
      </c>
      <c r="C920" s="67" t="s">
        <v>484</v>
      </c>
      <c r="D920" s="102" t="s">
        <v>787</v>
      </c>
      <c r="E920" s="32">
        <v>8</v>
      </c>
      <c r="F920" s="32" t="s">
        <v>488</v>
      </c>
      <c r="G920" s="68" t="s">
        <v>277</v>
      </c>
      <c r="H920" s="69">
        <f t="shared" ref="H920:H943" si="383">IF(E920=0,0,I920-(E920-1))</f>
        <v>471</v>
      </c>
      <c r="I920" s="70">
        <f t="shared" ref="I920:I943" si="384">IF(E920=0,0,H919-1)</f>
        <v>478</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0</v>
      </c>
      <c r="AE920" s="109" t="str">
        <f t="shared" si="376"/>
        <v>471-478</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79"/>
        <v>0</v>
      </c>
      <c r="AN920" s="109">
        <f t="shared" si="380"/>
        <v>0</v>
      </c>
      <c r="AO920" s="109" t="str">
        <f t="shared" si="381"/>
        <v/>
      </c>
      <c r="AQ920" s="109" t="str">
        <f t="shared" si="382"/>
        <v/>
      </c>
      <c r="BA920" s="229">
        <f>MOD(SUM(E919:E920),12)</f>
        <v>10</v>
      </c>
    </row>
    <row r="921" spans="1:53" ht="15.75" thickBot="1" x14ac:dyDescent="0.3">
      <c r="A921" s="88"/>
      <c r="B921" s="74" t="s">
        <v>280</v>
      </c>
      <c r="C921" s="67" t="s">
        <v>484</v>
      </c>
      <c r="D921" s="102" t="s">
        <v>788</v>
      </c>
      <c r="E921" s="32">
        <v>2</v>
      </c>
      <c r="F921" s="32" t="s">
        <v>488</v>
      </c>
      <c r="G921" s="75" t="s">
        <v>277</v>
      </c>
      <c r="H921" s="69">
        <f t="shared" si="383"/>
        <v>469</v>
      </c>
      <c r="I921" s="70">
        <f t="shared" si="384"/>
        <v>470</v>
      </c>
      <c r="J921" s="73" t="str">
        <f t="shared" ref="J921:J943" si="385">IF(C921="","--",IF(AND(C921&lt;&gt;"FST",C921&lt;&gt;"TCF",BA920&lt;&gt;0),BA920,"--"))</f>
        <v>--</v>
      </c>
      <c r="K921" s="32">
        <v>500</v>
      </c>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0</v>
      </c>
      <c r="AE921" s="109" t="str">
        <f t="shared" si="376"/>
        <v>469-470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t="s">
        <v>494</v>
      </c>
      <c r="D922" s="102"/>
      <c r="E922" s="32">
        <v>12</v>
      </c>
      <c r="F922" s="32"/>
      <c r="G922" s="68" t="s">
        <v>277</v>
      </c>
      <c r="H922" s="69">
        <f t="shared" si="383"/>
        <v>457</v>
      </c>
      <c r="I922" s="70">
        <f t="shared" si="384"/>
        <v>468</v>
      </c>
      <c r="J922" s="73" t="str">
        <f t="shared" si="385"/>
        <v>--</v>
      </c>
      <c r="K922" s="32"/>
      <c r="L922" s="233"/>
      <c r="M922" s="277" t="s">
        <v>426</v>
      </c>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457-468</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79"/>
        <v>1</v>
      </c>
      <c r="AN922" s="109">
        <f t="shared" si="380"/>
        <v>0</v>
      </c>
      <c r="AO922" s="109" t="str">
        <f t="shared" si="381"/>
        <v/>
      </c>
      <c r="AQ922" s="109" t="str">
        <f t="shared" si="382"/>
        <v/>
      </c>
      <c r="BA922" s="229">
        <f>MOD(SUM(E919:E923),12)</f>
        <v>0</v>
      </c>
    </row>
    <row r="923" spans="1:53" ht="15.75" thickBot="1" x14ac:dyDescent="0.3">
      <c r="A923" s="88"/>
      <c r="B923" s="66" t="s">
        <v>282</v>
      </c>
      <c r="C923" s="67" t="s">
        <v>502</v>
      </c>
      <c r="D923" s="102"/>
      <c r="E923" s="32">
        <v>96</v>
      </c>
      <c r="F923" s="32"/>
      <c r="G923" s="68" t="s">
        <v>277</v>
      </c>
      <c r="H923" s="69">
        <f t="shared" si="383"/>
        <v>361</v>
      </c>
      <c r="I923" s="70">
        <f t="shared" si="384"/>
        <v>456</v>
      </c>
      <c r="J923" s="73" t="str">
        <f t="shared" si="385"/>
        <v>--</v>
      </c>
      <c r="K923" s="32"/>
      <c r="L923" s="233"/>
      <c r="M923" s="277" t="s">
        <v>427</v>
      </c>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361-456</v>
      </c>
      <c r="AF923" s="109" t="str">
        <f t="shared" si="377"/>
        <v>N</v>
      </c>
      <c r="AG923" s="109" t="str">
        <f t="shared" si="378"/>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121</v>
      </c>
      <c r="X930" s="84"/>
      <c r="Y930" s="78">
        <f>SUM(E919:E930)</f>
        <v>120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121</v>
      </c>
      <c r="X931" s="84"/>
      <c r="Y931" s="78">
        <f>SUM(E919:E931)</f>
        <v>120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121</v>
      </c>
      <c r="X932" s="84"/>
      <c r="Y932" s="78">
        <f>SUM(E919:E932)</f>
        <v>120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121</v>
      </c>
      <c r="X933" s="84"/>
      <c r="Y933" s="78">
        <f>SUM(E919:E933)</f>
        <v>120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121</v>
      </c>
      <c r="X934" s="84"/>
      <c r="Y934" s="78">
        <f>SUM(E919:E934)</f>
        <v>120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121</v>
      </c>
      <c r="X935" s="84"/>
      <c r="Y935" s="78">
        <f>SUM(E919:E935)</f>
        <v>120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121</v>
      </c>
      <c r="X936" s="84"/>
      <c r="Y936" s="78">
        <f>SUM(E919:E936)</f>
        <v>120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121</v>
      </c>
      <c r="X937" s="84"/>
      <c r="Y937" s="78">
        <f>SUM(E919:E937)</f>
        <v>120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121</v>
      </c>
      <c r="X938" s="84"/>
      <c r="Y938" s="78">
        <f>SUM(E919:E938)</f>
        <v>120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121</v>
      </c>
      <c r="X939" s="84"/>
      <c r="Y939" s="78">
        <f>SUM(E919:E939)</f>
        <v>120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121</v>
      </c>
      <c r="X940" s="84"/>
      <c r="Y940" s="78">
        <f>SUM(E919:E940)</f>
        <v>120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121</v>
      </c>
      <c r="X941" s="84"/>
      <c r="Y941" s="78">
        <f>SUM(E919:E941)</f>
        <v>120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121</v>
      </c>
      <c r="X942" s="84"/>
      <c r="Y942" s="78">
        <f>SUM(E919:E942)</f>
        <v>120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120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22</v>
      </c>
      <c r="AM944" s="109">
        <f>SUM(AM919:AM943)</f>
        <v>1</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2" t="s">
        <v>222</v>
      </c>
      <c r="C949" s="313"/>
      <c r="D949" s="314" t="s">
        <v>223</v>
      </c>
      <c r="E949" s="305"/>
      <c r="F949" s="88"/>
      <c r="G949" s="315" t="s">
        <v>224</v>
      </c>
      <c r="H949" s="316"/>
      <c r="I949" s="28">
        <f>SUM(E960:E984)</f>
        <v>12</v>
      </c>
      <c r="J949" s="317" t="s">
        <v>225</v>
      </c>
      <c r="K949" s="318"/>
      <c r="L949" s="305"/>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1</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4" t="s">
        <v>230</v>
      </c>
      <c r="H950" s="305"/>
      <c r="I950" s="33">
        <f>E951-I949</f>
        <v>12</v>
      </c>
      <c r="J950" s="289" t="s">
        <v>231</v>
      </c>
      <c r="K950" s="290"/>
      <c r="L950" s="34">
        <f>I954</f>
        <v>457</v>
      </c>
      <c r="M950" s="196">
        <v>4</v>
      </c>
      <c r="N950" s="35">
        <f>SUM(AI950,AI961)</f>
        <v>0</v>
      </c>
      <c r="O950" s="35">
        <v>0</v>
      </c>
      <c r="P950" s="35">
        <f>SUM(AJ950,AJ961)</f>
        <v>0</v>
      </c>
      <c r="Q950" s="35">
        <v>0</v>
      </c>
      <c r="R950" s="35">
        <f>COUNTIFS($E960:$E984,"4",$F960:$F984,"Pole",$C960:$C984,"FST")</f>
        <v>0</v>
      </c>
      <c r="S950" s="35">
        <f>SUM(AL950,AK961)</f>
        <v>0</v>
      </c>
      <c r="T950" s="35">
        <v>0</v>
      </c>
      <c r="U950" s="35">
        <f>SUM(AK950,AL961)</f>
        <v>1</v>
      </c>
      <c r="V950" s="35">
        <v>0</v>
      </c>
      <c r="W950" s="34">
        <f>COUNTIFS($E960:$E984,"4",$F960:$F984,"HH",$C960:$C984,"FST")</f>
        <v>1</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f>IF($E950="EUC",COUNTIFS($C960:$C984,"FST",$E960:$E984,"4"),"0")</f>
        <v>1</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291" t="s">
        <v>237</v>
      </c>
      <c r="H951" s="292"/>
      <c r="I951" s="35">
        <f>IF(E951=0,0,12-(MOD(I949,12)))</f>
        <v>12</v>
      </c>
      <c r="J951" s="289" t="s">
        <v>238</v>
      </c>
      <c r="K951" s="290"/>
      <c r="L951" s="39">
        <f>I955-I949</f>
        <v>456</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1" t="s">
        <v>242</v>
      </c>
      <c r="H952" s="43" t="s">
        <v>243</v>
      </c>
      <c r="I952" s="35">
        <f>IF(E952&lt;&gt;0,1,0)</f>
        <v>1</v>
      </c>
      <c r="J952" s="291" t="s">
        <v>244</v>
      </c>
      <c r="K952" s="292"/>
      <c r="L952" s="44">
        <f>'Cable Calculator'!DO3</f>
        <v>757</v>
      </c>
      <c r="M952" s="196">
        <v>8</v>
      </c>
      <c r="N952" s="35">
        <f>SUM(AI952,AI963)</f>
        <v>0</v>
      </c>
      <c r="O952" s="35">
        <v>0</v>
      </c>
      <c r="P952" s="35">
        <f>SUM(AJ952,AJ963)</f>
        <v>0</v>
      </c>
      <c r="Q952" s="35">
        <v>0</v>
      </c>
      <c r="R952" s="35">
        <f>COUNTIFS($E960:$E984,"8",$F960:$F984,"Pole",$C960:$C984,"FST")</f>
        <v>0</v>
      </c>
      <c r="S952" s="35">
        <f>SUM(AL952,AK963)</f>
        <v>0</v>
      </c>
      <c r="T952" s="35">
        <v>0</v>
      </c>
      <c r="U952" s="35">
        <f>SUM(AK952,AL963)</f>
        <v>1</v>
      </c>
      <c r="V952" s="35">
        <v>0</v>
      </c>
      <c r="W952" s="34">
        <f>COUNTIFS($E960:$E984,"8",$F960:$F984,"HH",$C960:$C984,"FST")</f>
        <v>1</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1</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457</v>
      </c>
      <c r="F953" s="88"/>
      <c r="G953" s="322"/>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321" t="s">
        <v>251</v>
      </c>
      <c r="H954" s="51" t="s">
        <v>252</v>
      </c>
      <c r="I954" s="112">
        <f>E953</f>
        <v>457</v>
      </c>
      <c r="J954" s="323" t="s">
        <v>253</v>
      </c>
      <c r="K954" s="324"/>
      <c r="L954" s="32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322"/>
      <c r="H955" s="47" t="s">
        <v>257</v>
      </c>
      <c r="I955" s="35">
        <f>IF(E953="","0",IF(AND(E950="EUC",E951=432), I954+(203-E952),IF(E953=0,0,(E953+(E951-E952)-1))))</f>
        <v>468</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2"/>
      <c r="C959" s="294"/>
      <c r="D959" s="294"/>
      <c r="E959" s="307"/>
      <c r="F959" s="294"/>
      <c r="G959" s="309"/>
      <c r="H959" s="309"/>
      <c r="I959" s="309"/>
      <c r="J959" s="311"/>
      <c r="K959" s="294"/>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797</v>
      </c>
      <c r="E960" s="32">
        <v>4</v>
      </c>
      <c r="F960" s="32" t="s">
        <v>488</v>
      </c>
      <c r="G960" s="68" t="s">
        <v>277</v>
      </c>
      <c r="H960" s="69">
        <f>IF(I960=0,0,I960-(E960-1))</f>
        <v>465</v>
      </c>
      <c r="I960" s="70">
        <f>IF(E960=0,0,I955)</f>
        <v>468</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465-468</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4</v>
      </c>
    </row>
    <row r="961" spans="1:53" ht="15.75" thickBot="1" x14ac:dyDescent="0.3">
      <c r="A961" s="88"/>
      <c r="B961" s="66" t="s">
        <v>279</v>
      </c>
      <c r="C961" s="67" t="s">
        <v>484</v>
      </c>
      <c r="D961" s="102" t="s">
        <v>826</v>
      </c>
      <c r="E961" s="32">
        <v>8</v>
      </c>
      <c r="F961" s="32" t="s">
        <v>488</v>
      </c>
      <c r="G961" s="68" t="s">
        <v>277</v>
      </c>
      <c r="H961" s="69">
        <f t="shared" ref="H961:H984" si="400">IF(E961=0,0,I961-(E961-1))</f>
        <v>457</v>
      </c>
      <c r="I961" s="70">
        <f t="shared" ref="I961:I984" si="401">IF(E961=0,0,H960-1)</f>
        <v>464</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0</v>
      </c>
      <c r="AE961" s="109" t="str">
        <f t="shared" si="393"/>
        <v>457-464</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13</v>
      </c>
      <c r="X971" s="84"/>
      <c r="Y971" s="78">
        <f>SUM(E960:E971)</f>
        <v>12</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13</v>
      </c>
      <c r="X972" s="84"/>
      <c r="Y972" s="78">
        <f>SUM(E960:E972)</f>
        <v>12</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13</v>
      </c>
      <c r="X973" s="84"/>
      <c r="Y973" s="78">
        <f>SUM(E960:E973)</f>
        <v>12</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13</v>
      </c>
      <c r="X974" s="84"/>
      <c r="Y974" s="78">
        <f>SUM(E960:E974)</f>
        <v>12</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13</v>
      </c>
      <c r="X975" s="84"/>
      <c r="Y975" s="78">
        <f>SUM(E960:E975)</f>
        <v>12</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13</v>
      </c>
      <c r="X976" s="84"/>
      <c r="Y976" s="78">
        <f>SUM(E960:E976)</f>
        <v>12</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13</v>
      </c>
      <c r="X977" s="84"/>
      <c r="Y977" s="78">
        <f>SUM(E960:E977)</f>
        <v>12</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13</v>
      </c>
      <c r="X978" s="84"/>
      <c r="Y978" s="78">
        <f>SUM(E960:E978)</f>
        <v>12</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13</v>
      </c>
      <c r="X979" s="84"/>
      <c r="Y979" s="78">
        <f>SUM(E960:E979)</f>
        <v>12</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13</v>
      </c>
      <c r="X980" s="84"/>
      <c r="Y980" s="78">
        <f>SUM(E960:E980)</f>
        <v>12</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13</v>
      </c>
      <c r="X981" s="84"/>
      <c r="Y981" s="78">
        <f>SUM(E960:E981)</f>
        <v>12</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13</v>
      </c>
      <c r="X982" s="84"/>
      <c r="Y982" s="78">
        <f>SUM(E960:E982)</f>
        <v>12</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13</v>
      </c>
      <c r="X983" s="84"/>
      <c r="Y983" s="78">
        <f>SUM(E960:E983)</f>
        <v>12</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12</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9" t="s">
        <v>351</v>
      </c>
      <c r="C985" s="320"/>
      <c r="D985" s="79"/>
      <c r="E985" s="80"/>
      <c r="F985" s="80"/>
      <c r="G985" s="81"/>
      <c r="H985" s="192"/>
      <c r="I985" s="192"/>
      <c r="J985" s="192"/>
      <c r="K985" s="82"/>
      <c r="L985" s="319" t="s">
        <v>306</v>
      </c>
      <c r="M985" s="330"/>
      <c r="N985" s="330"/>
      <c r="O985" s="330"/>
      <c r="P985" s="330"/>
      <c r="Q985" s="330"/>
      <c r="R985" s="330"/>
      <c r="S985" s="330"/>
      <c r="T985" s="330"/>
      <c r="U985" s="320"/>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2" t="s">
        <v>222</v>
      </c>
      <c r="C990" s="313"/>
      <c r="D990" s="314" t="s">
        <v>223</v>
      </c>
      <c r="E990" s="305"/>
      <c r="F990" s="88"/>
      <c r="G990" s="315" t="s">
        <v>224</v>
      </c>
      <c r="H990" s="316"/>
      <c r="I990" s="28">
        <f>SUM(E1001:E1025)</f>
        <v>96</v>
      </c>
      <c r="J990" s="317" t="s">
        <v>225</v>
      </c>
      <c r="K990" s="318"/>
      <c r="L990" s="305"/>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4" t="s">
        <v>230</v>
      </c>
      <c r="H991" s="305"/>
      <c r="I991" s="33">
        <f>E992-I990</f>
        <v>48</v>
      </c>
      <c r="J991" s="289" t="s">
        <v>231</v>
      </c>
      <c r="K991" s="290"/>
      <c r="L991" s="34">
        <f>I995</f>
        <v>361</v>
      </c>
      <c r="M991" s="196">
        <v>4</v>
      </c>
      <c r="N991" s="35">
        <f>SUM(AI991,AI1002)</f>
        <v>0</v>
      </c>
      <c r="O991" s="35">
        <v>0</v>
      </c>
      <c r="P991" s="35">
        <f>SUM(AJ991,AJ1002)</f>
        <v>4</v>
      </c>
      <c r="Q991" s="35">
        <v>0</v>
      </c>
      <c r="R991" s="35">
        <f>COUNTIFS($E1001:$E1025,"4",$F1001:$F1025,"Pole",$C1001:$C1025,"FST")</f>
        <v>4</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f>IF($E991="RPX",COUNTIFS($C1001:$C1025,"FST",$E1001:$E1025,"4"),"0")</f>
        <v>4</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291" t="s">
        <v>237</v>
      </c>
      <c r="H992" s="292"/>
      <c r="I992" s="35">
        <f>IF(E992=0,0,12-(MOD(I990,12)))</f>
        <v>12</v>
      </c>
      <c r="J992" s="289" t="s">
        <v>238</v>
      </c>
      <c r="K992" s="290"/>
      <c r="L992" s="39">
        <f>I996-I990</f>
        <v>360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321" t="s">
        <v>242</v>
      </c>
      <c r="H993" s="43" t="s">
        <v>243</v>
      </c>
      <c r="I993" s="35">
        <f>IF(E993&lt;&gt;0,1,0)</f>
        <v>1</v>
      </c>
      <c r="J993" s="291" t="s">
        <v>244</v>
      </c>
      <c r="K993" s="292"/>
      <c r="L993" s="44">
        <f>'Cable Calculator'!DT3</f>
        <v>2769</v>
      </c>
      <c r="M993" s="196">
        <v>8</v>
      </c>
      <c r="N993" s="35">
        <f>SUM(AI993,AI1004)</f>
        <v>0</v>
      </c>
      <c r="O993" s="35">
        <v>0</v>
      </c>
      <c r="P993" s="35">
        <f>SUM(AJ993,AJ1004)</f>
        <v>1</v>
      </c>
      <c r="Q993" s="35">
        <v>0</v>
      </c>
      <c r="R993" s="35">
        <f>COUNTIFS($E1001:$E1025,"8",$F1001:$F1025,"Pole",$C1001:$C1025,"FST")</f>
        <v>1</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1</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361</v>
      </c>
      <c r="F994" s="88"/>
      <c r="G994" s="322"/>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321" t="s">
        <v>251</v>
      </c>
      <c r="H995" s="51" t="s">
        <v>252</v>
      </c>
      <c r="I995" s="112">
        <f>E994</f>
        <v>361</v>
      </c>
      <c r="J995" s="323" t="s">
        <v>253</v>
      </c>
      <c r="K995" s="324"/>
      <c r="L995" s="32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2"/>
      <c r="H996" s="47" t="s">
        <v>257</v>
      </c>
      <c r="I996" s="35">
        <f>IF(E994="","0",IF(AND(E991="EUC",E992=432), I995+(203-E993),IF(E994=0,0,(E994+(E992-E993)-1))))</f>
        <v>456</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2"/>
      <c r="C1000" s="294"/>
      <c r="D1000" s="294"/>
      <c r="E1000" s="307"/>
      <c r="F1000" s="294"/>
      <c r="G1000" s="309"/>
      <c r="H1000" s="309"/>
      <c r="I1000" s="309"/>
      <c r="J1000" s="311"/>
      <c r="K1000" s="294"/>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811</v>
      </c>
      <c r="E1001" s="32">
        <v>4</v>
      </c>
      <c r="F1001" s="32" t="s">
        <v>483</v>
      </c>
      <c r="G1001" s="68" t="s">
        <v>277</v>
      </c>
      <c r="H1001" s="69">
        <f>IF(I1001=0,0,I1001-(E1001-1))</f>
        <v>453</v>
      </c>
      <c r="I1001" s="70">
        <f>IF(E1001=0,0,I996)</f>
        <v>456</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453-456</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4</v>
      </c>
    </row>
    <row r="1002" spans="1:53" ht="15.75" thickBot="1" x14ac:dyDescent="0.3">
      <c r="A1002" s="88"/>
      <c r="B1002" s="66" t="s">
        <v>279</v>
      </c>
      <c r="C1002" s="67" t="s">
        <v>484</v>
      </c>
      <c r="D1002" s="102" t="s">
        <v>812</v>
      </c>
      <c r="E1002" s="32">
        <v>4</v>
      </c>
      <c r="F1002" s="32" t="s">
        <v>483</v>
      </c>
      <c r="G1002" s="68" t="s">
        <v>277</v>
      </c>
      <c r="H1002" s="69">
        <f t="shared" ref="H1002:H1025" si="417">IF(E1002=0,0,I1002-(E1002-1))</f>
        <v>449</v>
      </c>
      <c r="I1002" s="70">
        <f t="shared" ref="I1002:I1025" si="418">IF(E1002=0,0,H1001-1)</f>
        <v>452</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0</v>
      </c>
      <c r="AE1002" s="109" t="str">
        <f t="shared" si="410"/>
        <v>449-452</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8</v>
      </c>
    </row>
    <row r="1003" spans="1:53" ht="15.75" thickBot="1" x14ac:dyDescent="0.3">
      <c r="A1003" s="88"/>
      <c r="B1003" s="74" t="s">
        <v>280</v>
      </c>
      <c r="C1003" s="67" t="s">
        <v>484</v>
      </c>
      <c r="D1003" s="102" t="s">
        <v>813</v>
      </c>
      <c r="E1003" s="32">
        <v>4</v>
      </c>
      <c r="F1003" s="32" t="s">
        <v>483</v>
      </c>
      <c r="G1003" s="75" t="s">
        <v>277</v>
      </c>
      <c r="H1003" s="69">
        <f t="shared" si="417"/>
        <v>445</v>
      </c>
      <c r="I1003" s="70">
        <f t="shared" si="418"/>
        <v>448</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0</v>
      </c>
      <c r="AE1003" s="109" t="str">
        <f t="shared" si="410"/>
        <v>445-448</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4</v>
      </c>
    </row>
    <row r="1004" spans="1:53" ht="15.75" thickBot="1" x14ac:dyDescent="0.3">
      <c r="A1004" s="88"/>
      <c r="B1004" s="66" t="s">
        <v>281</v>
      </c>
      <c r="C1004" s="67" t="s">
        <v>484</v>
      </c>
      <c r="D1004" s="102" t="s">
        <v>814</v>
      </c>
      <c r="E1004" s="32">
        <v>4</v>
      </c>
      <c r="F1004" s="32" t="s">
        <v>483</v>
      </c>
      <c r="G1004" s="68" t="s">
        <v>277</v>
      </c>
      <c r="H1004" s="69">
        <f t="shared" si="417"/>
        <v>441</v>
      </c>
      <c r="I1004" s="70">
        <f t="shared" si="418"/>
        <v>444</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0</v>
      </c>
      <c r="AE1004" s="109" t="str">
        <f t="shared" si="410"/>
        <v>441-444</v>
      </c>
      <c r="AF1004" s="109" t="str">
        <f t="shared" si="411"/>
        <v>Y</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484</v>
      </c>
      <c r="D1005" s="102" t="s">
        <v>815</v>
      </c>
      <c r="E1005" s="32">
        <v>8</v>
      </c>
      <c r="F1005" s="32" t="s">
        <v>483</v>
      </c>
      <c r="G1005" s="68" t="s">
        <v>277</v>
      </c>
      <c r="H1005" s="69">
        <f t="shared" si="417"/>
        <v>433</v>
      </c>
      <c r="I1005" s="70">
        <f t="shared" si="418"/>
        <v>440</v>
      </c>
      <c r="J1005" s="73" t="str">
        <f t="shared" si="419"/>
        <v>--</v>
      </c>
      <c r="K1005" s="32">
        <v>1000</v>
      </c>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0</v>
      </c>
      <c r="AE1005" s="109" t="str">
        <f t="shared" si="410"/>
        <v>433-440</v>
      </c>
      <c r="AF1005" s="109" t="str">
        <f t="shared" si="411"/>
        <v>Y</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t="s">
        <v>502</v>
      </c>
      <c r="D1006" s="102"/>
      <c r="E1006" s="32">
        <v>72</v>
      </c>
      <c r="F1006" s="32"/>
      <c r="G1006" s="68" t="s">
        <v>277</v>
      </c>
      <c r="H1006" s="69">
        <f t="shared" si="417"/>
        <v>361</v>
      </c>
      <c r="I1006" s="70">
        <f t="shared" si="418"/>
        <v>432</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361-432</v>
      </c>
      <c r="AF1006" s="109" t="str">
        <f t="shared" si="411"/>
        <v>N</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t="s">
        <v>428</v>
      </c>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97</v>
      </c>
      <c r="X1012" s="84"/>
      <c r="Y1012" s="78">
        <f>SUM(E1001:E1012)</f>
        <v>96</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97</v>
      </c>
      <c r="X1013" s="84"/>
      <c r="Y1013" s="78">
        <f>SUM(E1001:E1013)</f>
        <v>96</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97</v>
      </c>
      <c r="X1014" s="84"/>
      <c r="Y1014" s="78">
        <f>SUM(E1001:E1014)</f>
        <v>96</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97</v>
      </c>
      <c r="X1015" s="84"/>
      <c r="Y1015" s="78">
        <f>SUM(E1001:E1015)</f>
        <v>96</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97</v>
      </c>
      <c r="X1016" s="84"/>
      <c r="Y1016" s="78">
        <f>SUM(E1001:E1016)</f>
        <v>96</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97</v>
      </c>
      <c r="X1017" s="84"/>
      <c r="Y1017" s="78">
        <f>SUM(E1001:E1017)</f>
        <v>96</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97</v>
      </c>
      <c r="X1018" s="84"/>
      <c r="Y1018" s="78">
        <f>SUM(E1001:E1018)</f>
        <v>96</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97</v>
      </c>
      <c r="X1019" s="84"/>
      <c r="Y1019" s="78">
        <f>SUM(E1001:E1019)</f>
        <v>96</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97</v>
      </c>
      <c r="X1020" s="84"/>
      <c r="Y1020" s="78">
        <f>SUM(E1001:E1020)</f>
        <v>96</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97</v>
      </c>
      <c r="X1021" s="84"/>
      <c r="Y1021" s="78">
        <f>SUM(E1001:E1021)</f>
        <v>96</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97</v>
      </c>
      <c r="X1022" s="84"/>
      <c r="Y1022" s="78">
        <f>SUM(E1001:E1022)</f>
        <v>96</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97</v>
      </c>
      <c r="X1023" s="84"/>
      <c r="Y1023" s="78">
        <f>SUM(E1001:E1023)</f>
        <v>96</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97</v>
      </c>
      <c r="X1024" s="84"/>
      <c r="Y1024" s="78">
        <f>SUM(E1001:E1024)</f>
        <v>96</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96</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319" t="s">
        <v>353</v>
      </c>
      <c r="C1026" s="320"/>
      <c r="D1026" s="79"/>
      <c r="E1026" s="80"/>
      <c r="F1026" s="80"/>
      <c r="G1026" s="81"/>
      <c r="H1026" s="192"/>
      <c r="I1026" s="192"/>
      <c r="J1026" s="192"/>
      <c r="K1026" s="82"/>
      <c r="L1026" s="319" t="s">
        <v>306</v>
      </c>
      <c r="M1026" s="330"/>
      <c r="N1026" s="330"/>
      <c r="O1026" s="330"/>
      <c r="P1026" s="330"/>
      <c r="Q1026" s="330"/>
      <c r="R1026" s="330"/>
      <c r="S1026" s="330"/>
      <c r="T1026" s="330"/>
      <c r="U1026" s="320"/>
      <c r="V1026" s="104"/>
      <c r="W1026" s="72"/>
      <c r="X1026" s="72"/>
      <c r="Y1026" s="72"/>
      <c r="Z1026" s="72"/>
      <c r="AA1026" s="72" t="str">
        <f t="shared" si="423"/>
        <v/>
      </c>
      <c r="AB1026" s="72"/>
      <c r="AC1026" s="72">
        <f>SUM(AC1001:AC1025)</f>
        <v>25</v>
      </c>
      <c r="AD1026" s="72">
        <f>SUM(AD1001:AD1025)</f>
        <v>20</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2" t="s">
        <v>222</v>
      </c>
      <c r="C1031" s="313"/>
      <c r="D1031" s="314" t="s">
        <v>223</v>
      </c>
      <c r="E1031" s="305"/>
      <c r="F1031" s="88"/>
      <c r="G1031" s="315" t="s">
        <v>224</v>
      </c>
      <c r="H1031" s="316"/>
      <c r="I1031" s="28">
        <f>SUM(E1042:E1066)</f>
        <v>72</v>
      </c>
      <c r="J1031" s="317" t="s">
        <v>225</v>
      </c>
      <c r="K1031" s="318"/>
      <c r="L1031" s="305"/>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4" t="s">
        <v>230</v>
      </c>
      <c r="H1032" s="305"/>
      <c r="I1032" s="33">
        <f>E1033-I1031</f>
        <v>0</v>
      </c>
      <c r="J1032" s="289" t="s">
        <v>231</v>
      </c>
      <c r="K1032" s="290"/>
      <c r="L1032" s="34">
        <f>I1036</f>
        <v>361</v>
      </c>
      <c r="M1032" s="196">
        <v>4</v>
      </c>
      <c r="N1032" s="35">
        <f>SUM(AI1032,AI1043)</f>
        <v>0</v>
      </c>
      <c r="O1032" s="35">
        <v>0</v>
      </c>
      <c r="P1032" s="35">
        <f>SUM(AJ1032,AJ1043)</f>
        <v>5</v>
      </c>
      <c r="Q1032" s="35">
        <v>0</v>
      </c>
      <c r="R1032" s="35">
        <f>COUNTIFS($E1042:$E1066,"4",$F1042:$F1066,"Pole",$C1042:$C1066,"FST")</f>
        <v>5</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f>IF($E1032="RPX",COUNTIFS($C1042:$C1066,"FST",$E1042:$E1066,"4"),"0")</f>
        <v>5</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72</v>
      </c>
      <c r="F1033" s="88"/>
      <c r="G1033" s="291" t="s">
        <v>237</v>
      </c>
      <c r="H1033" s="292"/>
      <c r="I1033" s="35">
        <f>IF(E1033=0,0,12-(MOD(I1031,12)))</f>
        <v>12</v>
      </c>
      <c r="J1033" s="289" t="s">
        <v>238</v>
      </c>
      <c r="K1033" s="290"/>
      <c r="L1033" s="39">
        <f>I1037-I1031</f>
        <v>360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0</v>
      </c>
      <c r="F1034" s="88"/>
      <c r="G1034" s="321" t="s">
        <v>242</v>
      </c>
      <c r="H1034" s="43" t="s">
        <v>243</v>
      </c>
      <c r="I1034" s="35">
        <f>IF(E1034&lt;&gt;0,1,0)</f>
        <v>0</v>
      </c>
      <c r="J1034" s="291" t="s">
        <v>244</v>
      </c>
      <c r="K1034" s="292"/>
      <c r="L1034" s="44">
        <f>'Cable Calculator'!DY3</f>
        <v>2861</v>
      </c>
      <c r="M1034" s="196">
        <v>8</v>
      </c>
      <c r="N1034" s="35">
        <f>SUM(AI1034,AI1045)</f>
        <v>0</v>
      </c>
      <c r="O1034" s="35">
        <v>0</v>
      </c>
      <c r="P1034" s="35">
        <f>SUM(AJ1034,AJ1045)</f>
        <v>2</v>
      </c>
      <c r="Q1034" s="35">
        <v>0</v>
      </c>
      <c r="R1034" s="35">
        <f>COUNTIFS($E1042:$E1066,"8",$F1042:$F1066,"Pole",$C1042:$C1066,"FST")</f>
        <v>2</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2</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361</v>
      </c>
      <c r="F1035" s="88"/>
      <c r="G1035" s="322"/>
      <c r="H1035" s="47" t="s">
        <v>248</v>
      </c>
      <c r="I1035" s="35">
        <f>IF(E1034&lt;&gt;0,E1034,0)</f>
        <v>0</v>
      </c>
      <c r="J1035" s="194"/>
      <c r="K1035" s="195"/>
      <c r="L1035" s="48"/>
      <c r="M1035" s="196">
        <v>12</v>
      </c>
      <c r="N1035" s="35" t="str">
        <f>IF($E1032="SS",SUM(AI1035,AJ1046,AM1067,AO1067,AQ1067),"0")</f>
        <v>0</v>
      </c>
      <c r="O1035" s="35" t="str">
        <f>IF($E1032="SS",SUM(AN1067,AP1067,AR1067),"0")</f>
        <v>0</v>
      </c>
      <c r="P1035" s="35">
        <f>IF($E1032="RPX",SUM(AJ1035,AJ1046,AM1067,AO1067,AQ1067),"0")</f>
        <v>2</v>
      </c>
      <c r="Q1035" s="35">
        <f>IF($E1032="RPX",SUM(AN1067,AP1067,AR1067),"0")</f>
        <v>1</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6</v>
      </c>
      <c r="F1036" s="88"/>
      <c r="G1036" s="321" t="s">
        <v>251</v>
      </c>
      <c r="H1036" s="51" t="s">
        <v>252</v>
      </c>
      <c r="I1036" s="112">
        <f>E1035</f>
        <v>361</v>
      </c>
      <c r="J1036" s="323" t="s">
        <v>253</v>
      </c>
      <c r="K1036" s="324"/>
      <c r="L1036" s="32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322"/>
      <c r="H1037" s="47" t="s">
        <v>257</v>
      </c>
      <c r="I1037" s="35">
        <f>IF(E1035="","0",IF(AND(E1032="EUC",E1033=432), I1036+(203-E1034),IF(E1035=0,0,(E1035+(E1033-E1034)-1))))</f>
        <v>432</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72</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2"/>
      <c r="C1041" s="294"/>
      <c r="D1041" s="294"/>
      <c r="E1041" s="307"/>
      <c r="F1041" s="294"/>
      <c r="G1041" s="309"/>
      <c r="H1041" s="309"/>
      <c r="I1041" s="309"/>
      <c r="J1041" s="311"/>
      <c r="K1041" s="294"/>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804</v>
      </c>
      <c r="E1042" s="32">
        <v>8</v>
      </c>
      <c r="F1042" s="32" t="s">
        <v>483</v>
      </c>
      <c r="G1042" s="68" t="s">
        <v>277</v>
      </c>
      <c r="H1042" s="69">
        <f>IF(I1042=0,0,I1042-(E1042-1))</f>
        <v>425</v>
      </c>
      <c r="I1042" s="70">
        <f>IF(E1042=0,0,I1037)</f>
        <v>432</v>
      </c>
      <c r="J1042" s="71" t="s">
        <v>278</v>
      </c>
      <c r="K1042" s="32">
        <v>1000</v>
      </c>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425-432</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8</v>
      </c>
    </row>
    <row r="1043" spans="1:53" ht="15.75" thickBot="1" x14ac:dyDescent="0.3">
      <c r="A1043" s="88"/>
      <c r="B1043" s="66" t="s">
        <v>279</v>
      </c>
      <c r="C1043" s="67" t="s">
        <v>484</v>
      </c>
      <c r="D1043" s="102" t="s">
        <v>805</v>
      </c>
      <c r="E1043" s="32">
        <v>4</v>
      </c>
      <c r="F1043" s="32" t="s">
        <v>483</v>
      </c>
      <c r="G1043" s="68" t="s">
        <v>277</v>
      </c>
      <c r="H1043" s="69">
        <f t="shared" ref="H1043:H1066" si="434">IF(E1043=0,0,I1043-(E1043-1))</f>
        <v>421</v>
      </c>
      <c r="I1043" s="70">
        <f t="shared" ref="I1043:I1066" si="435">IF(E1043=0,0,H1042-1)</f>
        <v>424</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0</v>
      </c>
      <c r="AE1043" s="109" t="str">
        <f t="shared" si="427"/>
        <v>421-424</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t="s">
        <v>484</v>
      </c>
      <c r="D1044" s="102" t="s">
        <v>806</v>
      </c>
      <c r="E1044" s="32">
        <v>4</v>
      </c>
      <c r="F1044" s="32" t="s">
        <v>483</v>
      </c>
      <c r="G1044" s="75" t="s">
        <v>277</v>
      </c>
      <c r="H1044" s="69">
        <f t="shared" si="434"/>
        <v>417</v>
      </c>
      <c r="I1044" s="70">
        <f t="shared" si="435"/>
        <v>420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0</v>
      </c>
      <c r="AE1044" s="109" t="str">
        <f t="shared" si="427"/>
        <v>417-420</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8</v>
      </c>
    </row>
    <row r="1045" spans="1:53" ht="15.75" thickBot="1" x14ac:dyDescent="0.3">
      <c r="A1045" s="88"/>
      <c r="B1045" s="66" t="s">
        <v>281</v>
      </c>
      <c r="C1045" s="67" t="s">
        <v>484</v>
      </c>
      <c r="D1045" s="102" t="s">
        <v>807</v>
      </c>
      <c r="E1045" s="32">
        <v>4</v>
      </c>
      <c r="F1045" s="32" t="s">
        <v>483</v>
      </c>
      <c r="G1045" s="68" t="s">
        <v>277</v>
      </c>
      <c r="H1045" s="69">
        <f t="shared" si="434"/>
        <v>413</v>
      </c>
      <c r="I1045" s="70">
        <f t="shared" si="435"/>
        <v>416</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0</v>
      </c>
      <c r="AE1045" s="109" t="str">
        <f t="shared" si="427"/>
        <v>413-416</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t="s">
        <v>484</v>
      </c>
      <c r="D1046" s="102" t="s">
        <v>808</v>
      </c>
      <c r="E1046" s="32">
        <v>4</v>
      </c>
      <c r="F1046" s="32" t="s">
        <v>483</v>
      </c>
      <c r="G1046" s="68" t="s">
        <v>277</v>
      </c>
      <c r="H1046" s="69">
        <f t="shared" si="434"/>
        <v>409</v>
      </c>
      <c r="I1046" s="70">
        <f t="shared" si="435"/>
        <v>412</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0</v>
      </c>
      <c r="AE1046" s="109" t="str">
        <f t="shared" si="427"/>
        <v>409-412</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4</v>
      </c>
    </row>
    <row r="1047" spans="1:53" ht="15.75" thickBot="1" x14ac:dyDescent="0.3">
      <c r="A1047" s="88"/>
      <c r="B1047" s="66" t="s">
        <v>283</v>
      </c>
      <c r="C1047" s="67" t="s">
        <v>484</v>
      </c>
      <c r="D1047" s="102" t="s">
        <v>809</v>
      </c>
      <c r="E1047" s="32">
        <v>4</v>
      </c>
      <c r="F1047" s="32" t="s">
        <v>483</v>
      </c>
      <c r="G1047" s="68" t="s">
        <v>277</v>
      </c>
      <c r="H1047" s="69">
        <f t="shared" si="434"/>
        <v>405</v>
      </c>
      <c r="I1047" s="70">
        <f t="shared" si="435"/>
        <v>408</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0</v>
      </c>
      <c r="AE1047" s="109" t="str">
        <f t="shared" si="427"/>
        <v>405-408</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t="s">
        <v>484</v>
      </c>
      <c r="D1048" s="102" t="s">
        <v>810</v>
      </c>
      <c r="E1048" s="32">
        <v>8</v>
      </c>
      <c r="F1048" s="32" t="s">
        <v>483</v>
      </c>
      <c r="G1048" s="68" t="s">
        <v>277</v>
      </c>
      <c r="H1048" s="69">
        <f t="shared" si="434"/>
        <v>397</v>
      </c>
      <c r="I1048" s="70">
        <f t="shared" si="435"/>
        <v>404</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0</v>
      </c>
      <c r="AE1048" s="109" t="str">
        <f t="shared" si="427"/>
        <v>397-404</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t="s">
        <v>500</v>
      </c>
      <c r="D1049" s="102"/>
      <c r="E1049" s="32">
        <v>12</v>
      </c>
      <c r="F1049" s="32"/>
      <c r="G1049" s="68" t="s">
        <v>277</v>
      </c>
      <c r="H1049" s="69">
        <f t="shared" si="434"/>
        <v>385</v>
      </c>
      <c r="I1049" s="70">
        <f t="shared" si="435"/>
        <v>396</v>
      </c>
      <c r="J1049" s="73" t="str">
        <f t="shared" si="436"/>
        <v>--</v>
      </c>
      <c r="K1049" s="32"/>
      <c r="L1049" s="233"/>
      <c r="M1049" s="288" t="s">
        <v>429</v>
      </c>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385-396</v>
      </c>
      <c r="AF1049" s="109" t="str">
        <f t="shared" si="428"/>
        <v>Y</v>
      </c>
      <c r="AG1049" s="109" t="str">
        <f t="shared" si="429"/>
        <v>A</v>
      </c>
      <c r="AM1049" s="109">
        <f t="shared" si="430"/>
        <v>0</v>
      </c>
      <c r="AN1049" s="109">
        <f t="shared" si="431"/>
        <v>0</v>
      </c>
      <c r="AO1049" s="109" t="str">
        <f t="shared" si="432"/>
        <v>Y</v>
      </c>
      <c r="AQ1049" s="109" t="str">
        <f t="shared" si="433"/>
        <v/>
      </c>
      <c r="BA1049" s="229">
        <f>MOD(SUM(E1042:E1050),12)</f>
        <v>0</v>
      </c>
    </row>
    <row r="1050" spans="1:53" ht="15.75" thickBot="1" x14ac:dyDescent="0.3">
      <c r="A1050" s="88"/>
      <c r="B1050" s="66" t="s">
        <v>286</v>
      </c>
      <c r="C1050" s="67" t="s">
        <v>500</v>
      </c>
      <c r="D1050" s="102"/>
      <c r="E1050" s="32">
        <v>12</v>
      </c>
      <c r="F1050" s="32"/>
      <c r="G1050" s="68" t="s">
        <v>277</v>
      </c>
      <c r="H1050" s="69">
        <f t="shared" si="434"/>
        <v>373</v>
      </c>
      <c r="I1050" s="70">
        <f t="shared" si="435"/>
        <v>384</v>
      </c>
      <c r="J1050" s="73" t="str">
        <f t="shared" si="436"/>
        <v>--</v>
      </c>
      <c r="K1050" s="32"/>
      <c r="L1050" s="233"/>
      <c r="M1050" s="288" t="s">
        <v>429</v>
      </c>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373-384</v>
      </c>
      <c r="AF1050" s="109" t="str">
        <f t="shared" si="428"/>
        <v>Y</v>
      </c>
      <c r="AG1050" s="109" t="str">
        <f t="shared" si="429"/>
        <v>A</v>
      </c>
      <c r="AM1050" s="109">
        <f t="shared" si="430"/>
        <v>0</v>
      </c>
      <c r="AN1050" s="109">
        <f t="shared" si="431"/>
        <v>0</v>
      </c>
      <c r="AO1050" s="109" t="str">
        <f t="shared" si="432"/>
        <v>Y</v>
      </c>
      <c r="AQ1050" s="109" t="str">
        <f t="shared" si="433"/>
        <v/>
      </c>
      <c r="BA1050" s="229">
        <f>MOD(SUM(E1042:E1051),12)</f>
        <v>0</v>
      </c>
    </row>
    <row r="1051" spans="1:53" ht="15.75" thickBot="1" x14ac:dyDescent="0.3">
      <c r="A1051" s="88"/>
      <c r="B1051" s="66" t="s">
        <v>287</v>
      </c>
      <c r="C1051" s="67" t="s">
        <v>500</v>
      </c>
      <c r="D1051" s="102"/>
      <c r="E1051" s="32">
        <v>12</v>
      </c>
      <c r="F1051" s="32"/>
      <c r="G1051" s="68" t="s">
        <v>277</v>
      </c>
      <c r="H1051" s="69">
        <f t="shared" si="434"/>
        <v>361</v>
      </c>
      <c r="I1051" s="70">
        <f t="shared" si="435"/>
        <v>372</v>
      </c>
      <c r="J1051" s="73" t="str">
        <f t="shared" si="436"/>
        <v>--</v>
      </c>
      <c r="K1051" s="32"/>
      <c r="L1051" s="233"/>
      <c r="M1051" s="288" t="s">
        <v>429</v>
      </c>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361-372</v>
      </c>
      <c r="AF1051" s="109" t="str">
        <f t="shared" si="428"/>
        <v>Y</v>
      </c>
      <c r="AG1051" s="109" t="str">
        <f t="shared" si="429"/>
        <v>A</v>
      </c>
      <c r="AM1051" s="109">
        <f t="shared" si="430"/>
        <v>0</v>
      </c>
      <c r="AN1051" s="109">
        <f t="shared" si="431"/>
        <v>0</v>
      </c>
      <c r="AO1051" s="109" t="str">
        <f t="shared" si="432"/>
        <v>Y</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73</v>
      </c>
      <c r="X1053" s="84"/>
      <c r="Y1053" s="78">
        <f>SUM(E1042:E1053)</f>
        <v>72</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73</v>
      </c>
      <c r="X1054" s="84"/>
      <c r="Y1054" s="78">
        <f>SUM(E1042:E1054)</f>
        <v>72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73</v>
      </c>
      <c r="X1055" s="84"/>
      <c r="Y1055" s="78">
        <f>SUM(E1042:E1055)</f>
        <v>72</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73</v>
      </c>
      <c r="X1056" s="84"/>
      <c r="Y1056" s="78">
        <f>SUM(E1042:E1056)</f>
        <v>72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73</v>
      </c>
      <c r="X1057" s="84"/>
      <c r="Y1057" s="78">
        <f>SUM(E1042:E1057)</f>
        <v>72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73</v>
      </c>
      <c r="X1058" s="84"/>
      <c r="Y1058" s="78">
        <f>SUM(E1042:E1058)</f>
        <v>72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73</v>
      </c>
      <c r="X1059" s="84"/>
      <c r="Y1059" s="78">
        <f>SUM(E1042:E1059)</f>
        <v>72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73</v>
      </c>
      <c r="X1060" s="84"/>
      <c r="Y1060" s="78">
        <f>SUM(E1042:E1060)</f>
        <v>72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73</v>
      </c>
      <c r="X1061" s="84"/>
      <c r="Y1061" s="78">
        <f>SUM(E1042:E1061)</f>
        <v>72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73</v>
      </c>
      <c r="X1062" s="84"/>
      <c r="Y1062" s="78">
        <f>SUM(E1042:E1062)</f>
        <v>72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73</v>
      </c>
      <c r="X1063" s="84"/>
      <c r="Y1063" s="78">
        <f>SUM(E1042:E1063)</f>
        <v>72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73</v>
      </c>
      <c r="X1064" s="84"/>
      <c r="Y1064" s="78">
        <f>SUM(E1042:E1064)</f>
        <v>72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73</v>
      </c>
      <c r="X1065" s="84"/>
      <c r="Y1065" s="78">
        <f>SUM(E1042:E1065)</f>
        <v>72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72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319" t="s">
        <v>355</v>
      </c>
      <c r="C1067" s="320"/>
      <c r="D1067" s="79"/>
      <c r="E1067" s="80"/>
      <c r="F1067" s="80"/>
      <c r="G1067" s="81"/>
      <c r="H1067" s="192"/>
      <c r="I1067" s="192"/>
      <c r="J1067" s="192"/>
      <c r="K1067" s="82"/>
      <c r="L1067" s="319" t="s">
        <v>306</v>
      </c>
      <c r="M1067" s="330"/>
      <c r="N1067" s="330"/>
      <c r="O1067" s="330"/>
      <c r="P1067" s="330"/>
      <c r="Q1067" s="330"/>
      <c r="R1067" s="330"/>
      <c r="S1067" s="330"/>
      <c r="T1067" s="330"/>
      <c r="U1067" s="320"/>
      <c r="V1067" s="104"/>
      <c r="W1067" s="72"/>
      <c r="X1067" s="72"/>
      <c r="Y1067" s="72"/>
      <c r="Z1067" s="72"/>
      <c r="AA1067" s="72" t="str">
        <f t="shared" si="440"/>
        <v/>
      </c>
      <c r="AB1067" s="72"/>
      <c r="AC1067" s="72">
        <f>SUM(AC1042:AC1066)</f>
        <v>25</v>
      </c>
      <c r="AD1067" s="72">
        <f>SUM(AD1042:AD1066)</f>
        <v>18</v>
      </c>
      <c r="AM1067" s="109">
        <f>SUM(AM1042:AM1066)</f>
        <v>0</v>
      </c>
      <c r="AN1067" s="109">
        <f>SUM(AN1042:AN1066)</f>
        <v>0</v>
      </c>
      <c r="AO1067" s="109">
        <f>((COUNTIF(AO1042:AO1066,"Y")/3)*2)</f>
        <v>2</v>
      </c>
      <c r="AP1067" s="109">
        <f>(COUNTIF(AO1042:AO1066,"Y")/3)</f>
        <v>1</v>
      </c>
      <c r="AQ1067" s="109">
        <f>(COUNTIF(AQ1042:AQ1066,"Y")/2)</f>
        <v>0</v>
      </c>
      <c r="AR1067" s="109">
        <f>(COUNTIF(AQ1042:AQ1066,"Y")/2)</f>
        <v>0</v>
      </c>
      <c r="BA1067" s="228"/>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2" t="s">
        <v>222</v>
      </c>
      <c r="C1072" s="313"/>
      <c r="D1072" s="314" t="s">
        <v>223</v>
      </c>
      <c r="E1072" s="305"/>
      <c r="F1072" s="88"/>
      <c r="G1072" s="315" t="s">
        <v>224</v>
      </c>
      <c r="H1072" s="316"/>
      <c r="I1072" s="28">
        <f>SUM(E1083:E1107)</f>
        <v>36</v>
      </c>
      <c r="J1072" s="317" t="s">
        <v>225</v>
      </c>
      <c r="K1072" s="318"/>
      <c r="L1072" s="305"/>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t="str">
        <f>IF(OR($AS1073="Y",$AS1074="Y",$AS1075="Y"),"",COUNTIFS($E1073,"SS",$E1078,"Y"))</f>
        <v/>
      </c>
      <c r="AV1072" s="111" t="str">
        <f>IF(OR($AS1073="Y",$AS1074="Y",$AS1075="Y"),"",COUNTIFS($E1073,"RPX",$E1078,"Y"))</f>
        <v/>
      </c>
      <c r="AW1072" s="111" t="str">
        <f>IF(OR($AS1073="Y",$AS1074="Y",$AS1075="Y"),"",COUNTIFS($E1073,"EUC",$E1078,"Y"))</f>
        <v/>
      </c>
      <c r="AX1072" s="109" t="str">
        <f>IF(OR($AS1073="Y",$AS1074="Y",$AS1075="Y"),"",COUNTIFS($E1073,"RPX-T",$E1078,"Y"))</f>
        <v/>
      </c>
      <c r="BA1072" s="226"/>
    </row>
    <row r="1073" spans="1:53" ht="16.5" customHeight="1" thickTop="1" thickBot="1" x14ac:dyDescent="0.3">
      <c r="A1073" s="88"/>
      <c r="B1073" s="29" t="s">
        <v>228</v>
      </c>
      <c r="C1073" s="30">
        <v>0</v>
      </c>
      <c r="D1073" s="31" t="s">
        <v>229</v>
      </c>
      <c r="E1073" s="66" t="str">
        <f>TEXT(IF('Cable Calculator'!ED7="","",'Cable Calculator'!ED7),)</f>
        <v>RPX</v>
      </c>
      <c r="F1073" s="88"/>
      <c r="G1073" s="304" t="s">
        <v>230</v>
      </c>
      <c r="H1073" s="305"/>
      <c r="I1073" s="33">
        <f>E1074-I1072</f>
        <v>12</v>
      </c>
      <c r="J1073" s="289" t="s">
        <v>231</v>
      </c>
      <c r="K1073" s="290"/>
      <c r="L1073" s="34">
        <f>I1077</f>
        <v>361</v>
      </c>
      <c r="M1073" s="196">
        <v>4</v>
      </c>
      <c r="N1073" s="35">
        <f>SUM(AI1073,AI1084)</f>
        <v>0</v>
      </c>
      <c r="O1073" s="35">
        <v>0</v>
      </c>
      <c r="P1073" s="35">
        <f>SUM(AJ1073,AJ1084)</f>
        <v>3</v>
      </c>
      <c r="Q1073" s="35">
        <v>0</v>
      </c>
      <c r="R1073" s="35">
        <f>COUNTIFS($E1083:$E1107,"4",$F1083:$F1107,"Pole",$C1083:$C1107,"FST")</f>
        <v>3</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f>IF($E1073="RPX",COUNTIFS($C1083:$C1107,"FST",$E1083:$E1107,"4"),"0")</f>
        <v>3</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48</v>
      </c>
      <c r="F1074" s="88"/>
      <c r="G1074" s="291" t="s">
        <v>237</v>
      </c>
      <c r="H1074" s="292"/>
      <c r="I1074" s="35">
        <f>IF(E1074=0,0,12-(MOD(I1072,12)))</f>
        <v>12</v>
      </c>
      <c r="J1074" s="289" t="s">
        <v>238</v>
      </c>
      <c r="K1074" s="290"/>
      <c r="L1074" s="39">
        <f>I1078-I1072</f>
        <v>360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Y</v>
      </c>
      <c r="AT1074" s="110" t="s">
        <v>239</v>
      </c>
      <c r="AU1074" s="109">
        <f>COUNTIFS($E1073,"SS",$AS1074,"Y")</f>
        <v>0</v>
      </c>
      <c r="AV1074" s="108">
        <f>COUNTIFS($E1073,"RPX",$AS1074,"Y")</f>
        <v>1</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1" t="s">
        <v>242</v>
      </c>
      <c r="H1075" s="43" t="s">
        <v>243</v>
      </c>
      <c r="I1075" s="35">
        <f>IF(E1075&lt;&gt;0,1,0)</f>
        <v>1</v>
      </c>
      <c r="J1075" s="291" t="s">
        <v>244</v>
      </c>
      <c r="K1075" s="292"/>
      <c r="L1075" s="44">
        <f>'Cable Calculator'!ED3</f>
        <v>1311</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361</v>
      </c>
      <c r="F1076" s="88"/>
      <c r="G1076" s="322"/>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1</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4</v>
      </c>
      <c r="F1077" s="88"/>
      <c r="G1077" s="321" t="s">
        <v>251</v>
      </c>
      <c r="H1077" s="51" t="s">
        <v>252</v>
      </c>
      <c r="I1077" s="112">
        <f>E1076</f>
        <v>361</v>
      </c>
      <c r="J1077" s="323" t="s">
        <v>253</v>
      </c>
      <c r="K1077" s="324"/>
      <c r="L1077" s="32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Y</v>
      </c>
      <c r="F1078" s="88"/>
      <c r="G1078" s="322"/>
      <c r="H1078" s="47" t="s">
        <v>257</v>
      </c>
      <c r="I1078" s="35">
        <f>IF(E1076="","0",IF(AND(E1073="EUC",E1074=432), I1077+(203-E1075),IF(E1076=0,0,(E1076+(E1074-E1075)-1))))</f>
        <v>396</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36</v>
      </c>
      <c r="D1079" s="31" t="s">
        <v>259</v>
      </c>
      <c r="E1079" s="101" t="str">
        <f>IF(AS1073="Y","DBL",IF(AS1074="Y","TRPL",IF(AS1075="Y","QUAD","")))</f>
        <v>TRPL</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2"/>
      <c r="C1082" s="294"/>
      <c r="D1082" s="294"/>
      <c r="E1082" s="307"/>
      <c r="F1082" s="294"/>
      <c r="G1082" s="309"/>
      <c r="H1082" s="309"/>
      <c r="I1082" s="309"/>
      <c r="J1082" s="311"/>
      <c r="K1082" s="294"/>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499</v>
      </c>
      <c r="D1083" s="102"/>
      <c r="E1083" s="32">
        <v>12</v>
      </c>
      <c r="F1083" s="32" t="s">
        <v>483</v>
      </c>
      <c r="G1083" s="68" t="s">
        <v>277</v>
      </c>
      <c r="H1083" s="69">
        <f>IF(I1083=0,0,I1083-(E1083-1))</f>
        <v>385</v>
      </c>
      <c r="I1083" s="70">
        <f>IF(E1083=0,0,I1078)</f>
        <v>396</v>
      </c>
      <c r="J1083" s="71" t="s">
        <v>278</v>
      </c>
      <c r="K1083" s="32"/>
      <c r="L1083" s="233"/>
      <c r="M1083" s="277" t="s">
        <v>430</v>
      </c>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385-396</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0.5</v>
      </c>
      <c r="AN1083" s="109">
        <f t="shared" ref="AN1083:AN1107" si="448">VALUE(IF(C1083="FST","0",IF(C1083="REV T","0",IF(C1083="DBL REV",".5","0"))))</f>
        <v>0.5</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t="s">
        <v>499</v>
      </c>
      <c r="D1084" s="102"/>
      <c r="E1084" s="32">
        <v>12</v>
      </c>
      <c r="F1084" s="32" t="s">
        <v>483</v>
      </c>
      <c r="G1084" s="68" t="s">
        <v>277</v>
      </c>
      <c r="H1084" s="69">
        <f t="shared" ref="H1084:H1107" si="451">IF(E1084=0,0,I1084-(E1084-1))</f>
        <v>373</v>
      </c>
      <c r="I1084" s="70">
        <f t="shared" ref="I1084:I1107" si="452">IF(E1084=0,0,H1083-1)</f>
        <v>384</v>
      </c>
      <c r="J1084" s="73" t="str">
        <f>IF(C1084="","--",IF(AND(C1084&lt;&gt;"FST",C1084&lt;&gt;"TCF",BA1083&lt;&gt;0),BA1083,"--"))</f>
        <v>--</v>
      </c>
      <c r="K1084" s="32"/>
      <c r="L1084" s="233"/>
      <c r="M1084" s="277" t="s">
        <v>430</v>
      </c>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373-384</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0.5</v>
      </c>
      <c r="AN1084" s="109">
        <f t="shared" si="448"/>
        <v>0.5</v>
      </c>
      <c r="AO1084" s="109" t="str">
        <f t="shared" si="449"/>
        <v/>
      </c>
      <c r="AQ1084" s="109" t="str">
        <f t="shared" si="450"/>
        <v/>
      </c>
      <c r="BA1084" s="229">
        <f>MOD(SUM(E1083:E1084),12)</f>
        <v>0</v>
      </c>
    </row>
    <row r="1085" spans="1:53" ht="15.75" thickBot="1" x14ac:dyDescent="0.3">
      <c r="A1085" s="88"/>
      <c r="B1085" s="74" t="s">
        <v>280</v>
      </c>
      <c r="C1085" s="67" t="s">
        <v>484</v>
      </c>
      <c r="D1085" s="102" t="s">
        <v>801</v>
      </c>
      <c r="E1085" s="32">
        <v>4</v>
      </c>
      <c r="F1085" s="32" t="s">
        <v>483</v>
      </c>
      <c r="G1085" s="75" t="s">
        <v>277</v>
      </c>
      <c r="H1085" s="69">
        <f t="shared" si="451"/>
        <v>369</v>
      </c>
      <c r="I1085" s="70">
        <f t="shared" si="452"/>
        <v>372</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0</v>
      </c>
      <c r="AE1085" s="109" t="str">
        <f t="shared" si="444"/>
        <v>369-372</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8</v>
      </c>
    </row>
    <row r="1086" spans="1:53" ht="15.75" thickBot="1" x14ac:dyDescent="0.3">
      <c r="A1086" s="88"/>
      <c r="B1086" s="66" t="s">
        <v>281</v>
      </c>
      <c r="C1086" s="67" t="s">
        <v>484</v>
      </c>
      <c r="D1086" s="102" t="s">
        <v>802</v>
      </c>
      <c r="E1086" s="32">
        <v>4</v>
      </c>
      <c r="F1086" s="32" t="s">
        <v>483</v>
      </c>
      <c r="G1086" s="68" t="s">
        <v>277</v>
      </c>
      <c r="H1086" s="69">
        <f t="shared" si="451"/>
        <v>365</v>
      </c>
      <c r="I1086" s="70">
        <f t="shared" si="452"/>
        <v>368</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0</v>
      </c>
      <c r="AE1086" s="109" t="str">
        <f t="shared" si="444"/>
        <v>365-368</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t="s">
        <v>484</v>
      </c>
      <c r="D1087" s="102" t="s">
        <v>803</v>
      </c>
      <c r="E1087" s="32">
        <v>4</v>
      </c>
      <c r="F1087" s="32" t="s">
        <v>483</v>
      </c>
      <c r="G1087" s="68" t="s">
        <v>277</v>
      </c>
      <c r="H1087" s="69">
        <f t="shared" si="451"/>
        <v>361</v>
      </c>
      <c r="I1087" s="70">
        <f t="shared" si="452"/>
        <v>364</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0</v>
      </c>
      <c r="AE1087" s="109" t="str">
        <f t="shared" si="444"/>
        <v>361-364</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A</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A</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A</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37</v>
      </c>
      <c r="X1094" s="84"/>
      <c r="Y1094" s="78">
        <f>SUM(E1083:E1094)</f>
        <v>36</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37</v>
      </c>
      <c r="X1095" s="84"/>
      <c r="Y1095" s="78">
        <f>SUM(E1083:E1095)</f>
        <v>36</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37</v>
      </c>
      <c r="X1096" s="84"/>
      <c r="Y1096" s="78">
        <f>SUM(E1083:E1096)</f>
        <v>36</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37</v>
      </c>
      <c r="X1097" s="84"/>
      <c r="Y1097" s="78">
        <f>SUM(E1083:E1097)</f>
        <v>36</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37</v>
      </c>
      <c r="X1098" s="84"/>
      <c r="Y1098" s="78">
        <f>SUM(E1083:E1098)</f>
        <v>36</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37</v>
      </c>
      <c r="X1099" s="84"/>
      <c r="Y1099" s="78">
        <f>SUM(E1083:E1099)</f>
        <v>36</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37</v>
      </c>
      <c r="X1100" s="84"/>
      <c r="Y1100" s="78">
        <f>SUM(E1083:E1100)</f>
        <v>36</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37</v>
      </c>
      <c r="X1101" s="84"/>
      <c r="Y1101" s="78">
        <f>SUM(E1083:E1101)</f>
        <v>36</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37</v>
      </c>
      <c r="X1102" s="84"/>
      <c r="Y1102" s="78">
        <f>SUM(E1083:E1102)</f>
        <v>36</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37</v>
      </c>
      <c r="X1103" s="84"/>
      <c r="Y1103" s="78">
        <f>SUM(E1083:E1103)</f>
        <v>36</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37</v>
      </c>
      <c r="X1104" s="84"/>
      <c r="Y1104" s="78">
        <f>SUM(E1083:E1104)</f>
        <v>36</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37</v>
      </c>
      <c r="X1105" s="84"/>
      <c r="Y1105" s="78">
        <f>SUM(E1083:E1105)</f>
        <v>36</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37</v>
      </c>
      <c r="X1106" s="84"/>
      <c r="Y1106" s="78">
        <f>SUM(E1083:E1106)</f>
        <v>36</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36</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319" t="s">
        <v>357</v>
      </c>
      <c r="C1108" s="320"/>
      <c r="D1108" s="79"/>
      <c r="E1108" s="80"/>
      <c r="F1108" s="80"/>
      <c r="G1108" s="81"/>
      <c r="H1108" s="192"/>
      <c r="I1108" s="192"/>
      <c r="J1108" s="192"/>
      <c r="K1108" s="82"/>
      <c r="L1108" s="319" t="s">
        <v>306</v>
      </c>
      <c r="M1108" s="330"/>
      <c r="N1108" s="330"/>
      <c r="O1108" s="330"/>
      <c r="P1108" s="330"/>
      <c r="Q1108" s="330"/>
      <c r="R1108" s="330"/>
      <c r="S1108" s="330"/>
      <c r="T1108" s="330"/>
      <c r="U1108" s="320"/>
      <c r="V1108" s="104"/>
      <c r="W1108" s="72"/>
      <c r="X1108" s="72"/>
      <c r="Y1108" s="72"/>
      <c r="Z1108" s="72"/>
      <c r="AA1108" s="72" t="str">
        <f t="shared" si="457"/>
        <v/>
      </c>
      <c r="AB1108" s="72"/>
      <c r="AC1108" s="72">
        <f>SUM(AC1083:AC1107)</f>
        <v>25</v>
      </c>
      <c r="AD1108" s="72">
        <f>SUM(AD1083:AD1107)</f>
        <v>22</v>
      </c>
      <c r="AM1108" s="109">
        <f>SUM(AM1083:AM1107)</f>
        <v>1</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2" t="s">
        <v>222</v>
      </c>
      <c r="C1113" s="313"/>
      <c r="D1113" s="314" t="s">
        <v>223</v>
      </c>
      <c r="E1113" s="305"/>
      <c r="F1113" s="88"/>
      <c r="G1113" s="315" t="s">
        <v>224</v>
      </c>
      <c r="H1113" s="316"/>
      <c r="I1113" s="28">
        <f>SUM(E1124:E1148)</f>
        <v>24</v>
      </c>
      <c r="J1113" s="317" t="s">
        <v>225</v>
      </c>
      <c r="K1113" s="318"/>
      <c r="L1113" s="305"/>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EUC</v>
      </c>
      <c r="F1114" s="88"/>
      <c r="G1114" s="304" t="s">
        <v>230</v>
      </c>
      <c r="H1114" s="305"/>
      <c r="I1114" s="33">
        <f>E1115-I1113</f>
        <v>0</v>
      </c>
      <c r="J1114" s="289" t="s">
        <v>231</v>
      </c>
      <c r="K1114" s="290"/>
      <c r="L1114" s="34">
        <f>I1118</f>
        <v>373</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1</v>
      </c>
      <c r="V1114" s="35">
        <v>0</v>
      </c>
      <c r="W1114" s="34">
        <f>COUNTIFS($E1124:$E1148,"4",$F1124:$F1148,"HH",$C1124:$C1148,"FST")</f>
        <v>1</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f>IF($E1114="EUC",COUNTIFS($C1124:$C1148,"FST",$E1124:$E1148,"4"),"0")</f>
        <v>1</v>
      </c>
      <c r="AL1114" s="109" t="str">
        <f>IF($E1114="RPX-T",COUNTIFS($C1124:$C1148,"FST",$E1124:$E1148,"4"),"0")</f>
        <v>0</v>
      </c>
      <c r="AS1114" s="109" t="str">
        <f>IF(AND(E1119="Y",E1115=24,E1116=0),"Y","N")</f>
        <v>Y</v>
      </c>
      <c r="AT1114" s="110" t="s">
        <v>234</v>
      </c>
      <c r="AU1114" s="109">
        <f>COUNTIFS($E1114,"SS",$AS1114,"Y")</f>
        <v>0</v>
      </c>
      <c r="AV1114" s="111">
        <f>COUNTIFS($E1114,"RPX",$AS1114,"Y")</f>
        <v>0</v>
      </c>
      <c r="AW1114" s="111">
        <f>COUNTIFS($E1114,"EUC",$AS1114,"Y")</f>
        <v>1</v>
      </c>
      <c r="AX1114" s="109">
        <f>COUNTIFS($E1114,"RPX-T",$AS1114,"Y")</f>
        <v>0</v>
      </c>
      <c r="BA1114" s="227"/>
    </row>
    <row r="1115" spans="1:53" ht="16.5" thickTop="1" thickBot="1" x14ac:dyDescent="0.3">
      <c r="A1115" s="88"/>
      <c r="B1115" s="36" t="s">
        <v>235</v>
      </c>
      <c r="C1115" s="37">
        <v>0</v>
      </c>
      <c r="D1115" s="38" t="s">
        <v>236</v>
      </c>
      <c r="E1115" s="32">
        <v>24</v>
      </c>
      <c r="F1115" s="88"/>
      <c r="G1115" s="291" t="s">
        <v>237</v>
      </c>
      <c r="H1115" s="292"/>
      <c r="I1115" s="35">
        <f>IF(E1115=0,0,12-(MOD(I1113,12)))</f>
        <v>12</v>
      </c>
      <c r="J1115" s="289" t="s">
        <v>238</v>
      </c>
      <c r="K1115" s="290"/>
      <c r="L1115" s="39">
        <f>I1119-I1113</f>
        <v>372</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321" t="s">
        <v>242</v>
      </c>
      <c r="H1116" s="43" t="s">
        <v>243</v>
      </c>
      <c r="I1116" s="35">
        <f>IF(E1116&lt;&gt;0,1,0)</f>
        <v>0</v>
      </c>
      <c r="J1116" s="291" t="s">
        <v>244</v>
      </c>
      <c r="K1116" s="292"/>
      <c r="L1116" s="44">
        <f>'Cable Calculator'!EI3</f>
        <v>2040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1</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373</v>
      </c>
      <c r="F1117" s="88"/>
      <c r="G1117" s="322"/>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0</v>
      </c>
      <c r="W1117" s="34">
        <f>COUNTIFS($E1124:$E1148,"12",$F1124:$F1148,"HH",$C1124:$C1148,"FST")</f>
        <v>1</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1</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1" t="s">
        <v>251</v>
      </c>
      <c r="H1118" s="51" t="s">
        <v>252</v>
      </c>
      <c r="I1118" s="112">
        <f>E1117</f>
        <v>373</v>
      </c>
      <c r="J1118" s="323" t="s">
        <v>253</v>
      </c>
      <c r="K1118" s="324"/>
      <c r="L1118" s="32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322"/>
      <c r="H1119" s="47" t="s">
        <v>257</v>
      </c>
      <c r="I1119" s="35">
        <f>IF(E1117="","0",IF(AND(E1114="EUC",E1115=432), I1118+(203-E1116),IF(E1117=0,0,(E1117+(E1115-E1116)-1))))</f>
        <v>396</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2"/>
      <c r="C1123" s="294"/>
      <c r="D1123" s="294"/>
      <c r="E1123" s="307"/>
      <c r="F1123" s="294"/>
      <c r="G1123" s="309"/>
      <c r="H1123" s="309"/>
      <c r="I1123" s="309"/>
      <c r="J1123" s="311"/>
      <c r="K1123" s="294"/>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799</v>
      </c>
      <c r="E1124" s="32">
        <v>4</v>
      </c>
      <c r="F1124" s="32" t="s">
        <v>488</v>
      </c>
      <c r="G1124" s="68" t="s">
        <v>277</v>
      </c>
      <c r="H1124" s="69">
        <f>IF(I1124=0,0,I1124-(E1124-1))</f>
        <v>393</v>
      </c>
      <c r="I1124" s="70">
        <f>IF(E1124=0,0,I1119)</f>
        <v>396</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393-396</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798</v>
      </c>
      <c r="E1125" s="32">
        <v>8</v>
      </c>
      <c r="F1125" s="32" t="s">
        <v>488</v>
      </c>
      <c r="G1125" s="68" t="s">
        <v>277</v>
      </c>
      <c r="H1125" s="69">
        <f t="shared" ref="H1125:H1148" si="468">IF(E1125=0,0,I1125-(E1125-1))</f>
        <v>385</v>
      </c>
      <c r="I1125" s="70">
        <f t="shared" ref="I1125:I1148" si="469">IF(E1125=0,0,H1124-1)</f>
        <v>392</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0</v>
      </c>
      <c r="AE1125" s="109" t="str">
        <f t="shared" si="461"/>
        <v>385-392</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t="s">
        <v>484</v>
      </c>
      <c r="D1126" s="102" t="s">
        <v>800</v>
      </c>
      <c r="E1126" s="32">
        <v>12</v>
      </c>
      <c r="F1126" s="32" t="s">
        <v>488</v>
      </c>
      <c r="G1126" s="75" t="s">
        <v>277</v>
      </c>
      <c r="H1126" s="69">
        <f t="shared" si="468"/>
        <v>373</v>
      </c>
      <c r="I1126" s="70">
        <f t="shared" si="469"/>
        <v>384</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0</v>
      </c>
      <c r="AE1126" s="109" t="str">
        <f t="shared" si="461"/>
        <v>373-384</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25</v>
      </c>
      <c r="X1135" s="84"/>
      <c r="Y1135" s="78">
        <f>SUM(E1124:E1135)</f>
        <v>24</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25</v>
      </c>
      <c r="X1136" s="84"/>
      <c r="Y1136" s="78">
        <f>SUM(E1124:E1136)</f>
        <v>24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25</v>
      </c>
      <c r="X1137" s="84"/>
      <c r="Y1137" s="78">
        <f>SUM(E1124:E1137)</f>
        <v>24</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25</v>
      </c>
      <c r="X1138" s="84"/>
      <c r="Y1138" s="78">
        <f>SUM(E1124:E1138)</f>
        <v>24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25</v>
      </c>
      <c r="X1139" s="84"/>
      <c r="Y1139" s="78">
        <f>SUM(E1124:E1139)</f>
        <v>24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25</v>
      </c>
      <c r="X1140" s="84"/>
      <c r="Y1140" s="78">
        <f>SUM(E1124:E1140)</f>
        <v>24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25</v>
      </c>
      <c r="X1141" s="84"/>
      <c r="Y1141" s="78">
        <f>SUM(E1124:E1141)</f>
        <v>24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25</v>
      </c>
      <c r="X1142" s="84"/>
      <c r="Y1142" s="78">
        <f>SUM(E1124:E1142)</f>
        <v>24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25</v>
      </c>
      <c r="X1143" s="84"/>
      <c r="Y1143" s="78">
        <f>SUM(E1124:E1143)</f>
        <v>24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25</v>
      </c>
      <c r="X1144" s="84"/>
      <c r="Y1144" s="78">
        <f>SUM(E1124:E1144)</f>
        <v>24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25</v>
      </c>
      <c r="X1145" s="84"/>
      <c r="Y1145" s="78">
        <f>SUM(E1124:E1145)</f>
        <v>24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25</v>
      </c>
      <c r="X1146" s="84"/>
      <c r="Y1146" s="78">
        <f>SUM(E1124:E1146)</f>
        <v>24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25</v>
      </c>
      <c r="X1147" s="84"/>
      <c r="Y1147" s="78">
        <f>SUM(E1124:E1147)</f>
        <v>24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24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9" t="s">
        <v>359</v>
      </c>
      <c r="C1149" s="320"/>
      <c r="D1149" s="79"/>
      <c r="E1149" s="80"/>
      <c r="F1149" s="80"/>
      <c r="G1149" s="81"/>
      <c r="H1149" s="192"/>
      <c r="I1149" s="192"/>
      <c r="J1149" s="192"/>
      <c r="K1149" s="82"/>
      <c r="L1149" s="319" t="s">
        <v>306</v>
      </c>
      <c r="M1149" s="330"/>
      <c r="N1149" s="330"/>
      <c r="O1149" s="330"/>
      <c r="P1149" s="330"/>
      <c r="Q1149" s="330"/>
      <c r="R1149" s="330"/>
      <c r="S1149" s="330"/>
      <c r="T1149" s="330"/>
      <c r="U1149" s="320"/>
      <c r="V1149" s="104"/>
      <c r="W1149" s="72"/>
      <c r="X1149" s="72"/>
      <c r="Y1149" s="72"/>
      <c r="Z1149" s="72"/>
      <c r="AA1149" s="72" t="str">
        <f t="shared" si="474"/>
        <v/>
      </c>
      <c r="AB1149" s="72"/>
      <c r="AC1149" s="72">
        <f>SUM(AC1124:AC1148)</f>
        <v>25</v>
      </c>
      <c r="AD1149" s="72">
        <f>SUM(AD1124:AD1148)</f>
        <v>22</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2" t="s">
        <v>222</v>
      </c>
      <c r="C1154" s="313"/>
      <c r="D1154" s="314" t="s">
        <v>223</v>
      </c>
      <c r="E1154" s="305"/>
      <c r="F1154" s="88"/>
      <c r="G1154" s="315" t="s">
        <v>224</v>
      </c>
      <c r="H1154" s="316"/>
      <c r="I1154" s="28">
        <f>SUM(E1165:E1189)</f>
        <v>0</v>
      </c>
      <c r="J1154" s="317" t="s">
        <v>225</v>
      </c>
      <c r="K1154" s="318"/>
      <c r="L1154" s="305"/>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4" t="s">
        <v>230</v>
      </c>
      <c r="H1155" s="305"/>
      <c r="I1155" s="33">
        <f>E1156-I1154</f>
        <v>0</v>
      </c>
      <c r="J1155" s="289" t="s">
        <v>231</v>
      </c>
      <c r="K1155" s="290"/>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1" t="s">
        <v>237</v>
      </c>
      <c r="H1156" s="292"/>
      <c r="I1156" s="35">
        <f>IF(E1156=0,0,12-(MOD(I1154,12)))</f>
        <v>0</v>
      </c>
      <c r="J1156" s="289" t="s">
        <v>238</v>
      </c>
      <c r="K1156" s="290"/>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1" t="s">
        <v>242</v>
      </c>
      <c r="H1157" s="43" t="s">
        <v>243</v>
      </c>
      <c r="I1157" s="35">
        <f>IF(E1157&lt;&gt;0,1,0)</f>
        <v>0</v>
      </c>
      <c r="J1157" s="291" t="s">
        <v>244</v>
      </c>
      <c r="K1157" s="292"/>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2"/>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1" t="s">
        <v>251</v>
      </c>
      <c r="H1159" s="51" t="s">
        <v>252</v>
      </c>
      <c r="I1159" s="112">
        <f>E1158</f>
        <v>0</v>
      </c>
      <c r="J1159" s="323" t="s">
        <v>253</v>
      </c>
      <c r="K1159" s="324"/>
      <c r="L1159" s="32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2"/>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2"/>
      <c r="C1164" s="294"/>
      <c r="D1164" s="294"/>
      <c r="E1164" s="307"/>
      <c r="F1164" s="294"/>
      <c r="G1164" s="309"/>
      <c r="H1164" s="309"/>
      <c r="I1164" s="309"/>
      <c r="J1164" s="311"/>
      <c r="K1164" s="294"/>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9" t="s">
        <v>361</v>
      </c>
      <c r="C1190" s="320"/>
      <c r="D1190" s="79"/>
      <c r="E1190" s="80"/>
      <c r="F1190" s="80"/>
      <c r="G1190" s="81"/>
      <c r="H1190" s="192"/>
      <c r="I1190" s="192"/>
      <c r="J1190" s="192"/>
      <c r="K1190" s="82"/>
      <c r="L1190" s="319" t="s">
        <v>306</v>
      </c>
      <c r="M1190" s="330"/>
      <c r="N1190" s="330"/>
      <c r="O1190" s="330"/>
      <c r="P1190" s="330"/>
      <c r="Q1190" s="330"/>
      <c r="R1190" s="330"/>
      <c r="S1190" s="330"/>
      <c r="T1190" s="330"/>
      <c r="U1190" s="320"/>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2" t="s">
        <v>222</v>
      </c>
      <c r="C1195" s="313"/>
      <c r="D1195" s="314" t="s">
        <v>223</v>
      </c>
      <c r="E1195" s="305"/>
      <c r="F1195" s="88"/>
      <c r="G1195" s="315" t="s">
        <v>224</v>
      </c>
      <c r="H1195" s="316"/>
      <c r="I1195" s="28">
        <f>SUM(E1206:E1230)</f>
        <v>0</v>
      </c>
      <c r="J1195" s="317" t="s">
        <v>225</v>
      </c>
      <c r="K1195" s="318"/>
      <c r="L1195" s="305"/>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4" t="s">
        <v>230</v>
      </c>
      <c r="H1196" s="305"/>
      <c r="I1196" s="33">
        <f>E1197-I1195</f>
        <v>0</v>
      </c>
      <c r="J1196" s="289" t="s">
        <v>231</v>
      </c>
      <c r="K1196" s="290"/>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1" t="s">
        <v>237</v>
      </c>
      <c r="H1197" s="292"/>
      <c r="I1197" s="35">
        <f>IF(E1197=0,0,12-(MOD(I1195,12)))</f>
        <v>0</v>
      </c>
      <c r="J1197" s="289" t="s">
        <v>238</v>
      </c>
      <c r="K1197" s="290"/>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1" t="s">
        <v>242</v>
      </c>
      <c r="H1198" s="43" t="s">
        <v>243</v>
      </c>
      <c r="I1198" s="35">
        <f>IF(E1198&lt;&gt;0,1,0)</f>
        <v>0</v>
      </c>
      <c r="J1198" s="291" t="s">
        <v>244</v>
      </c>
      <c r="K1198" s="292"/>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2"/>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1" t="s">
        <v>251</v>
      </c>
      <c r="H1200" s="51" t="s">
        <v>252</v>
      </c>
      <c r="I1200" s="112">
        <f>E1199</f>
        <v>0</v>
      </c>
      <c r="J1200" s="323" t="s">
        <v>253</v>
      </c>
      <c r="K1200" s="324"/>
      <c r="L1200" s="32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2"/>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2"/>
      <c r="C1205" s="294"/>
      <c r="D1205" s="294"/>
      <c r="E1205" s="307"/>
      <c r="F1205" s="294"/>
      <c r="G1205" s="309"/>
      <c r="H1205" s="309"/>
      <c r="I1205" s="309"/>
      <c r="J1205" s="311"/>
      <c r="K1205" s="294"/>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9" t="s">
        <v>363</v>
      </c>
      <c r="C1231" s="320"/>
      <c r="D1231" s="79"/>
      <c r="E1231" s="80"/>
      <c r="F1231" s="80"/>
      <c r="G1231" s="81"/>
      <c r="H1231" s="192"/>
      <c r="I1231" s="192"/>
      <c r="J1231" s="192"/>
      <c r="K1231" s="82"/>
      <c r="L1231" s="319" t="s">
        <v>306</v>
      </c>
      <c r="M1231" s="330"/>
      <c r="N1231" s="330"/>
      <c r="O1231" s="330"/>
      <c r="P1231" s="330"/>
      <c r="Q1231" s="330"/>
      <c r="R1231" s="330"/>
      <c r="S1231" s="330"/>
      <c r="T1231" s="330"/>
      <c r="U1231" s="320"/>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2" t="s">
        <v>222</v>
      </c>
      <c r="C1236" s="313"/>
      <c r="D1236" s="314" t="s">
        <v>223</v>
      </c>
      <c r="E1236" s="305"/>
      <c r="F1236" s="88"/>
      <c r="G1236" s="315" t="s">
        <v>224</v>
      </c>
      <c r="H1236" s="316"/>
      <c r="I1236" s="28">
        <f>SUM(E1247:E1271)</f>
        <v>0</v>
      </c>
      <c r="J1236" s="317" t="s">
        <v>225</v>
      </c>
      <c r="K1236" s="318"/>
      <c r="L1236" s="305"/>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4" t="s">
        <v>230</v>
      </c>
      <c r="H1237" s="305"/>
      <c r="I1237" s="33">
        <f>E1238-I1236</f>
        <v>0</v>
      </c>
      <c r="J1237" s="289" t="s">
        <v>231</v>
      </c>
      <c r="K1237" s="290"/>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1" t="s">
        <v>237</v>
      </c>
      <c r="H1238" s="292"/>
      <c r="I1238" s="35">
        <f>IF(E1238=0,0,12-(MOD(I1236,12)))</f>
        <v>0</v>
      </c>
      <c r="J1238" s="289" t="s">
        <v>238</v>
      </c>
      <c r="K1238" s="290"/>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1" t="s">
        <v>242</v>
      </c>
      <c r="H1239" s="43" t="s">
        <v>243</v>
      </c>
      <c r="I1239" s="35">
        <f>IF(E1239&lt;&gt;0,1,0)</f>
        <v>0</v>
      </c>
      <c r="J1239" s="291" t="s">
        <v>244</v>
      </c>
      <c r="K1239" s="292"/>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2"/>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1" t="s">
        <v>251</v>
      </c>
      <c r="H1241" s="51" t="s">
        <v>252</v>
      </c>
      <c r="I1241" s="112">
        <f>E1240</f>
        <v>0</v>
      </c>
      <c r="J1241" s="323" t="s">
        <v>253</v>
      </c>
      <c r="K1241" s="324"/>
      <c r="L1241" s="32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2"/>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2"/>
      <c r="C1246" s="294"/>
      <c r="D1246" s="294"/>
      <c r="E1246" s="307"/>
      <c r="F1246" s="294"/>
      <c r="G1246" s="309"/>
      <c r="H1246" s="309"/>
      <c r="I1246" s="309"/>
      <c r="J1246" s="311"/>
      <c r="K1246" s="294"/>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9" t="s">
        <v>365</v>
      </c>
      <c r="C1272" s="320"/>
      <c r="D1272" s="79"/>
      <c r="E1272" s="80"/>
      <c r="F1272" s="80"/>
      <c r="G1272" s="81"/>
      <c r="H1272" s="192"/>
      <c r="I1272" s="192"/>
      <c r="J1272" s="192"/>
      <c r="K1272" s="82"/>
      <c r="L1272" s="319" t="s">
        <v>306</v>
      </c>
      <c r="M1272" s="330"/>
      <c r="N1272" s="330"/>
      <c r="O1272" s="330"/>
      <c r="P1272" s="330"/>
      <c r="Q1272" s="330"/>
      <c r="R1272" s="330"/>
      <c r="S1272" s="330"/>
      <c r="T1272" s="330"/>
      <c r="U1272" s="320"/>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2" t="s">
        <v>222</v>
      </c>
      <c r="C1277" s="313"/>
      <c r="D1277" s="314" t="s">
        <v>223</v>
      </c>
      <c r="E1277" s="305"/>
      <c r="F1277" s="88"/>
      <c r="G1277" s="315" t="s">
        <v>224</v>
      </c>
      <c r="H1277" s="316"/>
      <c r="I1277" s="28">
        <f>SUM(E1288:E1312)</f>
        <v>0</v>
      </c>
      <c r="J1277" s="317" t="s">
        <v>225</v>
      </c>
      <c r="K1277" s="318"/>
      <c r="L1277" s="305"/>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4" t="s">
        <v>230</v>
      </c>
      <c r="H1278" s="305"/>
      <c r="I1278" s="33">
        <f>E1279-I1277</f>
        <v>0</v>
      </c>
      <c r="J1278" s="289" t="s">
        <v>231</v>
      </c>
      <c r="K1278" s="290"/>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1" t="s">
        <v>237</v>
      </c>
      <c r="H1279" s="292"/>
      <c r="I1279" s="35">
        <f>IF(E1279=0,0,12-(MOD(I1277,12)))</f>
        <v>0</v>
      </c>
      <c r="J1279" s="289" t="s">
        <v>238</v>
      </c>
      <c r="K1279" s="290"/>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1" t="s">
        <v>242</v>
      </c>
      <c r="H1280" s="43" t="s">
        <v>243</v>
      </c>
      <c r="I1280" s="35">
        <f>IF(E1280&lt;&gt;0,1,0)</f>
        <v>0</v>
      </c>
      <c r="J1280" s="291" t="s">
        <v>244</v>
      </c>
      <c r="K1280" s="292"/>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2"/>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1" t="s">
        <v>251</v>
      </c>
      <c r="H1282" s="51" t="s">
        <v>252</v>
      </c>
      <c r="I1282" s="112">
        <f>E1281</f>
        <v>0</v>
      </c>
      <c r="J1282" s="323" t="s">
        <v>253</v>
      </c>
      <c r="K1282" s="324"/>
      <c r="L1282" s="32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2"/>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2"/>
      <c r="C1287" s="294"/>
      <c r="D1287" s="294"/>
      <c r="E1287" s="307"/>
      <c r="F1287" s="294"/>
      <c r="G1287" s="309"/>
      <c r="H1287" s="309"/>
      <c r="I1287" s="309"/>
      <c r="J1287" s="311"/>
      <c r="K1287" s="294"/>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9" t="s">
        <v>367</v>
      </c>
      <c r="C1313" s="320"/>
      <c r="D1313" s="79"/>
      <c r="E1313" s="80"/>
      <c r="F1313" s="80"/>
      <c r="G1313" s="81"/>
      <c r="H1313" s="192"/>
      <c r="I1313" s="192"/>
      <c r="J1313" s="192"/>
      <c r="K1313" s="82"/>
      <c r="L1313" s="319" t="s">
        <v>306</v>
      </c>
      <c r="M1313" s="330"/>
      <c r="N1313" s="330"/>
      <c r="O1313" s="330"/>
      <c r="P1313" s="330"/>
      <c r="Q1313" s="330"/>
      <c r="R1313" s="330"/>
      <c r="S1313" s="330"/>
      <c r="T1313" s="330"/>
      <c r="U1313" s="320"/>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2" t="s">
        <v>222</v>
      </c>
      <c r="C1318" s="313"/>
      <c r="D1318" s="314" t="s">
        <v>223</v>
      </c>
      <c r="E1318" s="305"/>
      <c r="F1318" s="88"/>
      <c r="G1318" s="315" t="s">
        <v>224</v>
      </c>
      <c r="H1318" s="316"/>
      <c r="I1318" s="28">
        <f>SUM(E1329:E1353)</f>
        <v>0</v>
      </c>
      <c r="J1318" s="317" t="s">
        <v>225</v>
      </c>
      <c r="K1318" s="318"/>
      <c r="L1318" s="305"/>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4" t="s">
        <v>230</v>
      </c>
      <c r="H1319" s="305"/>
      <c r="I1319" s="33">
        <f>E1320-I1318</f>
        <v>0</v>
      </c>
      <c r="J1319" s="289" t="s">
        <v>231</v>
      </c>
      <c r="K1319" s="290"/>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1" t="s">
        <v>237</v>
      </c>
      <c r="H1320" s="292"/>
      <c r="I1320" s="35">
        <f>IF(E1320=0,0,12-(MOD(I1318,12)))</f>
        <v>0</v>
      </c>
      <c r="J1320" s="289" t="s">
        <v>238</v>
      </c>
      <c r="K1320" s="290"/>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1" t="s">
        <v>242</v>
      </c>
      <c r="H1321" s="43" t="s">
        <v>243</v>
      </c>
      <c r="I1321" s="35">
        <f>IF(E1321&lt;&gt;0,1,0)</f>
        <v>0</v>
      </c>
      <c r="J1321" s="291" t="s">
        <v>244</v>
      </c>
      <c r="K1321" s="292"/>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2"/>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1" t="s">
        <v>251</v>
      </c>
      <c r="H1323" s="51" t="s">
        <v>252</v>
      </c>
      <c r="I1323" s="112">
        <f>E1322</f>
        <v>0</v>
      </c>
      <c r="J1323" s="323" t="s">
        <v>253</v>
      </c>
      <c r="K1323" s="324"/>
      <c r="L1323" s="32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2"/>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2"/>
      <c r="C1328" s="294"/>
      <c r="D1328" s="294"/>
      <c r="E1328" s="307"/>
      <c r="F1328" s="294"/>
      <c r="G1328" s="309"/>
      <c r="H1328" s="309"/>
      <c r="I1328" s="309"/>
      <c r="J1328" s="311"/>
      <c r="K1328" s="294"/>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9" t="s">
        <v>369</v>
      </c>
      <c r="C1354" s="320"/>
      <c r="D1354" s="79"/>
      <c r="E1354" s="80"/>
      <c r="F1354" s="80"/>
      <c r="G1354" s="81"/>
      <c r="H1354" s="192"/>
      <c r="I1354" s="192"/>
      <c r="J1354" s="192"/>
      <c r="K1354" s="82"/>
      <c r="L1354" s="319" t="s">
        <v>306</v>
      </c>
      <c r="M1354" s="330"/>
      <c r="N1354" s="330"/>
      <c r="O1354" s="330"/>
      <c r="P1354" s="330"/>
      <c r="Q1354" s="330"/>
      <c r="R1354" s="330"/>
      <c r="S1354" s="330"/>
      <c r="T1354" s="330"/>
      <c r="U1354" s="320"/>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2"/>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2"/>
      <c r="C1369" s="294"/>
      <c r="D1369" s="294"/>
      <c r="E1369" s="307"/>
      <c r="F1369" s="294"/>
      <c r="G1369" s="309"/>
      <c r="H1369" s="309"/>
      <c r="I1369" s="309"/>
      <c r="J1369" s="311"/>
      <c r="K1369" s="294"/>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9" t="s">
        <v>371</v>
      </c>
      <c r="C1395" s="320"/>
      <c r="D1395" s="79"/>
      <c r="E1395" s="80"/>
      <c r="F1395" s="80"/>
      <c r="G1395" s="81"/>
      <c r="H1395" s="192"/>
      <c r="I1395" s="192"/>
      <c r="J1395" s="192"/>
      <c r="K1395" s="82"/>
      <c r="L1395" s="319" t="s">
        <v>306</v>
      </c>
      <c r="M1395" s="330"/>
      <c r="N1395" s="330"/>
      <c r="O1395" s="330"/>
      <c r="P1395" s="330"/>
      <c r="Q1395" s="330"/>
      <c r="R1395" s="330"/>
      <c r="S1395" s="330"/>
      <c r="T1395" s="330"/>
      <c r="U1395" s="320"/>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2"/>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2"/>
      <c r="C1410" s="294"/>
      <c r="D1410" s="294"/>
      <c r="E1410" s="307"/>
      <c r="F1410" s="294"/>
      <c r="G1410" s="309"/>
      <c r="H1410" s="309"/>
      <c r="I1410" s="309"/>
      <c r="J1410" s="311"/>
      <c r="K1410" s="294"/>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9" t="s">
        <v>373</v>
      </c>
      <c r="C1436" s="320"/>
      <c r="D1436" s="79"/>
      <c r="E1436" s="80"/>
      <c r="F1436" s="80"/>
      <c r="G1436" s="81"/>
      <c r="H1436" s="192"/>
      <c r="I1436" s="192"/>
      <c r="J1436" s="192"/>
      <c r="K1436" s="82"/>
      <c r="L1436" s="319" t="s">
        <v>306</v>
      </c>
      <c r="M1436" s="330"/>
      <c r="N1436" s="330"/>
      <c r="O1436" s="330"/>
      <c r="P1436" s="330"/>
      <c r="Q1436" s="330"/>
      <c r="R1436" s="330"/>
      <c r="S1436" s="330"/>
      <c r="T1436" s="330"/>
      <c r="U1436" s="320"/>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2"/>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2"/>
      <c r="C1451" s="294"/>
      <c r="D1451" s="294"/>
      <c r="E1451" s="307"/>
      <c r="F1451" s="294"/>
      <c r="G1451" s="309"/>
      <c r="H1451" s="309"/>
      <c r="I1451" s="309"/>
      <c r="J1451" s="311"/>
      <c r="K1451" s="294"/>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9" t="s">
        <v>375</v>
      </c>
      <c r="C1477" s="320"/>
      <c r="D1477" s="79"/>
      <c r="E1477" s="80"/>
      <c r="F1477" s="80"/>
      <c r="G1477" s="81"/>
      <c r="H1477" s="192"/>
      <c r="I1477" s="192"/>
      <c r="J1477" s="192"/>
      <c r="K1477" s="82"/>
      <c r="L1477" s="319" t="s">
        <v>306</v>
      </c>
      <c r="M1477" s="330"/>
      <c r="N1477" s="330"/>
      <c r="O1477" s="330"/>
      <c r="P1477" s="330"/>
      <c r="Q1477" s="330"/>
      <c r="R1477" s="330"/>
      <c r="S1477" s="330"/>
      <c r="T1477" s="330"/>
      <c r="U1477" s="320"/>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2"/>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2"/>
      <c r="C1492" s="294"/>
      <c r="D1492" s="294"/>
      <c r="E1492" s="307"/>
      <c r="F1492" s="294"/>
      <c r="G1492" s="309"/>
      <c r="H1492" s="309"/>
      <c r="I1492" s="309"/>
      <c r="J1492" s="311"/>
      <c r="K1492" s="294"/>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9" t="s">
        <v>377</v>
      </c>
      <c r="C1518" s="320"/>
      <c r="D1518" s="79"/>
      <c r="E1518" s="80"/>
      <c r="F1518" s="80"/>
      <c r="G1518" s="81"/>
      <c r="H1518" s="192"/>
      <c r="I1518" s="192"/>
      <c r="J1518" s="192"/>
      <c r="K1518" s="82"/>
      <c r="L1518" s="319" t="s">
        <v>306</v>
      </c>
      <c r="M1518" s="330"/>
      <c r="N1518" s="330"/>
      <c r="O1518" s="330"/>
      <c r="P1518" s="330"/>
      <c r="Q1518" s="330"/>
      <c r="R1518" s="330"/>
      <c r="S1518" s="330"/>
      <c r="T1518" s="330"/>
      <c r="U1518" s="320"/>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2"/>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2"/>
      <c r="C1533" s="294"/>
      <c r="D1533" s="294"/>
      <c r="E1533" s="307"/>
      <c r="F1533" s="294"/>
      <c r="G1533" s="309"/>
      <c r="H1533" s="309"/>
      <c r="I1533" s="309"/>
      <c r="J1533" s="311"/>
      <c r="K1533" s="294"/>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9" t="s">
        <v>379</v>
      </c>
      <c r="C1559" s="320"/>
      <c r="D1559" s="79"/>
      <c r="E1559" s="80"/>
      <c r="F1559" s="80"/>
      <c r="G1559" s="81"/>
      <c r="H1559" s="192"/>
      <c r="I1559" s="192"/>
      <c r="J1559" s="192"/>
      <c r="K1559" s="82"/>
      <c r="L1559" s="319" t="s">
        <v>306</v>
      </c>
      <c r="M1559" s="330"/>
      <c r="N1559" s="330"/>
      <c r="O1559" s="330"/>
      <c r="P1559" s="330"/>
      <c r="Q1559" s="330"/>
      <c r="R1559" s="330"/>
      <c r="S1559" s="330"/>
      <c r="T1559" s="330"/>
      <c r="U1559" s="320"/>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2"/>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2"/>
      <c r="C1574" s="294"/>
      <c r="D1574" s="294"/>
      <c r="E1574" s="307"/>
      <c r="F1574" s="294"/>
      <c r="G1574" s="309"/>
      <c r="H1574" s="309"/>
      <c r="I1574" s="309"/>
      <c r="J1574" s="311"/>
      <c r="K1574" s="294"/>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9" t="s">
        <v>381</v>
      </c>
      <c r="C1600" s="320"/>
      <c r="D1600" s="79"/>
      <c r="E1600" s="80"/>
      <c r="F1600" s="80"/>
      <c r="G1600" s="81"/>
      <c r="H1600" s="192"/>
      <c r="I1600" s="192"/>
      <c r="J1600" s="192"/>
      <c r="K1600" s="82"/>
      <c r="L1600" s="319" t="s">
        <v>306</v>
      </c>
      <c r="M1600" s="330"/>
      <c r="N1600" s="330"/>
      <c r="O1600" s="330"/>
      <c r="P1600" s="330"/>
      <c r="Q1600" s="330"/>
      <c r="R1600" s="330"/>
      <c r="S1600" s="330"/>
      <c r="T1600" s="330"/>
      <c r="U1600" s="320"/>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2"/>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2"/>
      <c r="C1615" s="294"/>
      <c r="D1615" s="294"/>
      <c r="E1615" s="307"/>
      <c r="F1615" s="294"/>
      <c r="G1615" s="309"/>
      <c r="H1615" s="309"/>
      <c r="I1615" s="309"/>
      <c r="J1615" s="311"/>
      <c r="K1615" s="294"/>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9" t="s">
        <v>383</v>
      </c>
      <c r="C1641" s="320"/>
      <c r="D1641" s="79"/>
      <c r="E1641" s="80"/>
      <c r="F1641" s="80"/>
      <c r="G1641" s="81"/>
      <c r="H1641" s="192"/>
      <c r="I1641" s="192"/>
      <c r="J1641" s="192"/>
      <c r="K1641" s="82"/>
      <c r="L1641" s="319" t="s">
        <v>306</v>
      </c>
      <c r="M1641" s="330"/>
      <c r="N1641" s="330"/>
      <c r="O1641" s="330"/>
      <c r="P1641" s="330"/>
      <c r="Q1641" s="330"/>
      <c r="R1641" s="330"/>
      <c r="S1641" s="330"/>
      <c r="T1641" s="330"/>
      <c r="U1641" s="320"/>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2"/>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2"/>
      <c r="C1656" s="294"/>
      <c r="D1656" s="294"/>
      <c r="E1656" s="307"/>
      <c r="F1656" s="294"/>
      <c r="G1656" s="309"/>
      <c r="H1656" s="309"/>
      <c r="I1656" s="309"/>
      <c r="J1656" s="311"/>
      <c r="K1656" s="294"/>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9" t="s">
        <v>385</v>
      </c>
      <c r="C1682" s="320"/>
      <c r="D1682" s="79"/>
      <c r="E1682" s="80"/>
      <c r="F1682" s="80"/>
      <c r="G1682" s="81"/>
      <c r="H1682" s="192"/>
      <c r="I1682" s="192"/>
      <c r="J1682" s="192"/>
      <c r="K1682" s="82"/>
      <c r="L1682" s="319" t="s">
        <v>306</v>
      </c>
      <c r="M1682" s="330"/>
      <c r="N1682" s="330"/>
      <c r="O1682" s="330"/>
      <c r="P1682" s="330"/>
      <c r="Q1682" s="330"/>
      <c r="R1682" s="330"/>
      <c r="S1682" s="330"/>
      <c r="T1682" s="330"/>
      <c r="U1682" s="320"/>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2"/>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2"/>
      <c r="C1697" s="294"/>
      <c r="D1697" s="294"/>
      <c r="E1697" s="307"/>
      <c r="F1697" s="294"/>
      <c r="G1697" s="309"/>
      <c r="H1697" s="309"/>
      <c r="I1697" s="309"/>
      <c r="J1697" s="311"/>
      <c r="K1697" s="294"/>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9" t="s">
        <v>387</v>
      </c>
      <c r="C1723" s="320"/>
      <c r="D1723" s="79"/>
      <c r="E1723" s="80"/>
      <c r="F1723" s="80"/>
      <c r="G1723" s="81"/>
      <c r="H1723" s="192"/>
      <c r="I1723" s="192"/>
      <c r="J1723" s="192"/>
      <c r="K1723" s="82"/>
      <c r="L1723" s="319" t="s">
        <v>306</v>
      </c>
      <c r="M1723" s="330"/>
      <c r="N1723" s="330"/>
      <c r="O1723" s="330"/>
      <c r="P1723" s="330"/>
      <c r="Q1723" s="330"/>
      <c r="R1723" s="330"/>
      <c r="S1723" s="330"/>
      <c r="T1723" s="330"/>
      <c r="U1723" s="320"/>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2"/>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2"/>
      <c r="C1738" s="294"/>
      <c r="D1738" s="294"/>
      <c r="E1738" s="307"/>
      <c r="F1738" s="294"/>
      <c r="G1738" s="309"/>
      <c r="H1738" s="309"/>
      <c r="I1738" s="309"/>
      <c r="J1738" s="311"/>
      <c r="K1738" s="294"/>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9" t="s">
        <v>389</v>
      </c>
      <c r="C1764" s="320"/>
      <c r="D1764" s="79"/>
      <c r="E1764" s="80"/>
      <c r="F1764" s="80"/>
      <c r="G1764" s="81"/>
      <c r="H1764" s="192"/>
      <c r="I1764" s="192"/>
      <c r="J1764" s="192"/>
      <c r="K1764" s="82"/>
      <c r="L1764" s="319" t="s">
        <v>306</v>
      </c>
      <c r="M1764" s="330"/>
      <c r="N1764" s="330"/>
      <c r="O1764" s="330"/>
      <c r="P1764" s="330"/>
      <c r="Q1764" s="330"/>
      <c r="R1764" s="330"/>
      <c r="S1764" s="330"/>
      <c r="T1764" s="330"/>
      <c r="U1764" s="320"/>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2"/>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2"/>
      <c r="C1779" s="294"/>
      <c r="D1779" s="294"/>
      <c r="E1779" s="307"/>
      <c r="F1779" s="294"/>
      <c r="G1779" s="309"/>
      <c r="H1779" s="309"/>
      <c r="I1779" s="309"/>
      <c r="J1779" s="311"/>
      <c r="K1779" s="294"/>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9" t="s">
        <v>391</v>
      </c>
      <c r="C1805" s="320"/>
      <c r="D1805" s="79"/>
      <c r="E1805" s="80"/>
      <c r="F1805" s="80"/>
      <c r="G1805" s="81"/>
      <c r="H1805" s="192"/>
      <c r="I1805" s="192"/>
      <c r="J1805" s="192"/>
      <c r="K1805" s="82"/>
      <c r="L1805" s="319" t="s">
        <v>306</v>
      </c>
      <c r="M1805" s="330"/>
      <c r="N1805" s="330"/>
      <c r="O1805" s="330"/>
      <c r="P1805" s="330"/>
      <c r="Q1805" s="330"/>
      <c r="R1805" s="330"/>
      <c r="S1805" s="330"/>
      <c r="T1805" s="330"/>
      <c r="U1805" s="320"/>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2"/>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2"/>
      <c r="C1820" s="294"/>
      <c r="D1820" s="294"/>
      <c r="E1820" s="307"/>
      <c r="F1820" s="294"/>
      <c r="G1820" s="309"/>
      <c r="H1820" s="309"/>
      <c r="I1820" s="309"/>
      <c r="J1820" s="311"/>
      <c r="K1820" s="294"/>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9" t="s">
        <v>393</v>
      </c>
      <c r="C1846" s="320"/>
      <c r="D1846" s="79"/>
      <c r="E1846" s="80"/>
      <c r="F1846" s="80"/>
      <c r="G1846" s="81"/>
      <c r="H1846" s="192"/>
      <c r="I1846" s="192"/>
      <c r="J1846" s="192"/>
      <c r="K1846" s="82"/>
      <c r="L1846" s="319" t="s">
        <v>306</v>
      </c>
      <c r="M1846" s="330"/>
      <c r="N1846" s="330"/>
      <c r="O1846" s="330"/>
      <c r="P1846" s="330"/>
      <c r="Q1846" s="330"/>
      <c r="R1846" s="330"/>
      <c r="S1846" s="330"/>
      <c r="T1846" s="330"/>
      <c r="U1846" s="320"/>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2"/>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2"/>
      <c r="C1861" s="294"/>
      <c r="D1861" s="294"/>
      <c r="E1861" s="307"/>
      <c r="F1861" s="294"/>
      <c r="G1861" s="309"/>
      <c r="H1861" s="309"/>
      <c r="I1861" s="309"/>
      <c r="J1861" s="311"/>
      <c r="K1861" s="294"/>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9" t="s">
        <v>395</v>
      </c>
      <c r="C1887" s="320"/>
      <c r="D1887" s="79"/>
      <c r="E1887" s="80"/>
      <c r="F1887" s="80"/>
      <c r="G1887" s="81"/>
      <c r="H1887" s="192"/>
      <c r="I1887" s="192"/>
      <c r="J1887" s="192"/>
      <c r="K1887" s="82"/>
      <c r="L1887" s="319" t="s">
        <v>306</v>
      </c>
      <c r="M1887" s="330"/>
      <c r="N1887" s="330"/>
      <c r="O1887" s="330"/>
      <c r="P1887" s="330"/>
      <c r="Q1887" s="330"/>
      <c r="R1887" s="330"/>
      <c r="S1887" s="330"/>
      <c r="T1887" s="330"/>
      <c r="U1887" s="320"/>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2"/>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2"/>
      <c r="C1902" s="294"/>
      <c r="D1902" s="294"/>
      <c r="E1902" s="307"/>
      <c r="F1902" s="294"/>
      <c r="G1902" s="309"/>
      <c r="H1902" s="309"/>
      <c r="I1902" s="309"/>
      <c r="J1902" s="311"/>
      <c r="K1902" s="294"/>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9" t="s">
        <v>397</v>
      </c>
      <c r="C1928" s="320"/>
      <c r="D1928" s="79"/>
      <c r="E1928" s="80"/>
      <c r="F1928" s="80"/>
      <c r="G1928" s="81"/>
      <c r="H1928" s="192"/>
      <c r="I1928" s="192"/>
      <c r="J1928" s="192"/>
      <c r="K1928" s="82"/>
      <c r="L1928" s="319" t="s">
        <v>306</v>
      </c>
      <c r="M1928" s="330"/>
      <c r="N1928" s="330"/>
      <c r="O1928" s="330"/>
      <c r="P1928" s="330"/>
      <c r="Q1928" s="330"/>
      <c r="R1928" s="330"/>
      <c r="S1928" s="330"/>
      <c r="T1928" s="330"/>
      <c r="U1928" s="320"/>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2"/>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2"/>
      <c r="C1943" s="294"/>
      <c r="D1943" s="294"/>
      <c r="E1943" s="307"/>
      <c r="F1943" s="294"/>
      <c r="G1943" s="309"/>
      <c r="H1943" s="309"/>
      <c r="I1943" s="309"/>
      <c r="J1943" s="311"/>
      <c r="K1943" s="294"/>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9" t="s">
        <v>399</v>
      </c>
      <c r="C1969" s="320"/>
      <c r="D1969" s="79"/>
      <c r="E1969" s="80"/>
      <c r="F1969" s="80"/>
      <c r="G1969" s="81"/>
      <c r="H1969" s="192"/>
      <c r="I1969" s="192"/>
      <c r="J1969" s="192"/>
      <c r="K1969" s="82"/>
      <c r="L1969" s="319" t="s">
        <v>306</v>
      </c>
      <c r="M1969" s="330"/>
      <c r="N1969" s="330"/>
      <c r="O1969" s="330"/>
      <c r="P1969" s="330"/>
      <c r="Q1969" s="330"/>
      <c r="R1969" s="330"/>
      <c r="S1969" s="330"/>
      <c r="T1969" s="330"/>
      <c r="U1969" s="320"/>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2"/>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2"/>
      <c r="C1984" s="294"/>
      <c r="D1984" s="294"/>
      <c r="E1984" s="307"/>
      <c r="F1984" s="294"/>
      <c r="G1984" s="309"/>
      <c r="H1984" s="309"/>
      <c r="I1984" s="309"/>
      <c r="J1984" s="311"/>
      <c r="K1984" s="294"/>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9" t="s">
        <v>401</v>
      </c>
      <c r="C2010" s="320"/>
      <c r="D2010" s="79"/>
      <c r="E2010" s="80"/>
      <c r="F2010" s="80"/>
      <c r="G2010" s="81"/>
      <c r="H2010" s="192"/>
      <c r="I2010" s="192"/>
      <c r="J2010" s="192"/>
      <c r="K2010" s="82"/>
      <c r="L2010" s="319" t="s">
        <v>306</v>
      </c>
      <c r="M2010" s="330"/>
      <c r="N2010" s="330"/>
      <c r="O2010" s="330"/>
      <c r="P2010" s="330"/>
      <c r="Q2010" s="330"/>
      <c r="R2010" s="330"/>
      <c r="S2010" s="330"/>
      <c r="T2010" s="330"/>
      <c r="U2010" s="320"/>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2"/>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2"/>
      <c r="C2025" s="294"/>
      <c r="D2025" s="294"/>
      <c r="E2025" s="307"/>
      <c r="F2025" s="294"/>
      <c r="G2025" s="309"/>
      <c r="H2025" s="309"/>
      <c r="I2025" s="309"/>
      <c r="J2025" s="311"/>
      <c r="K2025" s="294"/>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9" t="s">
        <v>307</v>
      </c>
      <c r="C2051" s="320"/>
      <c r="D2051" s="79"/>
      <c r="E2051" s="80"/>
      <c r="F2051" s="80"/>
      <c r="G2051" s="81"/>
      <c r="H2051" s="192"/>
      <c r="I2051" s="192"/>
      <c r="J2051" s="192"/>
      <c r="K2051" s="82"/>
      <c r="L2051" s="319" t="s">
        <v>306</v>
      </c>
      <c r="M2051" s="330"/>
      <c r="N2051" s="330"/>
      <c r="O2051" s="330"/>
      <c r="P2051" s="330"/>
      <c r="Q2051" s="330"/>
      <c r="R2051" s="330"/>
      <c r="S2051" s="330"/>
      <c r="T2051" s="330"/>
      <c r="U2051" s="320"/>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1:E198">
    <cfRule type="expression" dxfId="1347" priority="1569">
      <formula>AND(OR(C181="NO",C181="REV T",C181="DBL REV",C181="TPL REV",C181="QD REV"),E181&gt;12)</formula>
    </cfRule>
  </conditionalFormatting>
  <conditionalFormatting sqref="C181:C198">
    <cfRule type="expression" dxfId="1346" priority="1568">
      <formula>AND(OR(C182="FST",C182="REV T",C182="DBL REV",C182="TPL REV",C182="QD REV"),C181="Field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085 E1089:E1100">
    <cfRule type="expression" dxfId="885" priority="997">
      <formula>AND(OR(C1083="NO",C1083="REV T",C1083="DBL REV",C1083="TPL REV",C1083="QD REV"),E1083&gt;12)</formula>
    </cfRule>
  </conditionalFormatting>
  <conditionalFormatting sqref="C1083:C1085 C1089: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085:E1088">
    <cfRule type="expression" dxfId="5" priority="2">
      <formula>AND(OR(C1085="NO",C1085="REV T",C1085="DBL REV",C1085="TPL REV",C1085="QD REV"),E1085&gt;12)</formula>
    </cfRule>
  </conditionalFormatting>
  <conditionalFormatting sqref="C1085:C1088">
    <cfRule type="expression" dxfId="4" priority="1">
      <formula>AND(OR(C1086="FST",C1086="REV T",C1086="DBL REV",C1086="TPL REV",C1086="QD REV"),C1085="Field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51290.460000000006</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8450.2599999999984</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3545.38</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54</v>
      </c>
      <c r="F2" s="186">
        <f>PRODUCT(D2:E2)</f>
        <v>6056.1</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14</v>
      </c>
      <c r="K2" s="180">
        <f>COUNTIFS('Assignment Tool'!$E$17:$E$2050, "4",'Assignment Tool'!$F$17:$F$2050,"PED", 'Assignment Tool'!$C$17:$C$2050, "FST",'Assignment Tool'!$K$17:$K$2050,"")</f>
        <v>0</v>
      </c>
      <c r="L2" s="180">
        <f>COUNTIFS('Assignment Tool'!$E$17:$E$2050, "4",'Assignment Tool'!$F$17:$F$2050,"HH", 'Assignment Tool'!$C$17:$C$2050, "FST",'Assignment Tool'!$K$17:$K$2050,"")</f>
        <v>36</v>
      </c>
      <c r="N2" s="181">
        <f>PRODUCT(SUM(G2,J2),D2)</f>
        <v>1570.1000000000001</v>
      </c>
      <c r="O2" s="180">
        <f>PRODUCT(SUM(H2:I2,K2:L2),D2)</f>
        <v>4486</v>
      </c>
      <c r="P2" s="183">
        <f>SUM(N2:N5,F11:F16,F27:F36,F43:F46,F51:F54,N88:N135)</f>
        <v>8450.2599999999984</v>
      </c>
      <c r="Q2" s="182">
        <f>SUM(O2:O5,F17:F26,F37:F42,F47:F50,F55:F58,F60:F67,O88:O135)</f>
        <v>51290.460000000006</v>
      </c>
      <c r="R2" s="126">
        <f>SUM(F69:F71)</f>
        <v>3545.38</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5</v>
      </c>
      <c r="F3" s="186">
        <f>PRODUCT(D3:E3)</f>
        <v>697.09999999999991</v>
      </c>
      <c r="G3" s="181">
        <f>COUNTIFS('Assignment Tool'!$E$17:$E$2050, "6", 'Assignment Tool'!$F$17:$F$2050, "POLE", 'Assignment Tool'!$C$17:$C$2050, "FST",'Assignment Tool'!$K$17:$K$2050,"")</f>
        <v>4</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557.67999999999995</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21</v>
      </c>
      <c r="F4" s="186">
        <f>PRODUCT(D4:E4)</f>
        <v>3565.17</v>
      </c>
      <c r="G4" s="181">
        <f>COUNTIFS('Assignment Tool'!$E$17:$E$2050, "8", 'Assignment Tool'!$F$17:$F$2050, "POLE", 'Assignment Tool'!$C$17:$C$2050, "FST",'Assignment Tool'!$K$17:$K$2050,"")</f>
        <v>3</v>
      </c>
      <c r="H4" s="180">
        <f>COUNTIFS('Assignment Tool'!$E$17:$E$2050, "8", 'Assignment Tool'!$F$17:$F$2050, "PED", 'Assignment Tool'!$C$17:$C$2050, "FST",'Assignment Tool'!$K$17:$K$2050,"")</f>
        <v>0</v>
      </c>
      <c r="I4" s="180">
        <f>COUNTIFS('Assignment Tool'!$E$17:$E$2050, "8", 'Assignment Tool'!$F$17:$F$2050, "HH", 'Assignment Tool'!$C$17:$C$2050, "FST",'Assignment Tool'!$K$17:$K$2050,"")</f>
        <v>18</v>
      </c>
      <c r="N4" s="181">
        <f>PRODUCT(G4,D4)</f>
        <v>509.31000000000006</v>
      </c>
      <c r="O4" s="180">
        <f>PRODUCT(SUM(H4:I4),D4)</f>
        <v>3055.86</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2</v>
      </c>
      <c r="F5" s="186">
        <f>PRODUCT(D5:E5)</f>
        <v>455.9</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2</v>
      </c>
      <c r="N5" s="181">
        <f>PRODUCT(G5,D5)</f>
        <v>0</v>
      </c>
      <c r="O5" s="180">
        <f>PRODUCT(SUM(H5:I5),D5)</f>
        <v>455.9</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3</v>
      </c>
      <c r="F11" s="181">
        <f>E11*D11</f>
        <v>741.54</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3</v>
      </c>
      <c r="F12" s="181">
        <f t="shared" ref="F12:F58" si="1">E12*D12</f>
        <v>645.45000000000005</v>
      </c>
      <c r="Q12" s="21"/>
      <c r="R12" s="21"/>
      <c r="Y12" s="1">
        <v>72</v>
      </c>
      <c r="AA12" s="1">
        <f t="shared" si="0"/>
        <v>132</v>
      </c>
      <c r="AC12" s="1">
        <v>900</v>
      </c>
    </row>
    <row r="13" spans="1:29" x14ac:dyDescent="0.25">
      <c r="A13" s="181">
        <v>100083493</v>
      </c>
      <c r="B13" s="181"/>
      <c r="C13" s="181" t="s">
        <v>505</v>
      </c>
      <c r="D13" s="1">
        <v>183.1</v>
      </c>
      <c r="E13" s="162">
        <f>'Construction Exempt Material'!B19</f>
        <v>12</v>
      </c>
      <c r="F13" s="181">
        <f t="shared" si="1"/>
        <v>2197.1999999999998</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10</v>
      </c>
      <c r="F17" s="180">
        <f t="shared" si="1"/>
        <v>2667.7</v>
      </c>
      <c r="Q17" s="21"/>
      <c r="Y17" s="1">
        <v>132</v>
      </c>
      <c r="AA17" s="1">
        <f t="shared" si="0"/>
        <v>192</v>
      </c>
    </row>
    <row r="18" spans="1:27" x14ac:dyDescent="0.25">
      <c r="A18" s="180">
        <v>100083594</v>
      </c>
      <c r="B18" s="180"/>
      <c r="C18" s="180" t="s">
        <v>510</v>
      </c>
      <c r="D18" s="1">
        <v>233.96</v>
      </c>
      <c r="E18" s="162">
        <f>'Construction Exempt Material'!B24</f>
        <v>27</v>
      </c>
      <c r="F18" s="180">
        <f t="shared" si="1"/>
        <v>6316.92</v>
      </c>
      <c r="Q18" s="21"/>
      <c r="Y18" s="1">
        <v>144</v>
      </c>
      <c r="AA18" s="1">
        <f t="shared" si="0"/>
        <v>204</v>
      </c>
    </row>
    <row r="19" spans="1:27" x14ac:dyDescent="0.25">
      <c r="A19" s="180">
        <v>100083593</v>
      </c>
      <c r="B19" s="180"/>
      <c r="C19" s="180" t="s">
        <v>511</v>
      </c>
      <c r="D19" s="1">
        <v>226.44</v>
      </c>
      <c r="E19" s="162">
        <f>'Construction Exempt Material'!B25</f>
        <v>3</v>
      </c>
      <c r="F19" s="180">
        <f t="shared" si="1"/>
        <v>679.31999999999994</v>
      </c>
      <c r="Y19" s="1">
        <v>216</v>
      </c>
      <c r="AA19" s="1">
        <f t="shared" si="0"/>
        <v>216</v>
      </c>
    </row>
    <row r="20" spans="1:27" x14ac:dyDescent="0.25">
      <c r="A20" s="180">
        <v>100083592</v>
      </c>
      <c r="B20" s="180"/>
      <c r="C20" s="180" t="s">
        <v>512</v>
      </c>
      <c r="D20" s="1">
        <v>199.86</v>
      </c>
      <c r="E20" s="162">
        <f>'Construction Exempt Material'!B26</f>
        <v>38</v>
      </c>
      <c r="F20" s="180">
        <f t="shared" si="1"/>
        <v>7594.68</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4</v>
      </c>
      <c r="F22" s="180">
        <f t="shared" si="1"/>
        <v>1067.08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2</v>
      </c>
      <c r="F47" s="180">
        <f t="shared" si="1"/>
        <v>533.54</v>
      </c>
    </row>
    <row r="48" spans="1:6" x14ac:dyDescent="0.25">
      <c r="A48" s="180">
        <v>100089547</v>
      </c>
      <c r="B48" s="180"/>
      <c r="C48" s="180" t="s">
        <v>540</v>
      </c>
      <c r="D48" s="1">
        <v>533.53</v>
      </c>
      <c r="E48" s="162">
        <f>'Construction Exempt Material'!B54</f>
        <v>2</v>
      </c>
      <c r="F48" s="180">
        <f t="shared" si="1"/>
        <v>1067.06</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67</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58</v>
      </c>
      <c r="F62" s="180">
        <f t="shared" si="2"/>
        <v>8348.52</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6</v>
      </c>
      <c r="F65" s="180">
        <f>E65*D65</f>
        <v>3929.7000000000003</v>
      </c>
    </row>
    <row r="66" spans="1:16" x14ac:dyDescent="0.25">
      <c r="A66" s="180">
        <v>100006155</v>
      </c>
      <c r="B66" s="180"/>
      <c r="C66" s="180" t="s">
        <v>562</v>
      </c>
      <c r="D66" s="1">
        <v>87.96</v>
      </c>
      <c r="E66" s="1">
        <f>'Construction Exempt Material'!B12</f>
        <v>4</v>
      </c>
      <c r="F66" s="180">
        <f t="shared" si="2"/>
        <v>351.84</v>
      </c>
      <c r="G66" s="1">
        <f>SUM(I5,I124:I135,J61)</f>
        <v>2</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33</v>
      </c>
      <c r="F69" s="126">
        <f>E69*D69</f>
        <v>747.78</v>
      </c>
    </row>
    <row r="70" spans="1:16" x14ac:dyDescent="0.25">
      <c r="A70" s="1">
        <v>100069989</v>
      </c>
      <c r="B70" s="1" t="s">
        <v>565</v>
      </c>
      <c r="C70" s="1" t="s">
        <v>566</v>
      </c>
      <c r="D70" s="1">
        <v>0.65</v>
      </c>
      <c r="E70" s="1">
        <f>'Construction Exempt Material'!B69</f>
        <v>4304</v>
      </c>
      <c r="F70" s="126">
        <f>E70*D70</f>
        <v>2797.6</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1</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1</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225.68</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2</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2</v>
      </c>
      <c r="N115" s="1">
        <f t="shared" si="9"/>
        <v>0</v>
      </c>
      <c r="O115" s="1">
        <f t="shared" si="10"/>
        <v>348.82</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1</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1</v>
      </c>
      <c r="N118" s="1">
        <f t="shared" si="9"/>
        <v>0</v>
      </c>
      <c r="O118" s="1">
        <f t="shared" si="10"/>
        <v>303.63</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6</v>
      </c>
      <c r="G123" s="181">
        <f>COUNTIFS('Assignment Tool'!$E$17:$E$2050, "8", 'Assignment Tool'!$F$17:$F$2050, "POLE", 'Assignment Tool'!$C$17:$C$2050, "FST",'Assignment Tool'!$K$17:$K$2050,"1000")</f>
        <v>2</v>
      </c>
      <c r="H123" s="180">
        <f>COUNTIFS('Assignment Tool'!$E$17:$E$2050, "8", 'Assignment Tool'!$F$17:$F$2050, "PED", 'Assignment Tool'!$C$17:$C$2050, "FST",'Assignment Tool'!$K$17:$K$2050,"1000")</f>
        <v>0</v>
      </c>
      <c r="I123" s="180">
        <f>COUNTIFS('Assignment Tool'!$E$17:$E$2050, "8", 'Assignment Tool'!$F$17:$F$2050, "HH", 'Assignment Tool'!$C$17:$C$2050, "FST",'Assignment Tool'!$K$17:$K$2050,"1000")</f>
        <v>4</v>
      </c>
      <c r="N123" s="1">
        <f t="shared" si="9"/>
        <v>744.86</v>
      </c>
      <c r="O123" s="1">
        <f t="shared" si="10"/>
        <v>1489.72</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829</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54</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5</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21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58</v>
      </c>
      <c r="C11" s="158" t="s">
        <v>90</v>
      </c>
      <c r="D11" s="244">
        <v>200001922</v>
      </c>
      <c r="E11" s="244" t="s">
        <v>686</v>
      </c>
      <c r="F11" s="220"/>
      <c r="G11" s="235">
        <f>Data!E94</f>
        <v>1</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6</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3</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3</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12</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10</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27</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3</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38</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2</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1</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6</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2</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4304</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disablePrompts="1"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2024-05-29T15:20:42Z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