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3. -A02SNQQ (F2)- ALABAMA\IQC1\"/>
    </mc:Choice>
  </mc:AlternateContent>
  <xr:revisionPtr revIDLastSave="0" documentId="13_ncr:1_{D98E8130-D148-4A05-8B62-7862B3EC5543}"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28920" yWindow="271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6"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5"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Z982" i="29" l="1"/>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3" i="34" l="1"/>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V953" i="29" s="1"/>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84" i="29" l="1"/>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<sst xmlns="http://schemas.openxmlformats.org/spreadsheetml/2006/main" count="8076" uniqueCount="833">
  <si>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</si>
  <si>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</si>
  <si>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</si>
  <si>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</si>
  <si>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</si>
  <si>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</si>
  <si>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</si>
  <si>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</si>
  <si>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</si>
  <si>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</si>
  <si>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</si>
  <si>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</si>
  <si>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</si>
  <si>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</si>
  <si>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</si>
  <si>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</si>
  <si>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</si>
  <si>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</si>
  <si>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</si>
  <si>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</si>
  <si>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</si>
  <si>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</si>
  <si>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</si>
  <si>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</si>
  <si>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</si>
  <si>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</si>
  <si>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</si>
  <si>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</si>
  <si>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</si>
  <si>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</si>
  <si>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</si>
  <si>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</si>
  <si>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</si>
  <si>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</si>
  <si>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</si>
  <si>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</si>
  <si>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</si>
  <si>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</si>
  <si>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</si>
  <si>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</si>
  <si>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</si>
  <si>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</si>
  <si>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</si>
  <si>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</si>
  <si>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</si>
  <si>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</si>
  <si>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</si>
  <si>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</si>
  <si>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</si>
  <si>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</si>
  <si>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</si>
  <si>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</si>
  <si>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</si>
  <si>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</si>
  <si>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</si>
  <si>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</si>
  <si>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</si>
  <si>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</si>
  <si>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</si>
  <si>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</si>
  <si>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</si>
  <si>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</si>
  <si>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</si>
  <si>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</si>
  <si>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</si>
  <si>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</si>
  <si>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</si>
  <si>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</si>
  <si>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</si>
  <si>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</si>
  <si>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</si>
  <si>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</si>
  <si>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</si>
  <si>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</si>
  <si>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</si>
  <si>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</si>
  <si>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</si>
  <si>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</si>
  <si>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</si>
  <si>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</si>
  <si>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</si>
  <si>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</si>
  <si>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</si>
  <si>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</si>
  <si>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</si>
  <si>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</si>
  <si>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</si>
  <si>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</si>
  <si>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</si>
  <si>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</si>
  <si>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</si>
  <si>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</si>
  <si>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</si>
  <si>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</si>
  <si>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</si>
  <si>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</si>
  <si>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</si>
  <si>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</si>
  <si>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</si>
  <si>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</si>
  <si>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</si>
  <si>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</si>
  <si>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</si>
  <si>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</si>
  <si>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</si>
  <si>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</si>
  <si>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</si>
  <si>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</si>
  <si>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</si>
  <si>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</si>
  <si>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</si>
  <si>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</si>
  <si>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</si>
  <si>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</si>
  <si>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</si>
  <si>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</si>
  <si>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</si>
  <si>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</si>
  <si>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</si>
  <si>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</si>
  <si>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</si>
  <si>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</si>
  <si>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</si>
  <si>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</si>
  <si>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</si>
  <si>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</si>
  <si>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</si>
  <si>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</si>
  <si>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</si>
  <si>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</si>
  <si>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</si>
  <si>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</si>
  <si>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</si>
  <si>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</si>
  <si>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</si>
  <si>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</si>
  <si>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</si>
  <si>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</si>
  <si>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</si>
  <si>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</si>
  <si>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</si>
  <si>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</si>
  <si>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</si>
  <si>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</si>
  <si>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</si>
  <si>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</si>
  <si>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</si>
  <si>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</si>
  <si>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</si>
  <si>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</si>
  <si>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</si>
  <si>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</si>
  <si>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</si>
  <si>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</si>
  <si>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</si>
  <si>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</si>
  <si>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</si>
  <si>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</si>
  <si>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</si>
  <si>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</si>
  <si>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</si>
  <si>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</si>
  <si>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</si>
  <si>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</si>
  <si>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</si>
  <si>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</si>
  <si>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</si>
  <si>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</si>
  <si>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</si>
  <si>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</si>
  <si>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</si>
  <si>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</si>
  <si>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</si>
  <si>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</si>
  <si>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</si>
  <si>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</si>
  <si>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</si>
  <si>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</si>
  <si>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</si>
  <si>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</si>
  <si>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</si>
  <si>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</si>
  <si>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</si>
  <si>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</si>
  <si>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</si>
  <si>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</si>
  <si>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</si>
  <si>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</si>
  <si>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</si>
  <si>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</si>
  <si>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</si>
  <si>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</si>
  <si>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</si>
  <si>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</si>
  <si>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</si>
  <si>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</si>
  <si>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</si>
  <si>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</si>
  <si>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</si>
  <si>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</si>
  <si>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</si>
  <si>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</si>
  <si>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</si>
  <si>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</si>
  <si>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</si>
  <si>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</si>
  <si>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</si>
  <si>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</si>
  <si>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</si>
  <si>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</si>
  <si>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</si>
  <si>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</si>
  <si>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</si>
  <si>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</si>
  <si>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</si>
  <si>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</si>
  <si>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</si>
  <si>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</si>
  <si>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</si>
  <si>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</si>
  <si>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</si>
  <si>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</si>
  <si>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</si>
  <si>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</si>
  <si>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</si>
  <si>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</si>
  <si>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</si>
  <si>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</si>
  <si>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</si>
  <si>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</si>
  <si>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</si>
  <si>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</si>
  <si>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</si>
  <si>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</si>
  <si>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</si>
  <si>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</si>
  <si>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</si>
  <si>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</si>
  <si>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</si>
  <si>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</si>
  <si>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</si>
  <si>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</si>
  <si>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</si>
  <si>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</si>
  <si>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</si>
  <si>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</si>
  <si>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</si>
  <si>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</si>
  <si>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</si>
  <si>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</si>
  <si>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</si>
  <si>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</si>
  <si>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</si>
  <si>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</si>
  <si>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</si>
  <si>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</si>
  <si>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</si>
  <si>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</si>
  <si>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</si>
  <si>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</si>
  <si>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</si>
  <si>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</si>
  <si>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</si>
  <si>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</si>
  <si>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</si>
  <si>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</si>
  <si>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</si>
  <si>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</si>
  <si>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</si>
  <si>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</si>
  <si>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</si>
  <si>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</si>
  <si>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</si>
  <si>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</si>
  <si>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</si>
  <si>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</si>
  <si>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</si>
  <si>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</si>
  <si>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</si>
  <si>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</si>
  <si>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</si>
  <si>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</si>
  <si>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</si>
  <si>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</si>
  <si>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</si>
  <si>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</si>
  <si>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</si>
  <si>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</si>
  <si>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</si>
  <si>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</si>
  <si>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</si>
  <si>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</si>
  <si>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</si>
  <si>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</si>
  <si>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</si>
  <si>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</si>
  <si>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</si>
  <si>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</si>
  <si>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</si>
  <si>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</si>
  <si>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</si>
  <si>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</si>
  <si>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</si>
  <si>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</si>
  <si>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</si>
  <si>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</si>
  <si>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</si>
  <si>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</si>
  <si>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</si>
  <si>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</si>
  <si>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</si>
  <si>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</si>
  <si>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</si>
  <si>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</si>
  <si>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</si>
  <si>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</si>
  <si>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</si>
  <si>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</si>
  <si>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</si>
  <si>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</si>
  <si>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</si>
  <si>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</si>
  <si>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</si>
  <si>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</si>
  <si>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</si>
  <si>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</si>
  <si>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</si>
  <si>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</si>
  <si>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</si>
  <si>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</si>
  <si>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</si>
  <si>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</si>
  <si>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</si>
  <si>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</si>
  <si>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</si>
  <si>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</si>
  <si>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</si>
  <si>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</si>
  <si>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</si>
  <si>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</si>
  <si>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</si>
  <si>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</si>
  <si>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</si>
  <si>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</si>
  <si>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</si>
  <si>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</si>
  <si>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</si>
  <si>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</si>
  <si>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</si>
  <si>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</si>
  <si>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</si>
  <si>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</si>
  <si>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</si>
  <si>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</si>
  <si>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</si>
  <si>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</si>
  <si>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</si>
  <si>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</si>
  <si>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</si>
  <si>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</si>
  <si>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</si>
  <si>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</si>
  <si>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</si>
  <si>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</si>
  <si>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</si>
  <si>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</si>
  <si>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</si>
  <si>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</si>
  <si>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</si>
  <si>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</si>
  <si>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</si>
  <si>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</si>
  <si>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</si>
  <si>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</si>
  <si>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</si>
  <si>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</si>
  <si>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</si>
  <si>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</si>
  <si>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</si>
  <si>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</si>
  <si>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</si>
  <si>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</si>
  <si>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</si>
  <si>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</si>
  <si>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</si>
  <si>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</si>
  <si>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</si>
  <si>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</si>
  <si>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</si>
  <si>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</si>
  <si>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</si>
  <si>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</si>
  <si>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</si>
  <si>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</si>
  <si>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</si>
  <si>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</si>
  <si>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</si>
  <si>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</si>
  <si>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</si>
  <si>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</si>
  <si>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</si>
  <si>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</si>
  <si>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</si>
  <si>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</si>
  <si>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</si>
  <si>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</si>
  <si>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</si>
  <si>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</si>
  <si>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</si>
  <si>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</si>
  <si>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</si>
  <si>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</si>
  <si>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</si>
  <si>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</si>
  <si>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</si>
  <si>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</si>
  <si>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</si>
  <si>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</si>
  <si>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</si>
  <si>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</si>
  <si>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</si>
  <si>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</si>
  <si>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</si>
  <si>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</si>
  <si>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</si>
  <si>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</si>
  <si>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</si>
  <si>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</si>
  <si>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</si>
  <si>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</si>
  <si>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</si>
  <si>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</si>
  <si>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</si>
  <si>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</si>
  <si>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</si>
  <si>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</si>
  <si>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</si>
  <si>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</si>
  <si>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</si>
  <si>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</si>
  <si>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</si>
  <si>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</si>
  <si>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</si>
  <si>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</si>
  <si>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</si>
  <si>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</si>
  <si>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</si>
  <si>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</si>
  <si>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</si>
  <si>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</si>
  <si>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</si>
  <si>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</si>
  <si>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</si>
  <si>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</si>
  <si>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</si>
  <si>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</si>
  <si>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</si>
  <si>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</si>
  <si>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</si>
  <si>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</si>
  <si>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</si>
  <si>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</si>
  <si>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</si>
  <si>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</si>
  <si>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</si>
  <si>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</si>
  <si>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</si>
  <si>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</si>
  <si>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</si>
  <si>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</si>
  <si>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</si>
  <si>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</si>
  <si>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</si>
  <si>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</si>
  <si>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</si>
  <si>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</si>
  <si>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</si>
  <si>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</si>
  <si>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</si>
  <si>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</si>
  <si>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</si>
  <si>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</si>
  <si>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</si>
  <si>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</si>
  <si>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</si>
  <si>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</si>
  <si>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</si>
  <si>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</si>
  <si>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</si>
  <si>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</si>
  <si>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</si>
  <si>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</si>
  <si>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</si>
  <si>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</si>
  <si>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</si>
  <si>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</si>
  <si>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</si>
  <si>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</si>
  <si>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</si>
  <si>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</si>
  <si>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</si>
  <si>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</si>
  <si>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</si>
  <si>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</si>
  <si>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</si>
  <si>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</si>
  <si>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</si>
  <si>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</si>
  <si>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</si>
  <si>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</si>
  <si>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</si>
  <si>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</si>
  <si>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</si>
  <si>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</si>
  <si>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</si>
  <si>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</si>
  <si>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</si>
  <si>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</si>
  <si>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</si>
  <si>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</si>
  <si>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</si>
  <si>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</si>
  <si>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</si>
  <si>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</si>
  <si>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</si>
  <si>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</si>
  <si>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</si>
  <si>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</si>
  <si>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</si>
  <si>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</si>
  <si>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</si>
  <si>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</si>
  <si>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</si>
  <si>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</si>
  <si>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</si>
  <si>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</si>
  <si>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</si>
  <si>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</si>
  <si>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</si>
  <si>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</si>
  <si>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</si>
  <si>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</si>
  <si>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</si>
  <si>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</si>
  <si>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</si>
  <si>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</si>
  <si>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</si>
  <si>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</si>
  <si>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</si>
  <si>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</si>
  <si>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</si>
  <si>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</si>
  <si>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</si>
  <si>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</si>
  <si>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</si>
  <si>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</si>
  <si>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</si>
  <si>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</si>
  <si>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</si>
  <si>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</si>
  <si>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</si>
  <si>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</si>
  <si>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</si>
  <si>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</si>
  <si>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</si>
  <si>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</si>
  <si>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</si>
  <si>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</si>
  <si>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</si>
  <si>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</si>
  <si>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</si>
  <si>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</si>
  <si>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</si>
  <si>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</si>
  <si>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</si>
  <si>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</si>
  <si>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</si>
  <si>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</si>
  <si>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</si>
  <si>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</si>
  <si>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</si>
  <si>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</si>
  <si>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</si>
  <si>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</si>
  <si>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</si>
  <si>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</si>
  <si>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</si>
  <si>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</si>
  <si>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</si>
  <si>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</si>
  <si>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</si>
  <si>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</si>
  <si>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</si>
  <si>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</si>
  <si>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</si>
  <si>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</si>
  <si>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</si>
  <si>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</si>
  <si>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</si>
  <si>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</si>
  <si>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</si>
  <si>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</si>
  <si>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</si>
  <si>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</si>
  <si>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</si>
  <si>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</si>
  <si>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</si>
  <si>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</si>
  <si>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</si>
  <si>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</si>
  <si>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</si>
  <si>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</si>
  <si>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</si>
  <si>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</si>
  <si>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</si>
  <si>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</si>
  <si>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</si>
  <si>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</si>
  <si>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</si>
  <si>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</si>
  <si>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</si>
  <si>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</si>
  <si>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</si>
  <si>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</si>
  <si>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</si>
  <si>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</si>
  <si>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</si>
  <si>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</si>
  <si>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</si>
  <si>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</si>
  <si>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</si>
  <si>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</si>
  <si>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</si>
  <si>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</si>
  <si>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</si>
  <si>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</si>
  <si>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</si>
  <si>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</si>
  <si>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</si>
  <si>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</si>
  <si>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</si>
  <si>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</si>
  <si>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</si>
  <si>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</si>
  <si>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</si>
  <si>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</si>
  <si>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</si>
  <si>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</si>
  <si>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</si>
  <si>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</si>
  <si>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</si>
  <si>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</si>
  <si>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</si>
  <si>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</si>
  <si>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</si>
  <si>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</si>
  <si>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</si>
  <si>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</si>
  <si>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</si>
  <si>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</si>
  <si>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</si>
  <si>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</si>
  <si>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</si>
  <si>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</si>
  <si>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</si>
  <si>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</si>
  <si>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</si>
  <si>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</si>
  <si>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</si>
  <si>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</si>
  <si>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</si>
  <si>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</si>
  <si>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</si>
  <si>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</si>
  <si>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</si>
  <si>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</si>
  <si>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</si>
  <si>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</si>
  <si>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</si>
  <si>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</si>
  <si>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</si>
  <si>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</si>
  <si>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</si>
  <si>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</si>
  <si>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</si>
  <si>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</si>
  <si>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</si>
  <si>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</si>
  <si>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</si>
  <si>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</si>
  <si>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</si>
  <si>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</si>
  <si>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</si>
  <si>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</si>
  <si>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</si>
  <si>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</si>
  <si>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</si>
  <si>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</si>
  <si>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</si>
  <si>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</si>
  <si>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</si>
  <si>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</si>
  <si>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</si>
  <si>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</si>
  <si>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</si>
  <si>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</si>
  <si>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</si>
  <si>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</si>
  <si>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</si>
  <si>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</si>
  <si>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</si>
  <si>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</si>
  <si>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</si>
  <si>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</si>
  <si>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</si>
  <si>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</si>
  <si>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</si>
  <si>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</si>
  <si>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</si>
  <si>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</si>
  <si>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</si>
  <si>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</si>
  <si>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</si>
  <si>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</si>
  <si>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</si>
  <si>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</si>
  <si>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</si>
  <si>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</si>
  <si>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</si>
  <si>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</si>
  <si>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</si>
  <si>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</si>
  <si>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</si>
  <si>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</si>
  <si>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</si>
  <si>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</si>
  <si>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</si>
  <si>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REEL 16 (361-576)</t>
  </si>
  <si>
    <t>F 6679-1 HIGHWAY 22</t>
  </si>
  <si>
    <t>F 6691-1 HIGHWAY 22</t>
  </si>
  <si>
    <t>F 6875-1 HIGHWAY 22</t>
  </si>
  <si>
    <t>F 6475-1 HIGHWAY 22</t>
  </si>
  <si>
    <t>F 6387-1 HIGHWAY 22</t>
  </si>
  <si>
    <t>OPP 29-1 SALTERS PATH</t>
  </si>
  <si>
    <t>F 45-1 AUTUMN LN</t>
  </si>
  <si>
    <t>OPP 166-1 SALTERS PATH</t>
  </si>
  <si>
    <t>F 6199-1 HIGHWAY 22</t>
  </si>
  <si>
    <t>F 6065-1 HIGHWAY 22</t>
  </si>
  <si>
    <t>F 6011-1 HIGHWAY 22</t>
  </si>
  <si>
    <t>F 5926-1 HIGHWAY 22</t>
  </si>
  <si>
    <t>F 5730-1 HIGHWAY 22</t>
  </si>
  <si>
    <t>F 130-1 TRIPLE B DR</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</si>
  <si>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</si>
  <si>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</si>
  <si>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</si>
  <si>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</si>
  <si>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</si>
  <si>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</si>
  <si>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</si>
  <si>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</si>
  <si>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</si>
  <si>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</si>
  <si>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</si>
  <si>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</si>
  <si>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</si>
  <si>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</si>
  <si>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</si>
  <si>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</si>
  <si>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</si>
  <si>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</si>
  <si>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</si>
  <si>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</si>
  <si>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</si>
  <si>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</si>
  <si>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</si>
  <si>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</si>
  <si>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</si>
  <si>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</si>
  <si>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</si>
  <si>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</si>
  <si>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</si>
  <si>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</si>
  <si>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</si>
  <si>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OPP 200-1 STAMPS JUNCTION</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</si>
  <si>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</si>
  <si>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</si>
  <si>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</si>
  <si>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</si>
  <si>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</si>
  <si>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</si>
  <si>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</si>
  <si>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</si>
  <si>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</si>
  <si>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</si>
  <si>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</si>
  <si>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</si>
  <si>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</si>
  <si>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</si>
  <si>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</si>
  <si>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</si>
  <si>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</si>
  <si>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</si>
  <si>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F 95-2 ALBRIGHT FARM RD</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</si>
  <si>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</si>
  <si>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</si>
  <si>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</si>
  <si>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</si>
  <si>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</si>
  <si>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</si>
  <si>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</si>
  <si>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</si>
  <si>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</si>
  <si>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</si>
  <si>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OPP 480-2 HIGHWAY 107</t>
  </si>
  <si>
    <t>REEL3</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</si>
  <si>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</si>
  <si>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</si>
  <si>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</si>
  <si>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</si>
  <si>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</si>
  <si>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</si>
  <si>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</si>
  <si>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</si>
  <si>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</si>
  <si>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</si>
  <si>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</si>
  <si>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</si>
  <si>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</si>
  <si>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REEL 15 (361-576)</t>
  </si>
  <si>
    <t>F 6577-2 HIGHWAY 22</t>
  </si>
  <si>
    <t>F 1005-1 PARKERS COVE</t>
  </si>
  <si>
    <t>F 1013-1 PARKERS COVE</t>
  </si>
  <si>
    <t>F 1021-1 PARKERS COVE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</si>
</sst>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25" fillId="8" borderId="9" xfId="0" applyFont="1" applyFill="1" applyBorder="1" applyAlignment="1" applyProtection="1">
      <alignment horizontal="center" wrapText="1"/>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6">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5" dataDxfId="1623" headerRowBorderDxfId="1624" tableBorderDxfId="1622" totalsRowBorderDxfId="1621">
  <autoFilter ref="A1:AP499" xr:uid="{00000000-0009-0000-0100-000003000000}"/>
  <tableColumns count="42">
    <tableColumn id="1" xr3:uid="{00000000-0010-0000-0000-000001000000}" name="DWG#" dataDxfId="1620"/>
    <tableColumn id="61" xr3:uid="{00000000-0010-0000-0000-00003D000000}" name="10x15 HH" dataDxfId="1619"/>
    <tableColumn id="9" xr3:uid="{00000000-0010-0000-0000-000009000000}" name="IDUCT 1" dataDxfId="1618"/>
    <tableColumn id="10" xr3:uid="{00000000-0010-0000-0000-00000A000000}" name="IDUCT 2" dataDxfId="1617"/>
    <tableColumn id="11" xr3:uid="{00000000-0010-0000-0000-00000B000000}" name="IDUCT 3" dataDxfId="1616"/>
    <tableColumn id="12" xr3:uid="{00000000-0010-0000-0000-00000C000000}" name="IDUCT 4" dataDxfId="1615"/>
    <tableColumn id="13" xr3:uid="{00000000-0010-0000-0000-00000D000000}" name="IDUCT 5" dataDxfId="1614"/>
    <tableColumn id="14" xr3:uid="{00000000-0010-0000-0000-00000E000000}" name="IDUCT 6" dataDxfId="1613"/>
    <tableColumn id="15" xr3:uid="{00000000-0010-0000-0000-00000F000000}" name="IDUCT 7" dataDxfId="1612"/>
    <tableColumn id="16" xr3:uid="{00000000-0010-0000-0000-000010000000}" name="IDUCT 8" dataDxfId="1611"/>
    <tableColumn id="17" xr3:uid="{00000000-0010-0000-0000-000011000000}" name="IDUCT 9" dataDxfId="1610"/>
    <tableColumn id="18" xr3:uid="{00000000-0010-0000-0000-000012000000}" name="IDUCT 10" dataDxfId="1609"/>
    <tableColumn id="19" xr3:uid="{00000000-0010-0000-0000-000013000000}" name="IDUCT 11" dataDxfId="1608"/>
    <tableColumn id="20" xr3:uid="{00000000-0010-0000-0000-000014000000}" name="IDUCT 12" dataDxfId="1607"/>
    <tableColumn id="21" xr3:uid="{00000000-0010-0000-0000-000015000000}" name="IDUCT 13" dataDxfId="1606"/>
    <tableColumn id="22" xr3:uid="{00000000-0010-0000-0000-000016000000}" name="IDUCT 14" dataDxfId="1605"/>
    <tableColumn id="23" xr3:uid="{00000000-0010-0000-0000-000017000000}" name="IDUCT 15" dataDxfId="1604"/>
    <tableColumn id="24" xr3:uid="{00000000-0010-0000-0000-000018000000}" name="IDUCT 16" dataDxfId="1603"/>
    <tableColumn id="25" xr3:uid="{00000000-0010-0000-0000-000019000000}" name="IDUCT 17" dataDxfId="1602"/>
    <tableColumn id="26" xr3:uid="{00000000-0010-0000-0000-00001A000000}" name="IDUCT 18" dataDxfId="1601"/>
    <tableColumn id="27" xr3:uid="{00000000-0010-0000-0000-00001B000000}" name="IDUCT 19" dataDxfId="1600"/>
    <tableColumn id="28" xr3:uid="{00000000-0010-0000-0000-00001C000000}" name="IDUCT 20" dataDxfId="1599"/>
    <tableColumn id="29" xr3:uid="{00000000-0010-0000-0000-00001D000000}" name="Pullback IDUCT 1" dataDxfId="1598"/>
    <tableColumn id="30" xr3:uid="{00000000-0010-0000-0000-00001E000000}" name="Pullback IDUCT 2" dataDxfId="1597"/>
    <tableColumn id="31" xr3:uid="{00000000-0010-0000-0000-00001F000000}" name="Pullback IDUCT 3" dataDxfId="1596"/>
    <tableColumn id="32" xr3:uid="{00000000-0010-0000-0000-000020000000}" name="Pullback IDUCT 4" dataDxfId="1595"/>
    <tableColumn id="33" xr3:uid="{00000000-0010-0000-0000-000021000000}" name="Pullback IDUCT 5" dataDxfId="1594"/>
    <tableColumn id="34" xr3:uid="{00000000-0010-0000-0000-000022000000}" name="Pullback IDUCT 6" dataDxfId="1593"/>
    <tableColumn id="35" xr3:uid="{00000000-0010-0000-0000-000023000000}" name="Pullback IDUCT 7" dataDxfId="1592"/>
    <tableColumn id="36" xr3:uid="{00000000-0010-0000-0000-000024000000}" name="Pullback IDUCT 8" dataDxfId="1591"/>
    <tableColumn id="37" xr3:uid="{00000000-0010-0000-0000-000025000000}" name="Pullback IDUCT 9" dataDxfId="1590"/>
    <tableColumn id="38" xr3:uid="{00000000-0010-0000-0000-000026000000}" name="Pullback IDUCT 10" dataDxfId="1589"/>
    <tableColumn id="49" xr3:uid="{00000000-0010-0000-0000-000031000000}" name="ROD Duct 1" dataDxfId="1588"/>
    <tableColumn id="50" xr3:uid="{00000000-0010-0000-0000-000032000000}" name="ROD Duct 2" dataDxfId="1587"/>
    <tableColumn id="51" xr3:uid="{00000000-0010-0000-0000-000033000000}" name="ROD Duct 3" dataDxfId="1586"/>
    <tableColumn id="52" xr3:uid="{00000000-0010-0000-0000-000034000000}" name="ROD Duct 4" dataDxfId="1585"/>
    <tableColumn id="53" xr3:uid="{00000000-0010-0000-0000-000035000000}" name="ROD Duct 5" dataDxfId="1584"/>
    <tableColumn id="54" xr3:uid="{00000000-0010-0000-0000-000036000000}" name="ROD Duct 6" dataDxfId="1583"/>
    <tableColumn id="55" xr3:uid="{00000000-0010-0000-0000-000037000000}" name="ROD Duct 7" dataDxfId="1582"/>
    <tableColumn id="56" xr3:uid="{00000000-0010-0000-0000-000038000000}" name="ROD Duct 8" dataDxfId="1581"/>
    <tableColumn id="57" xr3:uid="{00000000-0010-0000-0000-000039000000}" name="ROD Duct 9" dataDxfId="1580"/>
    <tableColumn id="58" xr3:uid="{00000000-0010-0000-0000-00003A000000}" name="ROD Duct 10" dataDxfId="157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4</v>
      </c>
    </row>
    <row r="6" spans="1:11" x14ac:dyDescent="0.25">
      <c r="A6" s="118" t="str">
        <f t="shared" si="0"/>
        <v>F 6875-1 HIGHWAY 22</v>
      </c>
      <c r="G6" t="str">
        <f>IF('Assignment Tool'!C6="","",IF('Assignment Tool'!C6="FST",'Assignment Tool'!D6,""))</f>
        <v/>
      </c>
      <c r="H6">
        <v>6</v>
      </c>
      <c r="I6">
        <f t="shared" si="1"/>
        <v>29</v>
      </c>
      <c r="J6" t="str">
        <f t="array" ref="J6">IFERROR(INDEX($G$2:$G$2050,_xlfn.AGGREGATE(15,6,(ROW($G$2:$G$2050)-ROW($G$2)+1)/($G$2:$G$2050&lt;&gt;""),ROWS(J$1:J6))),"")</f>
        <v>OPP 29-1 SALTERS PATH</v>
      </c>
      <c r="K6">
        <f>IF(J6="","",INDEX('Assignment Tool'!E22:E2055,MATCH(FA_DATA!J6,'Assignment Tool'!D22:D2055,0)))</f>
        <v>8</v>
      </c>
    </row>
    <row r="7" spans="1:11" x14ac:dyDescent="0.25">
      <c r="A7" s="118" t="str">
        <f t="shared" si="0"/>
        <v>F 6691-1 HIGHWAY 22</v>
      </c>
      <c r="G7" t="str">
        <f>IF('Assignment Tool'!C7="","",IF('Assignment Tool'!C7="FST",'Assignment Tool'!D7,""))</f>
        <v/>
      </c>
      <c r="H7">
        <v>7</v>
      </c>
      <c r="I7">
        <f t="shared" si="1"/>
        <v>37</v>
      </c>
      <c r="J7" t="str">
        <f t="array" ref="J7">IFERROR(INDEX($G$2:$G$2050,_xlfn.AGGREGATE(15,6,(ROW($G$2:$G$2050)-ROW($G$2)+1)/($G$2:$G$2050&lt;&gt;""),ROWS(J$1:J7))),"")</f>
        <v>F 6387-1 HIGHWAY 22</v>
      </c>
      <c r="K7">
        <f>IF(J7="","",INDEX('Assignment Tool'!E23:E2056,MATCH(FA_DATA!J7,'Assignment Tool'!D23:D2056,0)))</f>
        <v>8</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45-1 AUTUMN LN</v>
      </c>
      <c r="K8">
        <f>IF(J8="","",INDEX('Assignment Tool'!E24:E2057,MATCH(FA_DATA!J8,'Assignment Tool'!D24:D2057,0)))</f>
        <v>8</v>
      </c>
    </row>
    <row r="9" spans="1:11" x14ac:dyDescent="0.25">
      <c r="A9" s="118" t="str">
        <f t="shared" si="0"/>
        <v>F 6691-1 HIGHWAY 22</v>
      </c>
      <c r="G9" t="str">
        <f>IF('Assignment Tool'!C9="","",IF('Assignment Tool'!C9="FST",'Assignment Tool'!D9,""))</f>
        <v/>
      </c>
      <c r="H9">
        <v>9</v>
      </c>
      <c r="I9">
        <f t="shared" si="1"/>
        <v>53</v>
      </c>
      <c r="J9" t="str">
        <f t="array" ref="J9">IFERROR(INDEX($G$2:$G$2050,_xlfn.AGGREGATE(15,6,(ROW($G$2:$G$2050)-ROW($G$2)+1)/($G$2:$G$2050&lt;&gt;""),ROWS(J$1:J9))),"")</f>
        <v>OPP 166-1 SALTERS PATH</v>
      </c>
      <c r="K9">
        <f>IF(J9="","",INDEX('Assignment Tool'!E25:E2058,MATCH(FA_DATA!J9,'Assignment Tool'!D25:D2058,0)))</f>
        <v>8</v>
      </c>
    </row>
    <row r="10" spans="1:11" x14ac:dyDescent="0.25">
      <c r="A10" s="118" t="str">
        <f t="shared" si="0"/>
        <v>F 6691-1 HIGHWAY 22</v>
      </c>
      <c r="G10" t="str">
        <f>IF('Assignment Tool'!C10="","",IF('Assignment Tool'!C10="FST",'Assignment Tool'!D10,""))</f>
        <v/>
      </c>
      <c r="H10">
        <v>10</v>
      </c>
      <c r="I10">
        <f t="shared" si="1"/>
        <v>61</v>
      </c>
      <c r="J10" t="str">
        <f t="array" ref="J10">IFERROR(INDEX($G$2:$G$2050,_xlfn.AGGREGATE(15,6,(ROW($G$2:$G$2050)-ROW($G$2)+1)/($G$2:$G$2050&lt;&gt;""),ROWS(J$1:J10))),"")</f>
        <v>F 6199-1 HIGHWAY 22</v>
      </c>
      <c r="K10">
        <f>IF(J10="","",INDEX('Assignment Tool'!E26:E2059,MATCH(FA_DATA!J10,'Assignment Tool'!D26:D2059,0)))</f>
        <v>4</v>
      </c>
    </row>
    <row r="11" spans="1:11" x14ac:dyDescent="0.25">
      <c r="A11" s="118" t="str">
        <f t="shared" si="0"/>
        <v>F 6691-1 HIGHWAY 22</v>
      </c>
      <c r="G11" t="str">
        <f>IF('Assignment Tool'!C11="","",IF('Assignment Tool'!C11="FST",'Assignment Tool'!D11,""))</f>
        <v/>
      </c>
      <c r="H11">
        <v>11</v>
      </c>
      <c r="I11">
        <f t="shared" si="1"/>
        <v>65</v>
      </c>
      <c r="J11" t="str">
        <f t="array" ref="J11">IFERROR(INDEX($G$2:$G$2050,_xlfn.AGGREGATE(15,6,(ROW($G$2:$G$2050)-ROW($G$2)+1)/($G$2:$G$2050&lt;&gt;""),ROWS(J$1:J11))),"")</f>
        <v>F 6065-1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69</v>
      </c>
      <c r="J12" t="str">
        <f t="array" ref="J12">IFERROR(INDEX($G$2:$G$2050,_xlfn.AGGREGATE(15,6,(ROW($G$2:$G$2050)-ROW($G$2)+1)/($G$2:$G$2050&lt;&gt;""),ROWS(J$1:J12))),"")</f>
        <v>F 6011-1 HIGHWAY 22</v>
      </c>
      <c r="K12">
        <f>IF(J12="","",INDEX('Assignment Tool'!E28:E2061,MATCH(FA_DATA!J12,'Assignment Tool'!D28:D2061,0)))</f>
        <v>4</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128-2 MOUNTAINVIEW DR</v>
      </c>
      <c r="K13">
        <f>IF(J13="","",INDEX('Assignment Tool'!E29:E2062,MATCH(FA_DATA!J13,'Assignment Tool'!D29:D2062,0)))</f>
        <v>4</v>
      </c>
    </row>
    <row r="14" spans="1:11" x14ac:dyDescent="0.25">
      <c r="A14" s="118" t="str">
        <f t="shared" si="0"/>
        <v>F 6691-1 HIGHWAY 22</v>
      </c>
      <c r="G14" t="str">
        <f>IF('Assignment Tool'!C14="","",IF('Assignment Tool'!C14="FST",'Assignment Tool'!D14,""))</f>
        <v/>
      </c>
      <c r="H14">
        <v>14</v>
      </c>
      <c r="I14">
        <f t="shared" si="1"/>
        <v>77</v>
      </c>
      <c r="J14" t="str">
        <f t="array" ref="J14">IFERROR(INDEX($G$2:$G$2050,_xlfn.AGGREGATE(15,6,(ROW($G$2:$G$2050)-ROW($G$2)+1)/($G$2:$G$2050&lt;&gt;""),ROWS(J$1:J14))),"")</f>
        <v>F 210-2 MOUNTAINVIEW DR</v>
      </c>
      <c r="K14">
        <f>IF(J14="","",INDEX('Assignment Tool'!E30:E2063,MATCH(FA_DATA!J14,'Assignment Tool'!D30:D2063,0)))</f>
        <v>8</v>
      </c>
    </row>
    <row r="15" spans="1:11" x14ac:dyDescent="0.25">
      <c r="A15" s="118" t="str">
        <f t="shared" si="0"/>
        <v>F 6679-1 HIGHWAY 22</v>
      </c>
      <c r="G15" t="str">
        <f>IF('Assignment Tool'!C15="","",IF('Assignment Tool'!C15="FST",'Assignment Tool'!D15,""))</f>
        <v/>
      </c>
      <c r="H15">
        <v>15</v>
      </c>
      <c r="I15">
        <f t="shared" si="1"/>
        <v>85</v>
      </c>
      <c r="J15" t="str">
        <f t="array" ref="J15">IFERROR(INDEX($G$2:$G$2050,_xlfn.AGGREGATE(15,6,(ROW($G$2:$G$2050)-ROW($G$2)+1)/($G$2:$G$2050&lt;&gt;""),ROWS(J$1:J15))),"")</f>
        <v>F 5926-1 HIGHWAY 22</v>
      </c>
      <c r="K15">
        <f>IF(J15="","",INDEX('Assignment Tool'!E31:E2064,MATCH(FA_DATA!J15,'Assignment Tool'!D31:D2064,0)))</f>
        <v>8</v>
      </c>
    </row>
    <row r="16" spans="1:11" x14ac:dyDescent="0.25">
      <c r="A16" s="118" t="str">
        <f t="shared" si="0"/>
        <v>F 6679-1 HIGHWAY 22</v>
      </c>
      <c r="G16" t="str">
        <f>IF('Assignment Tool'!C16="","",IF('Assignment Tool'!C16="FST",'Assignment Tool'!D16,""))</f>
        <v/>
      </c>
      <c r="H16">
        <v>16</v>
      </c>
      <c r="I16">
        <f t="shared" si="1"/>
        <v>93</v>
      </c>
      <c r="J16" t="str">
        <f t="array" ref="J16">IFERROR(INDEX($G$2:$G$2050,_xlfn.AGGREGATE(15,6,(ROW($G$2:$G$2050)-ROW($G$2)+1)/($G$2:$G$2050&lt;&gt;""),ROWS(J$1:J16))),"")</f>
        <v>F 5730-1 HIGHWAY 22</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101</v>
      </c>
      <c r="J17" t="str">
        <f t="array" ref="J17">IFERROR(INDEX($G$2:$G$2050,_xlfn.AGGREGATE(15,6,(ROW($G$2:$G$2050)-ROW($G$2)+1)/($G$2:$G$2050&lt;&gt;""),ROWS(J$1:J17))),"")</f>
        <v>F 130-1 TRIPLE B DR</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109</v>
      </c>
      <c r="J18" t="str">
        <f t="array" ref="J18">IFERROR(INDEX($G$2:$G$2050,_xlfn.AGGREGATE(15,6,(ROW($G$2:$G$2050)-ROW($G$2)+1)/($G$2:$G$2050&lt;&gt;""),ROWS(J$1:J18))),"")</f>
        <v>F 4656-2 HIGHWAY 119</v>
      </c>
      <c r="K18">
        <f>IF(J18="","",INDEX('Assignment Tool'!E34:E2067,MATCH(FA_DATA!J18,'Assignment Tool'!D34:D2067,0)))</f>
        <v>6</v>
      </c>
    </row>
    <row r="19" spans="1:11" x14ac:dyDescent="0.25">
      <c r="A19" s="118" t="str">
        <f t="shared" si="0"/>
        <v>F 6577-2 HIGHWAY 22</v>
      </c>
      <c r="G19" t="str">
        <f>IF('Assignment Tool'!C19="","",IF('Assignment Tool'!C19="FST",'Assignment Tool'!D19,""))</f>
        <v>F 6679-1 HIGHWAY 22</v>
      </c>
      <c r="H19">
        <v>19</v>
      </c>
      <c r="I19">
        <f t="shared" si="1"/>
        <v>115</v>
      </c>
      <c r="J19" t="str">
        <f t="array" ref="J19">IFERROR(INDEX($G$2:$G$2050,_xlfn.AGGREGATE(15,6,(ROW($G$2:$G$2050)-ROW($G$2)+1)/($G$2:$G$2050&lt;&gt;""),ROWS(J$1:J19))),"")</f>
        <v>F 4610-2 HIGHWAY 119</v>
      </c>
      <c r="K19">
        <f>IF(J19="","",INDEX('Assignment Tool'!E35:E2068,MATCH(FA_DATA!J19,'Assignment Tool'!D35:D2068,0)))</f>
        <v>4</v>
      </c>
    </row>
    <row r="20" spans="1:11" x14ac:dyDescent="0.25">
      <c r="A20" s="118" t="str">
        <f t="shared" si="0"/>
        <v>F 6577-2 HIGHWAY 22</v>
      </c>
      <c r="G20" t="str">
        <f>IF('Assignment Tool'!C20="","",IF('Assignment Tool'!C20="FST",'Assignment Tool'!D20,""))</f>
        <v>F 6577-2 HIGHWAY 22</v>
      </c>
      <c r="H20">
        <v>20</v>
      </c>
      <c r="I20">
        <f t="shared" si="1"/>
        <v>119</v>
      </c>
      <c r="J20" t="str">
        <f t="array" ref="J20">IFERROR(INDEX($G$2:$G$2050,_xlfn.AGGREGATE(15,6,(ROW($G$2:$G$2050)-ROW($G$2)+1)/($G$2:$G$2050&lt;&gt;""),ROWS(J$1:J20))),"")</f>
        <v>F 4560-2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125</v>
      </c>
      <c r="J21" t="str">
        <f t="array" ref="J21">IFERROR(INDEX($G$2:$G$2050,_xlfn.AGGREGATE(15,6,(ROW($G$2:$G$2050)-ROW($G$2)+1)/($G$2:$G$2050&lt;&gt;""),ROWS(J$1:J21))),"")</f>
        <v>S 4560-2 HIGHWAY 119</v>
      </c>
      <c r="K21">
        <f>IF(J21="","",INDEX('Assignment Tool'!E37:E2070,MATCH(FA_DATA!J21,'Assignment Tool'!D37:D2070,0)))</f>
        <v>8</v>
      </c>
    </row>
    <row r="22" spans="1:11" x14ac:dyDescent="0.25">
      <c r="A22" s="118" t="str">
        <f t="shared" si="0"/>
        <v>F 6577-2 HIGHWAY 22</v>
      </c>
      <c r="G22" t="str">
        <f>IF('Assignment Tool'!C22="","",IF('Assignment Tool'!C22="FST",'Assignment Tool'!D22,""))</f>
        <v/>
      </c>
      <c r="H22">
        <v>22</v>
      </c>
      <c r="I22">
        <f t="shared" si="1"/>
        <v>133</v>
      </c>
      <c r="J22" t="str">
        <f t="array" ref="J22">IFERROR(INDEX($G$2:$G$2050,_xlfn.AGGREGATE(15,6,(ROW($G$2:$G$2050)-ROW($G$2)+1)/($G$2:$G$2050&lt;&gt;""),ROWS(J$1:J22))),"")</f>
        <v>OPP 7011-1 HIGHWAY 22</v>
      </c>
      <c r="K22">
        <f>IF(J22="","",INDEX('Assignment Tool'!E38:E2071,MATCH(FA_DATA!J22,'Assignment Tool'!D38:D2071,0)))</f>
        <v>8</v>
      </c>
    </row>
    <row r="23" spans="1:11" x14ac:dyDescent="0.25">
      <c r="A23" s="118" t="str">
        <f t="shared" si="0"/>
        <v>F 6577-2 HIGHWAY 22</v>
      </c>
      <c r="G23" t="str">
        <f>IF('Assignment Tool'!C23="","",IF('Assignment Tool'!C23="FST",'Assignment Tool'!D23,""))</f>
        <v/>
      </c>
      <c r="H23">
        <v>23</v>
      </c>
      <c r="I23">
        <f t="shared" si="1"/>
        <v>141</v>
      </c>
      <c r="J23" t="str">
        <f t="array" ref="J23">IFERROR(INDEX($G$2:$G$2050,_xlfn.AGGREGATE(15,6,(ROW($G$2:$G$2050)-ROW($G$2)+1)/($G$2:$G$2050&lt;&gt;""),ROWS(J$1:J23))),"")</f>
        <v>F 7020-1 HIGHWAY 22</v>
      </c>
      <c r="K23">
        <f>IF(J23="","",INDEX('Assignment Tool'!E39:E2072,MATCH(FA_DATA!J23,'Assignment Tool'!D39:D2072,0)))</f>
        <v>4</v>
      </c>
    </row>
    <row r="24" spans="1:11" x14ac:dyDescent="0.25">
      <c r="A24" s="118" t="str">
        <f t="shared" si="0"/>
        <v>F 6577-2 HIGHWAY 22</v>
      </c>
      <c r="G24" t="str">
        <f>IF('Assignment Tool'!C24="","",IF('Assignment Tool'!C24="FST",'Assignment Tool'!D24,""))</f>
        <v/>
      </c>
      <c r="H24">
        <v>24</v>
      </c>
      <c r="I24">
        <f t="shared" si="1"/>
        <v>145</v>
      </c>
      <c r="J24" t="str">
        <f t="array" ref="J24">IFERROR(INDEX($G$2:$G$2050,_xlfn.AGGREGATE(15,6,(ROW($G$2:$G$2050)-ROW($G$2)+1)/($G$2:$G$2050&lt;&gt;""),ROWS(J$1:J24))),"")</f>
        <v>F 4741-2 HIGHWAY 119</v>
      </c>
      <c r="K24">
        <f>IF(J24="","",INDEX('Assignment Tool'!E40:E2073,MATCH(FA_DATA!J24,'Assignment Tool'!D40:D2073,0)))</f>
        <v>6</v>
      </c>
    </row>
    <row r="25" spans="1:11" x14ac:dyDescent="0.25">
      <c r="A25" s="118" t="str">
        <f t="shared" si="0"/>
        <v>F 6475-1 HIGHWAY 22</v>
      </c>
      <c r="G25" t="str">
        <f>IF('Assignment Tool'!C25="","",IF('Assignment Tool'!C25="FST",'Assignment Tool'!D25,""))</f>
        <v/>
      </c>
      <c r="H25">
        <v>25</v>
      </c>
      <c r="I25">
        <f t="shared" si="1"/>
        <v>151</v>
      </c>
      <c r="J25" t="str">
        <f t="array" ref="J25">IFERROR(INDEX($G$2:$G$2050,_xlfn.AGGREGATE(15,6,(ROW($G$2:$G$2050)-ROW($G$2)+1)/($G$2:$G$2050&lt;&gt;""),ROWS(J$1:J25))),"")</f>
        <v>F 4767-2 HIGHWAY 119</v>
      </c>
      <c r="K25">
        <f>IF(J25="","",INDEX('Assignment Tool'!E41:E2074,MATCH(FA_DATA!J25,'Assignment Tool'!D41:D2074,0)))</f>
        <v>6</v>
      </c>
    </row>
    <row r="26" spans="1:11" x14ac:dyDescent="0.25">
      <c r="A26" s="118" t="str">
        <f t="shared" si="0"/>
        <v>F 6475-1 HIGHWAY 22</v>
      </c>
      <c r="G26" t="str">
        <f>IF('Assignment Tool'!C26="","",IF('Assignment Tool'!C26="FST",'Assignment Tool'!D26,""))</f>
        <v/>
      </c>
      <c r="H26">
        <v>26</v>
      </c>
      <c r="I26">
        <f t="shared" si="1"/>
        <v>157</v>
      </c>
      <c r="J26" t="str">
        <f t="array" ref="J26">IFERROR(INDEX($G$2:$G$2050,_xlfn.AGGREGATE(15,6,(ROW($G$2:$G$2050)-ROW($G$2)+1)/($G$2:$G$2050&lt;&gt;""),ROWS(J$1:J26))),"")</f>
        <v>F 200-1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161</v>
      </c>
      <c r="J27" t="str">
        <f t="array" ref="J27">IFERROR(INDEX($G$2:$G$2050,_xlfn.AGGREGATE(15,6,(ROW($G$2:$G$2050)-ROW($G$2)+1)/($G$2:$G$2050&lt;&gt;""),ROWS(J$1:J27))),"")</f>
        <v>F 204-1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165</v>
      </c>
      <c r="J28" t="str">
        <f t="array" ref="J28">IFERROR(INDEX($G$2:$G$2050,_xlfn.AGGREGATE(15,6,(ROW($G$2:$G$2050)-ROW($G$2)+1)/($G$2:$G$2050&lt;&gt;""),ROWS(J$1:J28))),"")</f>
        <v>F 212-2 AMMERSEE LAKES DR</v>
      </c>
      <c r="K28">
        <f>IF(J28="","",INDEX('Assignment Tool'!E44:E2077,MATCH(FA_DATA!J28,'Assignment Tool'!D44:D2077,0)))</f>
        <v>8</v>
      </c>
    </row>
    <row r="29" spans="1:11" x14ac:dyDescent="0.25">
      <c r="A29" s="118" t="str">
        <f t="shared" si="0"/>
        <v>OPP 29-1 SALTERS PATH</v>
      </c>
      <c r="G29" t="str">
        <f>IF('Assignment Tool'!C29="","",IF('Assignment Tool'!C29="FST",'Assignment Tool'!D29,""))</f>
        <v/>
      </c>
      <c r="H29">
        <v>29</v>
      </c>
      <c r="I29">
        <f t="shared" si="1"/>
        <v>173</v>
      </c>
      <c r="J29" t="str">
        <f t="array" ref="J29">IFERROR(INDEX($G$2:$G$2050,_xlfn.AGGREGATE(15,6,(ROW($G$2:$G$2050)-ROW($G$2)+1)/($G$2:$G$2050&lt;&gt;""),ROWS(J$1:J29))),"")</f>
        <v>F 220-1 AMMERSEE LAKES DR</v>
      </c>
      <c r="K29">
        <f>IF(J29="","",INDEX('Assignment Tool'!E45:E2078,MATCH(FA_DATA!J29,'Assignment Tool'!D45:D2078,0)))</f>
        <v>4</v>
      </c>
    </row>
    <row r="30" spans="1:11" x14ac:dyDescent="0.25">
      <c r="A30" s="118" t="str">
        <f t="shared" si="0"/>
        <v>OPP 29-1 SALTERS PATH</v>
      </c>
      <c r="G30" t="str">
        <f>IF('Assignment Tool'!C30="","",IF('Assignment Tool'!C30="FST",'Assignment Tool'!D30,""))</f>
        <v/>
      </c>
      <c r="H30">
        <v>30</v>
      </c>
      <c r="I30">
        <f t="shared" si="1"/>
        <v>177</v>
      </c>
      <c r="J30" t="str">
        <f t="array" ref="J30">IFERROR(INDEX($G$2:$G$2050,_xlfn.AGGREGATE(15,6,(ROW($G$2:$G$2050)-ROW($G$2)+1)/($G$2:$G$2050&lt;&gt;""),ROWS(J$1:J30))),"")</f>
        <v>F 226-1 AMMERSEE LAKES DR</v>
      </c>
      <c r="K30">
        <f>IF(J30="","",INDEX('Assignment Tool'!E46:E2079,MATCH(FA_DATA!J30,'Assignment Tool'!D46:D2079,0)))</f>
        <v>8</v>
      </c>
    </row>
    <row r="31" spans="1:11" x14ac:dyDescent="0.25">
      <c r="A31" s="118" t="str">
        <f t="shared" si="0"/>
        <v>OPP 29-1 SALTERS PATH</v>
      </c>
      <c r="G31" t="str">
        <f>IF('Assignment Tool'!C31="","",IF('Assignment Tool'!C31="FST",'Assignment Tool'!D31,""))</f>
        <v/>
      </c>
      <c r="H31">
        <v>31</v>
      </c>
      <c r="I31">
        <f t="shared" si="1"/>
        <v>185</v>
      </c>
      <c r="J31" t="str">
        <f t="array" ref="J31">IFERROR(INDEX($G$2:$G$2050,_xlfn.AGGREGATE(15,6,(ROW($G$2:$G$2050)-ROW($G$2)+1)/($G$2:$G$2050&lt;&gt;""),ROWS(J$1:J31))),"")</f>
        <v>F 236-2 AMMERSEE LAKES DR</v>
      </c>
      <c r="K31">
        <f>IF(J31="","",INDEX('Assignment Tool'!E47:E2080,MATCH(FA_DATA!J31,'Assignment Tool'!D47:D2080,0)))</f>
        <v>4</v>
      </c>
    </row>
    <row r="32" spans="1:11" x14ac:dyDescent="0.25">
      <c r="A32" s="118" t="str">
        <f t="shared" si="0"/>
        <v>OPP 29-1 SALTERS PATH</v>
      </c>
      <c r="G32" t="str">
        <f>IF('Assignment Tool'!C32="","",IF('Assignment Tool'!C32="FST",'Assignment Tool'!D32,""))</f>
        <v/>
      </c>
      <c r="H32">
        <v>32</v>
      </c>
      <c r="I32">
        <f t="shared" si="1"/>
        <v>189</v>
      </c>
      <c r="J32" t="str">
        <f t="array" ref="J32">IFERROR(INDEX($G$2:$G$2050,_xlfn.AGGREGATE(15,6,(ROW($G$2:$G$2050)-ROW($G$2)+1)/($G$2:$G$2050&lt;&gt;""),ROWS(J$1:J32))),"")</f>
        <v>F 244-2 AMMERSEE LAKES DR</v>
      </c>
      <c r="K32">
        <f>IF(J32="","",INDEX('Assignment Tool'!E48:E2081,MATCH(FA_DATA!J32,'Assignment Tool'!D48:D2081,0)))</f>
        <v>4</v>
      </c>
    </row>
    <row r="33" spans="1:11" x14ac:dyDescent="0.25">
      <c r="A33" s="118" t="str">
        <f t="shared" si="0"/>
        <v>OPP 29-1 SALTERS PATH</v>
      </c>
      <c r="G33" t="str">
        <f>IF('Assignment Tool'!C33="","",IF('Assignment Tool'!C33="FST",'Assignment Tool'!D33,""))</f>
        <v/>
      </c>
      <c r="H33">
        <v>33</v>
      </c>
      <c r="I33">
        <f t="shared" si="1"/>
        <v>193</v>
      </c>
      <c r="J33" t="str">
        <f t="array" ref="J33">IFERROR(INDEX($G$2:$G$2050,_xlfn.AGGREGATE(15,6,(ROW($G$2:$G$2050)-ROW($G$2)+1)/($G$2:$G$2050&lt;&gt;""),ROWS(J$1:J33))),"")</f>
        <v>F 252-2 AMMERSEE LAKES DR</v>
      </c>
      <c r="K33">
        <f>IF(J33="","",INDEX('Assignment Tool'!E49:E2082,MATCH(FA_DATA!J33,'Assignment Tool'!D49:D2082,0)))</f>
        <v>4</v>
      </c>
    </row>
    <row r="34" spans="1:11" x14ac:dyDescent="0.25">
      <c r="A34" s="118" t="str">
        <f t="shared" si="0"/>
        <v>OPP 29-1 SALTERS PATH</v>
      </c>
      <c r="G34" t="str">
        <f>IF('Assignment Tool'!C34="","",IF('Assignment Tool'!C34="FST",'Assignment Tool'!D34,""))</f>
        <v/>
      </c>
      <c r="H34">
        <v>34</v>
      </c>
      <c r="I34">
        <f t="shared" si="1"/>
        <v>197</v>
      </c>
      <c r="J34" t="str">
        <f t="array" ref="J34">IFERROR(INDEX($G$2:$G$2050,_xlfn.AGGREGATE(15,6,(ROW($G$2:$G$2050)-ROW($G$2)+1)/($G$2:$G$2050&lt;&gt;""),ROWS(J$1:J34))),"")</f>
        <v>F 260-2 AMMERSEE LAKES DR</v>
      </c>
      <c r="K34">
        <f>IF(J34="","",INDEX('Assignment Tool'!E50:E2083,MATCH(FA_DATA!J34,'Assignment Tool'!D50:D2083,0)))</f>
        <v>8</v>
      </c>
    </row>
    <row r="35" spans="1:11" x14ac:dyDescent="0.25">
      <c r="A35" s="118" t="str">
        <f t="shared" si="0"/>
        <v>OPP 29-1 SALTERS PATH</v>
      </c>
      <c r="G35" t="str">
        <f>IF('Assignment Tool'!C35="","",IF('Assignment Tool'!C35="FST",'Assignment Tool'!D35,""))</f>
        <v/>
      </c>
      <c r="H35">
        <v>35</v>
      </c>
      <c r="I35">
        <f t="shared" si="1"/>
        <v>205</v>
      </c>
      <c r="J35" t="str">
        <f t="array" ref="J35">IFERROR(INDEX($G$2:$G$2050,_xlfn.AGGREGATE(15,6,(ROW($G$2:$G$2050)-ROW($G$2)+1)/($G$2:$G$2050&lt;&gt;""),ROWS(J$1:J35))),"")</f>
        <v>F 272-1 AMMERSEE LAKES DR</v>
      </c>
      <c r="K35">
        <f>IF(J35="","",INDEX('Assignment Tool'!E51:E2084,MATCH(FA_DATA!J35,'Assignment Tool'!D51:D2084,0)))</f>
        <v>4</v>
      </c>
    </row>
    <row r="36" spans="1:11" x14ac:dyDescent="0.25">
      <c r="A36" s="118" t="str">
        <f t="shared" si="0"/>
        <v>OPP 29-1 SALTERS PATH</v>
      </c>
      <c r="G36" t="str">
        <f>IF('Assignment Tool'!C36="","",IF('Assignment Tool'!C36="FST",'Assignment Tool'!D36,""))</f>
        <v/>
      </c>
      <c r="H36">
        <v>36</v>
      </c>
      <c r="I36">
        <f t="shared" si="1"/>
        <v>209</v>
      </c>
      <c r="J36" t="str">
        <f t="array" ref="J36">IFERROR(INDEX($G$2:$G$2050,_xlfn.AGGREGATE(15,6,(ROW($G$2:$G$2050)-ROW($G$2)+1)/($G$2:$G$2050&lt;&gt;""),ROWS(J$1:J36))),"")</f>
        <v>F 276-2 AMMERSEE LAKES DR</v>
      </c>
      <c r="K36">
        <f>IF(J36="","",INDEX('Assignment Tool'!E52:E2085,MATCH(FA_DATA!J36,'Assignment Tool'!D52:D2085,0)))</f>
        <v>4</v>
      </c>
    </row>
    <row r="37" spans="1:11" x14ac:dyDescent="0.25">
      <c r="A37" s="118" t="str">
        <f t="shared" si="0"/>
        <v>F 6387-1 HIGHWAY 22</v>
      </c>
      <c r="G37" t="str">
        <f>IF('Assignment Tool'!C37="","",IF('Assignment Tool'!C37="FST",'Assignment Tool'!D37,""))</f>
        <v/>
      </c>
      <c r="H37">
        <v>37</v>
      </c>
      <c r="I37">
        <f t="shared" si="1"/>
        <v>213</v>
      </c>
      <c r="J37" t="str">
        <f t="array" ref="J37">IFERROR(INDEX($G$2:$G$2050,_xlfn.AGGREGATE(15,6,(ROW($G$2:$G$2050)-ROW($G$2)+1)/($G$2:$G$2050&lt;&gt;""),ROWS(J$1:J37))),"")</f>
        <v>F 284-1 AMMERSEE LAKES DR</v>
      </c>
      <c r="K37">
        <f>IF(J37="","",INDEX('Assignment Tool'!E53:E2086,MATCH(FA_DATA!J37,'Assignment Tool'!D53:D2086,0)))</f>
        <v>4</v>
      </c>
    </row>
    <row r="38" spans="1:11" x14ac:dyDescent="0.25">
      <c r="A38" s="118" t="str">
        <f t="shared" si="0"/>
        <v>F 6387-1 HIGHWAY 22</v>
      </c>
      <c r="G38" t="str">
        <f>IF('Assignment Tool'!C38="","",IF('Assignment Tool'!C38="FST",'Assignment Tool'!D38,""))</f>
        <v/>
      </c>
      <c r="H38">
        <v>38</v>
      </c>
      <c r="I38">
        <f t="shared" si="1"/>
        <v>217</v>
      </c>
      <c r="J38" t="str">
        <f t="array" ref="J38">IFERROR(INDEX($G$2:$G$2050,_xlfn.AGGREGATE(15,6,(ROW($G$2:$G$2050)-ROW($G$2)+1)/($G$2:$G$2050&lt;&gt;""),ROWS(J$1:J38))),"")</f>
        <v>F 101-1 MOORES SPRING RD</v>
      </c>
      <c r="K38">
        <f>IF(J38="","",INDEX('Assignment Tool'!E54:E2087,MATCH(FA_DATA!J38,'Assignment Tool'!D54:D2087,0)))</f>
        <v>8</v>
      </c>
    </row>
    <row r="39" spans="1:11" x14ac:dyDescent="0.25">
      <c r="A39" s="118" t="str">
        <f t="shared" si="0"/>
        <v>F 6387-1 HIGHWAY 22</v>
      </c>
      <c r="G39" t="str">
        <f>IF('Assignment Tool'!C39="","",IF('Assignment Tool'!C39="FST",'Assignment Tool'!D39,""))</f>
        <v/>
      </c>
      <c r="H39">
        <v>39</v>
      </c>
      <c r="I39">
        <f t="shared" si="1"/>
        <v>225</v>
      </c>
      <c r="J39" t="str">
        <f t="array" ref="J39">IFERROR(INDEX($G$2:$G$2050,_xlfn.AGGREGATE(15,6,(ROW($G$2:$G$2050)-ROW($G$2)+1)/($G$2:$G$2050&lt;&gt;""),ROWS(J$1:J39))),"")</f>
        <v>F 109-1 MOORES SPRING RD</v>
      </c>
      <c r="K39">
        <f>IF(J39="","",INDEX('Assignment Tool'!E55:E2088,MATCH(FA_DATA!J39,'Assignment Tool'!D55:D2088,0)))</f>
        <v>4</v>
      </c>
    </row>
    <row r="40" spans="1:11" x14ac:dyDescent="0.25">
      <c r="A40" s="118" t="str">
        <f t="shared" si="0"/>
        <v>F 6387-1 HIGHWAY 22</v>
      </c>
      <c r="G40" t="str">
        <f>IF('Assignment Tool'!C40="","",IF('Assignment Tool'!C40="FST",'Assignment Tool'!D40,""))</f>
        <v/>
      </c>
      <c r="H40">
        <v>40</v>
      </c>
      <c r="I40">
        <f t="shared" si="1"/>
        <v>229</v>
      </c>
      <c r="J40" t="str">
        <f t="array" ref="J40">IFERROR(INDEX($G$2:$G$2050,_xlfn.AGGREGATE(15,6,(ROW($G$2:$G$2050)-ROW($G$2)+1)/($G$2:$G$2050&lt;&gt;""),ROWS(J$1:J40))),"")</f>
        <v>F 116-1 MOORES SPRING RD</v>
      </c>
      <c r="K40">
        <f>IF(J40="","",INDEX('Assignment Tool'!E56:E2089,MATCH(FA_DATA!J40,'Assignment Tool'!D56:D2089,0)))</f>
        <v>2</v>
      </c>
    </row>
    <row r="41" spans="1:11" x14ac:dyDescent="0.25">
      <c r="A41" s="118" t="str">
        <f t="shared" si="0"/>
        <v>F 6387-1 HIGHWAY 22</v>
      </c>
      <c r="G41" t="str">
        <f>IF('Assignment Tool'!C41="","",IF('Assignment Tool'!C41="FST",'Assignment Tool'!D41,""))</f>
        <v/>
      </c>
      <c r="H41">
        <v>41</v>
      </c>
      <c r="I41">
        <f t="shared" si="1"/>
        <v>231</v>
      </c>
      <c r="J41" t="str">
        <f t="array" ref="J41">IFERROR(INDEX($G$2:$G$2050,_xlfn.AGGREGATE(15,6,(ROW($G$2:$G$2050)-ROW($G$2)+1)/($G$2:$G$2050&lt;&gt;""),ROWS(J$1:J41))),"")</f>
        <v>F 1005-1 PARKERS COVE</v>
      </c>
      <c r="K41">
        <f>IF(J41="","",INDEX('Assignment Tool'!E57:E2090,MATCH(FA_DATA!J41,'Assignment Tool'!D57:D2090,0)))</f>
        <v>2</v>
      </c>
    </row>
    <row r="42" spans="1:11" x14ac:dyDescent="0.25">
      <c r="A42" s="118" t="str">
        <f t="shared" si="0"/>
        <v>F 6387-1 HIGHWAY 22</v>
      </c>
      <c r="G42" t="str">
        <f>IF('Assignment Tool'!C42="","",IF('Assignment Tool'!C42="FST",'Assignment Tool'!D42,""))</f>
        <v/>
      </c>
      <c r="H42">
        <v>42</v>
      </c>
      <c r="I42">
        <f t="shared" si="1"/>
        <v>233</v>
      </c>
      <c r="J42" t="str">
        <f t="array" ref="J42">IFERROR(INDEX($G$2:$G$2050,_xlfn.AGGREGATE(15,6,(ROW($G$2:$G$2050)-ROW($G$2)+1)/($G$2:$G$2050&lt;&gt;""),ROWS(J$1:J42))),"")</f>
        <v>F 1013-1 PARKERS COVE</v>
      </c>
      <c r="K42">
        <f>IF(J42="","",INDEX('Assignment Tool'!E58:E2091,MATCH(FA_DATA!J42,'Assignment Tool'!D58:D2091,0)))</f>
        <v>4</v>
      </c>
    </row>
    <row r="43" spans="1:11" x14ac:dyDescent="0.25">
      <c r="A43" s="118" t="str">
        <f t="shared" si="0"/>
        <v>F 6387-1 HIGHWAY 22</v>
      </c>
      <c r="G43" t="str">
        <f>IF('Assignment Tool'!C43="","",IF('Assignment Tool'!C43="FST",'Assignment Tool'!D43,""))</f>
        <v/>
      </c>
      <c r="H43">
        <v>43</v>
      </c>
      <c r="I43">
        <f t="shared" si="1"/>
        <v>237</v>
      </c>
      <c r="J43" t="str">
        <f t="array" ref="J43">IFERROR(INDEX($G$2:$G$2050,_xlfn.AGGREGATE(15,6,(ROW($G$2:$G$2050)-ROW($G$2)+1)/($G$2:$G$2050&lt;&gt;""),ROWS(J$1:J43))),"")</f>
        <v>F 1021-1 PARKERS COVE</v>
      </c>
      <c r="K43">
        <f>IF(J43="","",INDEX('Assignment Tool'!E59:E2092,MATCH(FA_DATA!J43,'Assignment Tool'!D59:D2092,0)))</f>
        <v>4</v>
      </c>
    </row>
    <row r="44" spans="1:11" x14ac:dyDescent="0.25">
      <c r="A44" s="118" t="str">
        <f t="shared" si="0"/>
        <v>F 6387-1 HIGHWAY 22</v>
      </c>
      <c r="G44" t="str">
        <f>IF('Assignment Tool'!C44="","",IF('Assignment Tool'!C44="FST",'Assignment Tool'!D44,""))</f>
        <v/>
      </c>
      <c r="H44">
        <v>44</v>
      </c>
      <c r="I44">
        <f t="shared" si="1"/>
        <v>241</v>
      </c>
      <c r="J44" t="str">
        <f t="array" ref="J44">IFERROR(INDEX($G$2:$G$2050,_xlfn.AGGREGATE(15,6,(ROW($G$2:$G$2050)-ROW($G$2)+1)/($G$2:$G$2050&lt;&gt;""),ROWS(J$1:J44))),"")</f>
        <v>F 127-2 MOORES SPRING RD</v>
      </c>
      <c r="K44">
        <f>IF(J44="","",INDEX('Assignment Tool'!E60:E2093,MATCH(FA_DATA!J44,'Assignment Tool'!D60:D2093,0)))</f>
        <v>4</v>
      </c>
    </row>
    <row r="45" spans="1:11" x14ac:dyDescent="0.25">
      <c r="A45" s="118" t="str">
        <f t="shared" si="0"/>
        <v>F 45-1 AUTUMN LN</v>
      </c>
      <c r="G45" t="str">
        <f>IF('Assignment Tool'!C45="","",IF('Assignment Tool'!C45="FST",'Assignment Tool'!D45,""))</f>
        <v/>
      </c>
      <c r="H45">
        <v>45</v>
      </c>
      <c r="I45">
        <f t="shared" si="1"/>
        <v>245</v>
      </c>
      <c r="J45" t="str">
        <f t="array" ref="J45">IFERROR(INDEX($G$2:$G$2050,_xlfn.AGGREGATE(15,6,(ROW($G$2:$G$2050)-ROW($G$2)+1)/($G$2:$G$2050&lt;&gt;""),ROWS(J$1:J45))),"")</f>
        <v>F 135-1 MOORES SPRING RD</v>
      </c>
      <c r="K45">
        <f>IF(J45="","",INDEX('Assignment Tool'!E61:E2094,MATCH(FA_DATA!J45,'Assignment Tool'!D61:D2094,0)))</f>
        <v>4</v>
      </c>
    </row>
    <row r="46" spans="1:11" x14ac:dyDescent="0.25">
      <c r="A46" s="118" t="str">
        <f t="shared" si="0"/>
        <v>F 45-1 AUTUMN LN</v>
      </c>
      <c r="G46" t="str">
        <f>IF('Assignment Tool'!C46="","",IF('Assignment Tool'!C46="FST",'Assignment Tool'!D46,""))</f>
        <v/>
      </c>
      <c r="H46">
        <v>46</v>
      </c>
      <c r="I46">
        <f t="shared" si="1"/>
        <v>249</v>
      </c>
      <c r="J46" t="str">
        <f t="array" ref="J46">IFERROR(INDEX($G$2:$G$2050,_xlfn.AGGREGATE(15,6,(ROW($G$2:$G$2050)-ROW($G$2)+1)/($G$2:$G$2050&lt;&gt;""),ROWS(J$1:J46))),"")</f>
        <v>F 143-1 MOORES SPRING RD</v>
      </c>
      <c r="K46">
        <f>IF(J46="","",INDEX('Assignment Tool'!E62:E2095,MATCH(FA_DATA!J46,'Assignment Tool'!D62:D2095,0)))</f>
        <v>4</v>
      </c>
    </row>
    <row r="47" spans="1:11" x14ac:dyDescent="0.25">
      <c r="A47" s="118" t="str">
        <f t="shared" si="0"/>
        <v>F 45-1 AUTUMN LN</v>
      </c>
      <c r="G47" t="str">
        <f>IF('Assignment Tool'!C47="","",IF('Assignment Tool'!C47="FST",'Assignment Tool'!D47,""))</f>
        <v/>
      </c>
      <c r="H47">
        <v>47</v>
      </c>
      <c r="I47">
        <f t="shared" si="1"/>
        <v>253</v>
      </c>
      <c r="J47" t="str">
        <f t="array" ref="J47">IFERROR(INDEX($G$2:$G$2050,_xlfn.AGGREGATE(15,6,(ROW($G$2:$G$2050)-ROW($G$2)+1)/($G$2:$G$2050&lt;&gt;""),ROWS(J$1:J47))),"")</f>
        <v>F 151-1 MOORES SPRING RD</v>
      </c>
      <c r="K47">
        <f>IF(J47="","",INDEX('Assignment Tool'!E63:E2096,MATCH(FA_DATA!J47,'Assignment Tool'!D63:D2096,0)))</f>
        <v>4</v>
      </c>
    </row>
    <row r="48" spans="1:11" x14ac:dyDescent="0.25">
      <c r="A48" s="118" t="str">
        <f t="shared" si="0"/>
        <v>F 45-1 AUTUMN LN</v>
      </c>
      <c r="G48" t="str">
        <f>IF('Assignment Tool'!C48="","",IF('Assignment Tool'!C48="FST",'Assignment Tool'!D48,""))</f>
        <v/>
      </c>
      <c r="H48">
        <v>48</v>
      </c>
      <c r="I48">
        <f t="shared" si="1"/>
        <v>257</v>
      </c>
      <c r="J48" t="str">
        <f t="array" ref="J48">IFERROR(INDEX($G$2:$G$2050,_xlfn.AGGREGATE(15,6,(ROW($G$2:$G$2050)-ROW($G$2)+1)/($G$2:$G$2050&lt;&gt;""),ROWS(J$1:J48))),"")</f>
        <v>F 159-2 MOORES SPRING RD</v>
      </c>
      <c r="K48">
        <f>IF(J48="","",INDEX('Assignment Tool'!E64:E2097,MATCH(FA_DATA!J48,'Assignment Tool'!D64:D2097,0)))</f>
        <v>4</v>
      </c>
    </row>
    <row r="49" spans="1:11" x14ac:dyDescent="0.25">
      <c r="A49" s="118" t="str">
        <f t="shared" si="0"/>
        <v>F 45-1 AUTUMN LN</v>
      </c>
      <c r="G49" t="str">
        <f>IF('Assignment Tool'!C49="","",IF('Assignment Tool'!C49="FST",'Assignment Tool'!D49,""))</f>
        <v/>
      </c>
      <c r="H49">
        <v>49</v>
      </c>
      <c r="I49">
        <f t="shared" si="1"/>
        <v>261</v>
      </c>
      <c r="J49" t="str">
        <f t="array" ref="J49">IFERROR(INDEX($G$2:$G$2050,_xlfn.AGGREGATE(15,6,(ROW($G$2:$G$2050)-ROW($G$2)+1)/($G$2:$G$2050&lt;&gt;""),ROWS(J$1:J49))),"")</f>
        <v>F 167-1 MOORES SPRING RD</v>
      </c>
      <c r="K49">
        <f>IF(J49="","",INDEX('Assignment Tool'!E65:E2098,MATCH(FA_DATA!J49,'Assignment Tool'!D65:D2098,0)))</f>
        <v>8</v>
      </c>
    </row>
    <row r="50" spans="1:11" x14ac:dyDescent="0.25">
      <c r="A50" s="118" t="str">
        <f t="shared" si="0"/>
        <v>F 45-1 AUTUMN LN</v>
      </c>
      <c r="G50" t="str">
        <f>IF('Assignment Tool'!C50="","",IF('Assignment Tool'!C50="FST",'Assignment Tool'!D50,""))</f>
        <v/>
      </c>
      <c r="H50">
        <v>50</v>
      </c>
      <c r="I50">
        <f t="shared" si="1"/>
        <v>269</v>
      </c>
      <c r="J50" t="str">
        <f t="array" ref="J50">IFERROR(INDEX($G$2:$G$2050,_xlfn.AGGREGATE(15,6,(ROW($G$2:$G$2050)-ROW($G$2)+1)/($G$2:$G$2050&lt;&gt;""),ROWS(J$1:J50))),"")</f>
        <v>F 175-2 MOORES SPRING RD</v>
      </c>
      <c r="K50">
        <f>IF(J50="","",INDEX('Assignment Tool'!E66:E2099,MATCH(FA_DATA!J50,'Assignment Tool'!D66:D2099,0)))</f>
        <v>4</v>
      </c>
    </row>
    <row r="51" spans="1:11" x14ac:dyDescent="0.25">
      <c r="A51" s="118" t="str">
        <f t="shared" si="0"/>
        <v>F 45-1 AUTUMN LN</v>
      </c>
      <c r="G51" t="str">
        <f>IF('Assignment Tool'!C51="","",IF('Assignment Tool'!C51="FST",'Assignment Tool'!D51,""))</f>
        <v/>
      </c>
      <c r="H51">
        <v>51</v>
      </c>
      <c r="I51">
        <f t="shared" si="1"/>
        <v>273</v>
      </c>
      <c r="J51" t="str">
        <f t="array" ref="J51">IFERROR(INDEX($G$2:$G$2050,_xlfn.AGGREGATE(15,6,(ROW($G$2:$G$2050)-ROW($G$2)+1)/($G$2:$G$2050&lt;&gt;""),ROWS(J$1:J51))),"")</f>
        <v>F 179-1 MOORES SPRING RD</v>
      </c>
      <c r="K51">
        <f>IF(J51="","",INDEX('Assignment Tool'!E67:E2100,MATCH(FA_DATA!J51,'Assignment Tool'!D67:D2100,0)))</f>
        <v>4</v>
      </c>
    </row>
    <row r="52" spans="1:11" x14ac:dyDescent="0.25">
      <c r="A52" s="118" t="str">
        <f t="shared" si="0"/>
        <v>F 45-1 AUTUMN LN</v>
      </c>
      <c r="G52" t="str">
        <f>IF('Assignment Tool'!C52="","",IF('Assignment Tool'!C52="FST",'Assignment Tool'!D52,""))</f>
        <v/>
      </c>
      <c r="H52">
        <v>52</v>
      </c>
      <c r="I52">
        <f t="shared" si="1"/>
        <v>277</v>
      </c>
      <c r="J52" t="str">
        <f t="array" ref="J52">IFERROR(INDEX($G$2:$G$2050,_xlfn.AGGREGATE(15,6,(ROW($G$2:$G$2050)-ROW($G$2)+1)/($G$2:$G$2050&lt;&gt;""),ROWS(J$1:J52))),"")</f>
        <v>F 7390-1 HIGHWAY 22</v>
      </c>
      <c r="K52">
        <f>IF(J52="","",INDEX('Assignment Tool'!E68:E2101,MATCH(FA_DATA!J52,'Assignment Tool'!D68:D2101,0)))</f>
        <v>12</v>
      </c>
    </row>
    <row r="53" spans="1:11" x14ac:dyDescent="0.25">
      <c r="A53" s="118" t="str">
        <f t="shared" si="0"/>
        <v>OPP 166-1 SALTERS PATH</v>
      </c>
      <c r="G53" t="str">
        <f>IF('Assignment Tool'!C53="","",IF('Assignment Tool'!C53="FST",'Assignment Tool'!D53,""))</f>
        <v/>
      </c>
      <c r="H53">
        <v>53</v>
      </c>
      <c r="I53">
        <f t="shared" si="1"/>
        <v>289</v>
      </c>
      <c r="J53" t="str">
        <f t="array" ref="J53">IFERROR(INDEX($G$2:$G$2050,_xlfn.AGGREGATE(15,6,(ROW($G$2:$G$2050)-ROW($G$2)+1)/($G$2:$G$2050&lt;&gt;""),ROWS(J$1:J53))),"")</f>
        <v>F 7490-1 HIGHWAY 22</v>
      </c>
      <c r="K53">
        <f>IF(J53="","",INDEX('Assignment Tool'!E69:E2102,MATCH(FA_DATA!J53,'Assignment Tool'!D69:D2102,0)))</f>
        <v>4</v>
      </c>
    </row>
    <row r="54" spans="1:11" x14ac:dyDescent="0.25">
      <c r="A54" s="118" t="str">
        <f t="shared" si="0"/>
        <v>OPP 166-1 SALTERS PATH</v>
      </c>
      <c r="G54" t="str">
        <f>IF('Assignment Tool'!C54="","",IF('Assignment Tool'!C54="FST",'Assignment Tool'!D54,""))</f>
        <v/>
      </c>
      <c r="H54">
        <v>54</v>
      </c>
      <c r="I54">
        <f t="shared" si="1"/>
        <v>293</v>
      </c>
      <c r="J54" t="str">
        <f t="array" ref="J54">IFERROR(INDEX($G$2:$G$2050,_xlfn.AGGREGATE(15,6,(ROW($G$2:$G$2050)-ROW($G$2)+1)/($G$2:$G$2050&lt;&gt;""),ROWS(J$1:J54))),"")</f>
        <v>OPP 7615-1 HIGHWAY 22</v>
      </c>
      <c r="K54">
        <f>IF(J54="","",INDEX('Assignment Tool'!E70:E2103,MATCH(FA_DATA!J54,'Assignment Tool'!D70:D2103,0)))</f>
        <v>4</v>
      </c>
    </row>
    <row r="55" spans="1:11" x14ac:dyDescent="0.25">
      <c r="A55" s="118" t="str">
        <f t="shared" si="0"/>
        <v>OPP 166-1 SALTERS PATH</v>
      </c>
      <c r="G55" t="str">
        <f>IF('Assignment Tool'!C55="","",IF('Assignment Tool'!C55="FST",'Assignment Tool'!D55,""))</f>
        <v/>
      </c>
      <c r="H55">
        <v>55</v>
      </c>
      <c r="I55">
        <f t="shared" si="1"/>
        <v>297</v>
      </c>
      <c r="J55" t="str">
        <f t="array" ref="J55">IFERROR(INDEX($G$2:$G$2050,_xlfn.AGGREGATE(15,6,(ROW($G$2:$G$2050)-ROW($G$2)+1)/($G$2:$G$2050&lt;&gt;""),ROWS(J$1:J55))),"")</f>
        <v>F 7706-1 HIGHWAY 22</v>
      </c>
      <c r="K55">
        <f>IF(J55="","",INDEX('Assignment Tool'!E71:E2104,MATCH(FA_DATA!J55,'Assignment Tool'!D71:D2104,0)))</f>
        <v>4</v>
      </c>
    </row>
    <row r="56" spans="1:11" x14ac:dyDescent="0.25">
      <c r="A56" s="118" t="str">
        <f t="shared" si="0"/>
        <v>OPP 166-1 SALTERS PATH</v>
      </c>
      <c r="G56" t="str">
        <f>IF('Assignment Tool'!C56="","",IF('Assignment Tool'!C56="FST",'Assignment Tool'!D56,""))</f>
        <v/>
      </c>
      <c r="H56">
        <v>56</v>
      </c>
      <c r="I56">
        <f t="shared" si="1"/>
        <v>301</v>
      </c>
      <c r="J56" t="str">
        <f t="array" ref="J56">IFERROR(INDEX($G$2:$G$2050,_xlfn.AGGREGATE(15,6,(ROW($G$2:$G$2050)-ROW($G$2)+1)/($G$2:$G$2050&lt;&gt;""),ROWS(J$1:J56))),"")</f>
        <v>F 6512-1 HIGHWAY 16</v>
      </c>
      <c r="K56">
        <f>IF(J56="","",INDEX('Assignment Tool'!E72:E2105,MATCH(FA_DATA!J56,'Assignment Tool'!D72:D2105,0)))</f>
        <v>4</v>
      </c>
    </row>
    <row r="57" spans="1:11" x14ac:dyDescent="0.25">
      <c r="A57" s="118" t="str">
        <f t="shared" si="0"/>
        <v>OPP 166-1 SALTERS PATH</v>
      </c>
      <c r="G57" t="str">
        <f>IF('Assignment Tool'!C57="","",IF('Assignment Tool'!C57="FST",'Assignment Tool'!D57,""))</f>
        <v/>
      </c>
      <c r="H57">
        <v>57</v>
      </c>
      <c r="I57">
        <f t="shared" si="1"/>
        <v>305</v>
      </c>
      <c r="J57" t="str">
        <f t="array" ref="J57">IFERROR(INDEX($G$2:$G$2050,_xlfn.AGGREGATE(15,6,(ROW($G$2:$G$2050)-ROW($G$2)+1)/($G$2:$G$2050&lt;&gt;""),ROWS(J$1:J57))),"")</f>
        <v>F 6418-1 HIGHWAY 16</v>
      </c>
      <c r="K57">
        <f>IF(J57="","",INDEX('Assignment Tool'!E73:E2106,MATCH(FA_DATA!J57,'Assignment Tool'!D73:D2106,0)))</f>
        <v>4</v>
      </c>
    </row>
    <row r="58" spans="1:11" x14ac:dyDescent="0.25">
      <c r="A58" s="118" t="str">
        <f t="shared" si="0"/>
        <v>OPP 166-1 SALTERS PATH</v>
      </c>
      <c r="G58" t="str">
        <f>IF('Assignment Tool'!C58="","",IF('Assignment Tool'!C58="FST",'Assignment Tool'!D58,""))</f>
        <v>F 6475-1 HIGHWAY 22</v>
      </c>
      <c r="H58">
        <v>58</v>
      </c>
      <c r="I58">
        <f t="shared" si="1"/>
        <v>309</v>
      </c>
      <c r="J58" t="str">
        <f t="array" ref="J58">IFERROR(INDEX($G$2:$G$2050,_xlfn.AGGREGATE(15,6,(ROW($G$2:$G$2050)-ROW($G$2)+1)/($G$2:$G$2050&lt;&gt;""),ROWS(J$1:J58))),"")</f>
        <v>F 6305-1 HIGHWAY 16</v>
      </c>
      <c r="K58">
        <f>IF(J58="","",INDEX('Assignment Tool'!E74:E2107,MATCH(FA_DATA!J58,'Assignment Tool'!D74:D2107,0)))</f>
        <v>4</v>
      </c>
    </row>
    <row r="59" spans="1:11" x14ac:dyDescent="0.25">
      <c r="A59" s="118" t="str">
        <f t="shared" si="0"/>
        <v>OPP 166-1 SALTERS PATH</v>
      </c>
      <c r="G59" t="str">
        <f>IF('Assignment Tool'!C59="","",IF('Assignment Tool'!C59="FST",'Assignment Tool'!D59,""))</f>
        <v>OPP 29-1 SALTERS PATH</v>
      </c>
      <c r="H59">
        <v>59</v>
      </c>
      <c r="I59">
        <f t="shared" si="1"/>
        <v>313</v>
      </c>
      <c r="J59" t="str">
        <f t="array" ref="J59">IFERROR(INDEX($G$2:$G$2050,_xlfn.AGGREGATE(15,6,(ROW($G$2:$G$2050)-ROW($G$2)+1)/($G$2:$G$2050&lt;&gt;""),ROWS(J$1:J59))),"")</f>
        <v>OPP 200-1 STAMPS JUNCTION</v>
      </c>
      <c r="K59">
        <f>IF(J59="","",INDEX('Assignment Tool'!E75:E2108,MATCH(FA_DATA!J59,'Assignment Tool'!D75:D2108,0)))</f>
        <v>8</v>
      </c>
    </row>
    <row r="60" spans="1:11" x14ac:dyDescent="0.25">
      <c r="A60" s="118" t="str">
        <f t="shared" si="0"/>
        <v>OPP 166-1 SALTERS PATH</v>
      </c>
      <c r="G60" t="str">
        <f>IF('Assignment Tool'!C60="","",IF('Assignment Tool'!C60="FST",'Assignment Tool'!D60,""))</f>
        <v>F 6387-1 HIGHWAY 22</v>
      </c>
      <c r="H60">
        <v>60</v>
      </c>
      <c r="I60">
        <f t="shared" si="1"/>
        <v>321</v>
      </c>
      <c r="J60" t="str">
        <f t="array" ref="J60">IFERROR(INDEX($G$2:$G$2050,_xlfn.AGGREGATE(15,6,(ROW($G$2:$G$2050)-ROW($G$2)+1)/($G$2:$G$2050&lt;&gt;""),ROWS(J$1:J60))),"")</f>
        <v>F 7920-1 HIGHWAY 22</v>
      </c>
      <c r="K60">
        <f>IF(J60="","",INDEX('Assignment Tool'!E76:E2109,MATCH(FA_DATA!J60,'Assignment Tool'!D76:D2109,0)))</f>
        <v>4</v>
      </c>
    </row>
    <row r="61" spans="1:11" x14ac:dyDescent="0.25">
      <c r="A61" s="118" t="str">
        <f t="shared" si="0"/>
        <v>F 6199-1 HIGHWAY 22</v>
      </c>
      <c r="G61" t="str">
        <f>IF('Assignment Tool'!C61="","",IF('Assignment Tool'!C61="FST",'Assignment Tool'!D61,""))</f>
        <v>F 45-1 AUTUMN LN</v>
      </c>
      <c r="H61">
        <v>61</v>
      </c>
      <c r="I61">
        <f t="shared" si="1"/>
        <v>325</v>
      </c>
      <c r="J61" t="str">
        <f t="array" ref="J61">IFERROR(INDEX($G$2:$G$2050,_xlfn.AGGREGATE(15,6,(ROW($G$2:$G$2050)-ROW($G$2)+1)/($G$2:$G$2050&lt;&gt;""),ROWS(J$1:J61))),"")</f>
        <v>F 6233-1 HIGHWAY 16</v>
      </c>
      <c r="K61">
        <f>IF(J61="","",INDEX('Assignment Tool'!E77:E2110,MATCH(FA_DATA!J61,'Assignment Tool'!D77:D2110,0)))</f>
        <v>8</v>
      </c>
    </row>
    <row r="62" spans="1:11" x14ac:dyDescent="0.25">
      <c r="A62" s="118" t="str">
        <f t="shared" si="0"/>
        <v>F 6199-1 HIGHWAY 22</v>
      </c>
      <c r="G62" t="str">
        <f>IF('Assignment Tool'!C62="","",IF('Assignment Tool'!C62="FST",'Assignment Tool'!D62,""))</f>
        <v>OPP 166-1 SALTERS PATH</v>
      </c>
      <c r="H62">
        <v>62</v>
      </c>
      <c r="I62">
        <f t="shared" si="1"/>
        <v>333</v>
      </c>
      <c r="J62" t="str">
        <f t="array" ref="J62">IFERROR(INDEX($G$2:$G$2050,_xlfn.AGGREGATE(15,6,(ROW($G$2:$G$2050)-ROW($G$2)+1)/($G$2:$G$2050&lt;&gt;""),ROWS(J$1:J62))),"")</f>
        <v>F 6169-1 HIGHWAY 16</v>
      </c>
      <c r="K62">
        <f>IF(J62="","",INDEX('Assignment Tool'!E78:E2111,MATCH(FA_DATA!J62,'Assignment Tool'!D78:D2111,0)))</f>
        <v>8</v>
      </c>
    </row>
    <row r="63" spans="1:11" x14ac:dyDescent="0.25">
      <c r="A63" s="118" t="str">
        <f t="shared" si="0"/>
        <v>F 6199-1 HIGHWAY 22</v>
      </c>
      <c r="G63" t="str">
        <f>IF('Assignment Tool'!C63="","",IF('Assignment Tool'!C63="FST",'Assignment Tool'!D63,""))</f>
        <v/>
      </c>
      <c r="H63">
        <v>63</v>
      </c>
      <c r="I63">
        <f t="shared" si="1"/>
        <v>341</v>
      </c>
      <c r="J63" t="str">
        <f t="array" ref="J63">IFERROR(INDEX($G$2:$G$2050,_xlfn.AGGREGATE(15,6,(ROW($G$2:$G$2050)-ROW($G$2)+1)/($G$2:$G$2050&lt;&gt;""),ROWS(J$1:J63))),"")</f>
        <v>OPP 6116-1 HIGHWAY 16</v>
      </c>
      <c r="K63">
        <f>IF(J63="","",INDEX('Assignment Tool'!E79:E2112,MATCH(FA_DATA!J63,'Assignment Tool'!D79:D2112,0)))</f>
        <v>8</v>
      </c>
    </row>
    <row r="64" spans="1:11" x14ac:dyDescent="0.25">
      <c r="A64" s="118" t="str">
        <f t="shared" si="0"/>
        <v>F 6199-1 HIGHWAY 22</v>
      </c>
      <c r="G64" t="str">
        <f>IF('Assignment Tool'!C64="","",IF('Assignment Tool'!C64="FST",'Assignment Tool'!D64,""))</f>
        <v/>
      </c>
      <c r="H64">
        <v>64</v>
      </c>
      <c r="I64">
        <f t="shared" si="1"/>
        <v>349</v>
      </c>
      <c r="J64" t="str">
        <f t="array" ref="J64">IFERROR(INDEX($G$2:$G$2050,_xlfn.AGGREGATE(15,6,(ROW($G$2:$G$2050)-ROW($G$2)+1)/($G$2:$G$2050&lt;&gt;""),ROWS(J$1:J64))),"")</f>
        <v>F 6087-1 HIGHWAY 16</v>
      </c>
      <c r="K64">
        <f>IF(J64="","",INDEX('Assignment Tool'!E80:E2113,MATCH(FA_DATA!J64,'Assignment Tool'!D80:D2113,0)))</f>
        <v>4</v>
      </c>
    </row>
    <row r="65" spans="1:11" x14ac:dyDescent="0.25">
      <c r="A65" s="118" t="str">
        <f t="shared" si="0"/>
        <v>F 6065-1 HIGHWAY 22</v>
      </c>
      <c r="G65" t="str">
        <f>IF('Assignment Tool'!C65="","",IF('Assignment Tool'!C65="FST",'Assignment Tool'!D65,""))</f>
        <v/>
      </c>
      <c r="H65">
        <v>65</v>
      </c>
      <c r="I65">
        <f t="shared" si="1"/>
        <v>353</v>
      </c>
      <c r="J65" t="str">
        <f t="array" ref="J65">IFERROR(INDEX($G$2:$G$2050,_xlfn.AGGREGATE(15,6,(ROW($G$2:$G$2050)-ROW($G$2)+1)/($G$2:$G$2050&lt;&gt;""),ROWS(J$1:J65))),"")</f>
        <v>F 5691-1 HIGHWAY 16</v>
      </c>
      <c r="K65">
        <f>IF(J65="","",INDEX('Assignment Tool'!E81:E2114,MATCH(FA_DATA!J65,'Assignment Tool'!D81:D2114,0)))</f>
        <v>8</v>
      </c>
    </row>
    <row r="66" spans="1:11" x14ac:dyDescent="0.25">
      <c r="A66" s="118" t="str">
        <f t="shared" ref="A66:A129" si="2">VLOOKUP(H66,$I$1:$J$1000,2)</f>
        <v>F 6065-1 HIGHWAY 22</v>
      </c>
      <c r="G66" t="str">
        <f>IF('Assignment Tool'!C66="","",IF('Assignment Tool'!C66="FST",'Assignment Tool'!D66,""))</f>
        <v/>
      </c>
      <c r="H66">
        <v>66</v>
      </c>
      <c r="I66">
        <f t="shared" si="1"/>
        <v>361</v>
      </c>
      <c r="J66" t="str">
        <f t="array" ref="J66">IFERROR(INDEX($G$2:$G$2050,_xlfn.AGGREGATE(15,6,(ROW($G$2:$G$2050)-ROW($G$2)+1)/($G$2:$G$2050&lt;&gt;""),ROWS(J$1:J66))),"")</f>
        <v>F 5569-1 HIGHWAY 16</v>
      </c>
      <c r="K66">
        <f>IF(J66="","",INDEX('Assignment Tool'!E82:E2115,MATCH(FA_DATA!J66,'Assignment Tool'!D82:D2115,0)))</f>
        <v>8</v>
      </c>
    </row>
    <row r="67" spans="1:11" x14ac:dyDescent="0.25">
      <c r="A67" s="118" t="str">
        <f t="shared" si="2"/>
        <v>F 6065-1 HIGHWAY 22</v>
      </c>
      <c r="G67" t="str">
        <f>IF('Assignment Tool'!C67="","",IF('Assignment Tool'!C67="FST",'Assignment Tool'!D67,""))</f>
        <v/>
      </c>
      <c r="H67">
        <v>67</v>
      </c>
      <c r="I67">
        <f t="shared" ref="I67:I130" si="3">IFERROR((I66+K66),"")</f>
        <v>369</v>
      </c>
      <c r="J67" t="str">
        <f t="array" ref="J67">IFERROR(INDEX($G$2:$G$2050,_xlfn.AGGREGATE(15,6,(ROW($G$2:$G$2050)-ROW($G$2)+1)/($G$2:$G$2050&lt;&gt;""),ROWS(J$1:J67))),"")</f>
        <v>OPP 5464-1 HIGHWAY 16</v>
      </c>
      <c r="K67">
        <f>IF(J67="","",INDEX('Assignment Tool'!E83:E2116,MATCH(FA_DATA!J67,'Assignment Tool'!D83:D2116,0)))</f>
        <v>8</v>
      </c>
    </row>
    <row r="68" spans="1:11" x14ac:dyDescent="0.25">
      <c r="A68" s="118" t="str">
        <f t="shared" si="2"/>
        <v>F 6065-1 HIGHWAY 22</v>
      </c>
      <c r="G68" t="str">
        <f>IF('Assignment Tool'!C68="","",IF('Assignment Tool'!C68="FST",'Assignment Tool'!D68,""))</f>
        <v/>
      </c>
      <c r="H68">
        <v>68</v>
      </c>
      <c r="I68">
        <f t="shared" si="3"/>
        <v>377</v>
      </c>
      <c r="J68" t="str">
        <f t="array" ref="J68">IFERROR(INDEX($G$2:$G$2050,_xlfn.AGGREGATE(15,6,(ROW($G$2:$G$2050)-ROW($G$2)+1)/($G$2:$G$2050&lt;&gt;""),ROWS(J$1:J68))),"")</f>
        <v>F 5385-1 HIGHWAY 16</v>
      </c>
      <c r="K68">
        <f>IF(J68="","",INDEX('Assignment Tool'!E84:E2117,MATCH(FA_DATA!J68,'Assignment Tool'!D84:D2117,0)))</f>
        <v>4</v>
      </c>
    </row>
    <row r="69" spans="1:11" x14ac:dyDescent="0.25">
      <c r="A69" s="118" t="str">
        <f t="shared" si="2"/>
        <v>F 6011-1 HIGHWAY 22</v>
      </c>
      <c r="G69" t="str">
        <f>IF('Assignment Tool'!C69="","",IF('Assignment Tool'!C69="FST",'Assignment Tool'!D69,""))</f>
        <v/>
      </c>
      <c r="H69">
        <v>69</v>
      </c>
      <c r="I69">
        <f t="shared" si="3"/>
        <v>381</v>
      </c>
      <c r="J69" t="str">
        <f t="array" ref="J69">IFERROR(INDEX($G$2:$G$2050,_xlfn.AGGREGATE(15,6,(ROW($G$2:$G$2050)-ROW($G$2)+1)/($G$2:$G$2050&lt;&gt;""),ROWS(J$1:J69))),"")</f>
        <v>F 5343-1 HIGHWAY 16</v>
      </c>
      <c r="K69">
        <f>IF(J69="","",INDEX('Assignment Tool'!E85:E2118,MATCH(FA_DATA!J69,'Assignment Tool'!D85:D2118,0)))</f>
        <v>4</v>
      </c>
    </row>
    <row r="70" spans="1:11" x14ac:dyDescent="0.25">
      <c r="A70" s="118" t="str">
        <f t="shared" si="2"/>
        <v>F 6011-1 HIGHWAY 22</v>
      </c>
      <c r="G70" t="str">
        <f>IF('Assignment Tool'!C70="","",IF('Assignment Tool'!C70="FST",'Assignment Tool'!D70,""))</f>
        <v/>
      </c>
      <c r="H70">
        <v>70</v>
      </c>
      <c r="I70">
        <f t="shared" si="3"/>
        <v>385</v>
      </c>
      <c r="J70" t="str">
        <f t="array" ref="J70">IFERROR(INDEX($G$2:$G$2050,_xlfn.AGGREGATE(15,6,(ROW($G$2:$G$2050)-ROW($G$2)+1)/($G$2:$G$2050&lt;&gt;""),ROWS(J$1:J70))),"")</f>
        <v>F 7966-1 HIGHWAY 22</v>
      </c>
      <c r="K70">
        <f>IF(J70="","",INDEX('Assignment Tool'!E86:E2119,MATCH(FA_DATA!J70,'Assignment Tool'!D86:D2119,0)))</f>
        <v>2</v>
      </c>
    </row>
    <row r="71" spans="1:11" x14ac:dyDescent="0.25">
      <c r="A71" s="118" t="str">
        <f t="shared" si="2"/>
        <v>F 6011-1 HIGHWAY 22</v>
      </c>
      <c r="G71" t="str">
        <f>IF('Assignment Tool'!C71="","",IF('Assignment Tool'!C71="FST",'Assignment Tool'!D71,""))</f>
        <v/>
      </c>
      <c r="H71">
        <v>71</v>
      </c>
      <c r="I71">
        <f t="shared" si="3"/>
        <v>387</v>
      </c>
      <c r="J71" t="str">
        <f t="array" ref="J71">IFERROR(INDEX($G$2:$G$2050,_xlfn.AGGREGATE(15,6,(ROW($G$2:$G$2050)-ROW($G$2)+1)/($G$2:$G$2050&lt;&gt;""),ROWS(J$1:J71))),"")</f>
        <v>F 8154-1 HIGHWAY 22</v>
      </c>
      <c r="K71">
        <f>IF(J71="","",INDEX('Assignment Tool'!E87:E2120,MATCH(FA_DATA!J71,'Assignment Tool'!D87:D2120,0)))</f>
        <v>8</v>
      </c>
    </row>
    <row r="72" spans="1:11" x14ac:dyDescent="0.25">
      <c r="A72" s="118" t="str">
        <f t="shared" si="2"/>
        <v>F 6011-1 HIGHWAY 22</v>
      </c>
      <c r="G72" t="str">
        <f>IF('Assignment Tool'!C72="","",IF('Assignment Tool'!C72="FST",'Assignment Tool'!D72,""))</f>
        <v/>
      </c>
      <c r="H72">
        <v>72</v>
      </c>
      <c r="I72">
        <f t="shared" si="3"/>
        <v>395</v>
      </c>
      <c r="J72" t="str">
        <f t="array" ref="J72">IFERROR(INDEX($G$2:$G$2050,_xlfn.AGGREGATE(15,6,(ROW($G$2:$G$2050)-ROW($G$2)+1)/($G$2:$G$2050&lt;&gt;""),ROWS(J$1:J72))),"")</f>
        <v>F 122-1 LEGACY OAKS DR</v>
      </c>
      <c r="K72">
        <f>IF(J72="","",INDEX('Assignment Tool'!E88:E2121,MATCH(FA_DATA!J72,'Assignment Tool'!D88:D2121,0)))</f>
        <v>2</v>
      </c>
    </row>
    <row r="73" spans="1:11" x14ac:dyDescent="0.25">
      <c r="A73" s="118" t="str">
        <f t="shared" si="2"/>
        <v>F 128-2 MOUNTAINVIEW DR</v>
      </c>
      <c r="G73" t="str">
        <f>IF('Assignment Tool'!C73="","",IF('Assignment Tool'!C73="FST",'Assignment Tool'!D73,""))</f>
        <v/>
      </c>
      <c r="H73">
        <v>73</v>
      </c>
      <c r="I73">
        <f t="shared" si="3"/>
        <v>397</v>
      </c>
      <c r="J73" t="str">
        <f t="array" ref="J73">IFERROR(INDEX($G$2:$G$2050,_xlfn.AGGREGATE(15,6,(ROW($G$2:$G$2050)-ROW($G$2)+1)/($G$2:$G$2050&lt;&gt;""),ROWS(J$1:J73))),"")</f>
        <v>F 30-1 HIGHWAY 107</v>
      </c>
      <c r="K73">
        <f>IF(J73="","",INDEX('Assignment Tool'!E89:E2122,MATCH(FA_DATA!J73,'Assignment Tool'!D89:D2122,0)))</f>
        <v>4</v>
      </c>
    </row>
    <row r="74" spans="1:11" x14ac:dyDescent="0.25">
      <c r="A74" s="118" t="str">
        <f t="shared" si="2"/>
        <v>F 128-2 MOUNTAINVIEW DR</v>
      </c>
      <c r="G74" t="str">
        <f>IF('Assignment Tool'!C74="","",IF('Assignment Tool'!C74="FST",'Assignment Tool'!D74,""))</f>
        <v/>
      </c>
      <c r="H74">
        <v>74</v>
      </c>
      <c r="I74">
        <f t="shared" si="3"/>
        <v>401</v>
      </c>
      <c r="J74" t="str">
        <f t="array" ref="J74">IFERROR(INDEX($G$2:$G$2050,_xlfn.AGGREGATE(15,6,(ROW($G$2:$G$2050)-ROW($G$2)+1)/($G$2:$G$2050&lt;&gt;""),ROWS(J$1:J74))),"")</f>
        <v>F 27-1 AMBERWOOD TRL</v>
      </c>
      <c r="K74">
        <f>IF(J74="","",INDEX('Assignment Tool'!E90:E2123,MATCH(FA_DATA!J74,'Assignment Tool'!D90:D2123,0)))</f>
        <v>8</v>
      </c>
    </row>
    <row r="75" spans="1:11" x14ac:dyDescent="0.25">
      <c r="A75" s="118" t="str">
        <f t="shared" si="2"/>
        <v>F 128-2 MOUNTAINVIEW DR</v>
      </c>
      <c r="G75" t="str">
        <f>IF('Assignment Tool'!C75="","",IF('Assignment Tool'!C75="FST",'Assignment Tool'!D75,""))</f>
        <v/>
      </c>
      <c r="H75">
        <v>75</v>
      </c>
      <c r="I75">
        <f t="shared" si="3"/>
        <v>409</v>
      </c>
      <c r="J75" t="str">
        <f t="array" ref="J75">IFERROR(INDEX($G$2:$G$2050,_xlfn.AGGREGATE(15,6,(ROW($G$2:$G$2050)-ROW($G$2)+1)/($G$2:$G$2050&lt;&gt;""),ROWS(J$1:J75))),"")</f>
        <v>F 1-2 HIGHWAY 107</v>
      </c>
      <c r="K75">
        <f>IF(J75="","",INDEX('Assignment Tool'!E91:E2124,MATCH(FA_DATA!J75,'Assignment Tool'!D91:D2124,0)))</f>
        <v>4</v>
      </c>
    </row>
    <row r="76" spans="1:11" x14ac:dyDescent="0.25">
      <c r="A76" s="118" t="str">
        <f t="shared" si="2"/>
        <v>F 128-2 MOUNTAINVIEW DR</v>
      </c>
      <c r="G76" t="str">
        <f>IF('Assignment Tool'!C76="","",IF('Assignment Tool'!C76="FST",'Assignment Tool'!D76,""))</f>
        <v/>
      </c>
      <c r="H76">
        <v>76</v>
      </c>
      <c r="I76">
        <f t="shared" si="3"/>
        <v>413</v>
      </c>
      <c r="J76" t="str">
        <f t="array" ref="J76">IFERROR(INDEX($G$2:$G$2050,_xlfn.AGGREGATE(15,6,(ROW($G$2:$G$2050)-ROW($G$2)+1)/($G$2:$G$2050&lt;&gt;""),ROWS(J$1:J76))),"")</f>
        <v>F 169-2 HIGHWAY 107</v>
      </c>
      <c r="K76">
        <f>IF(J76="","",INDEX('Assignment Tool'!E92:E2125,MATCH(FA_DATA!J76,'Assignment Tool'!D92:D2125,0)))</f>
        <v>4</v>
      </c>
    </row>
    <row r="77" spans="1:11" x14ac:dyDescent="0.25">
      <c r="A77" s="118" t="str">
        <f t="shared" si="2"/>
        <v>F 210-2 MOUNTAINVIEW DR</v>
      </c>
      <c r="G77" t="str">
        <f>IF('Assignment Tool'!C77="","",IF('Assignment Tool'!C77="FST",'Assignment Tool'!D77,""))</f>
        <v/>
      </c>
      <c r="H77">
        <v>77</v>
      </c>
      <c r="I77">
        <f t="shared" si="3"/>
        <v>417</v>
      </c>
      <c r="J77" t="str">
        <f t="array" ref="J77">IFERROR(INDEX($G$2:$G$2050,_xlfn.AGGREGATE(15,6,(ROW($G$2:$G$2050)-ROW($G$2)+1)/($G$2:$G$2050&lt;&gt;""),ROWS(J$1:J77))),"")</f>
        <v>OPP 314-2 HIGHWAY 107</v>
      </c>
      <c r="K77">
        <f>IF(J77="","",INDEX('Assignment Tool'!E93:E2126,MATCH(FA_DATA!J77,'Assignment Tool'!D93:D2126,0)))</f>
        <v>4</v>
      </c>
    </row>
    <row r="78" spans="1:11" x14ac:dyDescent="0.25">
      <c r="A78" s="118" t="str">
        <f t="shared" si="2"/>
        <v>F 210-2 MOUNTAINVIEW DR</v>
      </c>
      <c r="G78" t="str">
        <f>IF('Assignment Tool'!C78="","",IF('Assignment Tool'!C78="FST",'Assignment Tool'!D78,""))</f>
        <v/>
      </c>
      <c r="H78">
        <v>78</v>
      </c>
      <c r="I78">
        <f t="shared" si="3"/>
        <v>421</v>
      </c>
      <c r="J78" t="str">
        <f t="array" ref="J78">IFERROR(INDEX($G$2:$G$2050,_xlfn.AGGREGATE(15,6,(ROW($G$2:$G$2050)-ROW($G$2)+1)/($G$2:$G$2050&lt;&gt;""),ROWS(J$1:J78))),"")</f>
        <v>F 399-2 HIGHWAY 107</v>
      </c>
      <c r="K78">
        <f>IF(J78="","",INDEX('Assignment Tool'!E94:E2127,MATCH(FA_DATA!J78,'Assignment Tool'!D94:D2127,0)))</f>
        <v>4</v>
      </c>
    </row>
    <row r="79" spans="1:11" x14ac:dyDescent="0.25">
      <c r="A79" s="118" t="str">
        <f t="shared" si="2"/>
        <v>F 210-2 MOUNTAINVIEW DR</v>
      </c>
      <c r="G79" t="str">
        <f>IF('Assignment Tool'!C79="","",IF('Assignment Tool'!C79="FST",'Assignment Tool'!D79,""))</f>
        <v/>
      </c>
      <c r="H79">
        <v>79</v>
      </c>
      <c r="I79">
        <f t="shared" si="3"/>
        <v>425</v>
      </c>
      <c r="J79" t="str">
        <f t="array" ref="J79">IFERROR(INDEX($G$2:$G$2050,_xlfn.AGGREGATE(15,6,(ROW($G$2:$G$2050)-ROW($G$2)+1)/($G$2:$G$2050&lt;&gt;""),ROWS(J$1:J79))),"")</f>
        <v>OPP 480-2 HIGHWAY 107</v>
      </c>
      <c r="K79">
        <f>IF(J79="","",INDEX('Assignment Tool'!E95:E2128,MATCH(FA_DATA!J79,'Assignment Tool'!D95:D2128,0)))</f>
        <v>8</v>
      </c>
    </row>
    <row r="80" spans="1:11" x14ac:dyDescent="0.25">
      <c r="A80" s="118" t="str">
        <f t="shared" si="2"/>
        <v>F 210-2 MOUNTAINVIEW DR</v>
      </c>
      <c r="G80" t="str">
        <f>IF('Assignment Tool'!C80="","",IF('Assignment Tool'!C80="FST",'Assignment Tool'!D80,""))</f>
        <v/>
      </c>
      <c r="H80">
        <v>80</v>
      </c>
      <c r="I80">
        <f t="shared" si="3"/>
        <v>433</v>
      </c>
      <c r="J80" t="str">
        <f t="array" ref="J80">IFERROR(INDEX($G$2:$G$2050,_xlfn.AGGREGATE(15,6,(ROW($G$2:$G$2050)-ROW($G$2)+1)/($G$2:$G$2050&lt;&gt;""),ROWS(J$1:J80))),"")</f>
        <v>F 95-2 ALBRIGHT FARM RD</v>
      </c>
      <c r="K80">
        <f>IF(J80="","",INDEX('Assignment Tool'!E96:E2129,MATCH(FA_DATA!J80,'Assignment Tool'!D96:D2129,0)))</f>
        <v>8</v>
      </c>
    </row>
    <row r="81" spans="1:11" x14ac:dyDescent="0.25">
      <c r="A81" s="118" t="str">
        <f t="shared" si="2"/>
        <v>F 210-2 MOUNTAINVIEW DR</v>
      </c>
      <c r="G81" t="str">
        <f>IF('Assignment Tool'!C81="","",IF('Assignment Tool'!C81="FST",'Assignment Tool'!D81,""))</f>
        <v/>
      </c>
      <c r="H81">
        <v>81</v>
      </c>
      <c r="I81">
        <f t="shared" si="3"/>
        <v>441</v>
      </c>
      <c r="J81" t="str">
        <f t="array" ref="J81">IFERROR(INDEX($G$2:$G$2050,_xlfn.AGGREGATE(15,6,(ROW($G$2:$G$2050)-ROW($G$2)+1)/($G$2:$G$2050&lt;&gt;""),ROWS(J$1:J81))),"")</f>
        <v>OPP 566-2 HIGHWAY 107</v>
      </c>
      <c r="K81">
        <f>IF(J81="","",INDEX('Assignment Tool'!E97:E2130,MATCH(FA_DATA!J81,'Assignment Tool'!D97:D2130,0)))</f>
        <v>4</v>
      </c>
    </row>
    <row r="82" spans="1:11" x14ac:dyDescent="0.25">
      <c r="A82" s="118" t="str">
        <f t="shared" si="2"/>
        <v>F 210-2 MOUNTAINVIEW DR</v>
      </c>
      <c r="G82" t="str">
        <f>IF('Assignment Tool'!C82="","",IF('Assignment Tool'!C82="FST",'Assignment Tool'!D82,""))</f>
        <v/>
      </c>
      <c r="H82">
        <v>82</v>
      </c>
      <c r="I82">
        <f t="shared" si="3"/>
        <v>445</v>
      </c>
      <c r="J82" t="str">
        <f t="array" ref="J82">IFERROR(INDEX($G$2:$G$2050,_xlfn.AGGREGATE(15,6,(ROW($G$2:$G$2050)-ROW($G$2)+1)/($G$2:$G$2050&lt;&gt;""),ROWS(J$1:J82))),"")</f>
        <v>F 643-2 HIGHWAY 107</v>
      </c>
      <c r="K82">
        <f>IF(J82="","",INDEX('Assignment Tool'!E98:E2131,MATCH(FA_DATA!J82,'Assignment Tool'!D98:D2131,0)))</f>
        <v>4</v>
      </c>
    </row>
    <row r="83" spans="1:11" x14ac:dyDescent="0.25">
      <c r="A83" s="118" t="str">
        <f t="shared" si="2"/>
        <v>F 210-2 MOUNTAINVIEW DR</v>
      </c>
      <c r="G83" t="str">
        <f>IF('Assignment Tool'!C83="","",IF('Assignment Tool'!C83="FST",'Assignment Tool'!D83,""))</f>
        <v/>
      </c>
      <c r="H83">
        <v>83</v>
      </c>
      <c r="I83">
        <f t="shared" si="3"/>
        <v>449</v>
      </c>
      <c r="J83" t="str">
        <f t="array" ref="J83">IFERROR(INDEX($G$2:$G$2050,_xlfn.AGGREGATE(15,6,(ROW($G$2:$G$2050)-ROW($G$2)+1)/($G$2:$G$2050&lt;&gt;""),ROWS(J$1:J83))),"")</f>
        <v>F 661-2 HIGHWAY 107</v>
      </c>
      <c r="K83">
        <f>IF(J83="","",INDEX('Assignment Tool'!E99:E2132,MATCH(FA_DATA!J83,'Assignment Tool'!D99:D2132,0)))</f>
        <v>4</v>
      </c>
    </row>
    <row r="84" spans="1:11" x14ac:dyDescent="0.25">
      <c r="A84" s="118" t="str">
        <f t="shared" si="2"/>
        <v>F 210-2 MOUNTAINVIEW DR</v>
      </c>
      <c r="G84" t="str">
        <f>IF('Assignment Tool'!C84="","",IF('Assignment Tool'!C84="FST",'Assignment Tool'!D84,""))</f>
        <v/>
      </c>
      <c r="H84">
        <v>84</v>
      </c>
      <c r="I84">
        <f t="shared" si="3"/>
        <v>453</v>
      </c>
      <c r="J84" t="str">
        <f t="array" ref="J84">IFERROR(INDEX($G$2:$G$2050,_xlfn.AGGREGATE(15,6,(ROW($G$2:$G$2050)-ROW($G$2)+1)/($G$2:$G$2050&lt;&gt;""),ROWS(J$1:J84))),"")</f>
        <v>OPP 780-2 HIGHWAY 107</v>
      </c>
      <c r="K84">
        <f>IF(J84="","",INDEX('Assignment Tool'!E100:E2133,MATCH(FA_DATA!J84,'Assignment Tool'!D100:D2133,0)))</f>
        <v>4</v>
      </c>
    </row>
    <row r="85" spans="1:11" x14ac:dyDescent="0.25">
      <c r="A85" s="118" t="str">
        <f t="shared" si="2"/>
        <v>F 5926-1 HIGHWAY 22</v>
      </c>
      <c r="G85" t="str">
        <f>IF('Assignment Tool'!C85="","",IF('Assignment Tool'!C85="FST",'Assignment Tool'!D85,""))</f>
        <v/>
      </c>
      <c r="H85">
        <v>85</v>
      </c>
      <c r="I85">
        <f t="shared" si="3"/>
        <v>457</v>
      </c>
      <c r="J85" t="str">
        <f t="array" ref="J85">IFERROR(INDEX($G$2:$G$2050,_xlfn.AGGREGATE(15,6,(ROW($G$2:$G$2050)-ROW($G$2)+1)/($G$2:$G$2050&lt;&gt;""),ROWS(J$1:J85))),"")</f>
        <v>F 815-2 HIGHWAY 107</v>
      </c>
      <c r="K85">
        <f>IF(J85="","",INDEX('Assignment Tool'!E101:E2134,MATCH(FA_DATA!J85,'Assignment Tool'!D101:D2134,0)))</f>
        <v>4</v>
      </c>
    </row>
    <row r="86" spans="1:11" x14ac:dyDescent="0.25">
      <c r="A86" s="118" t="str">
        <f t="shared" si="2"/>
        <v>F 5926-1 HIGHWAY 22</v>
      </c>
      <c r="G86" t="str">
        <f>IF('Assignment Tool'!C86="","",IF('Assignment Tool'!C86="FST",'Assignment Tool'!D86,""))</f>
        <v/>
      </c>
      <c r="H86">
        <v>86</v>
      </c>
      <c r="I86">
        <f t="shared" si="3"/>
        <v>461</v>
      </c>
      <c r="J86" t="str">
        <f t="array" ref="J86">IFERROR(INDEX($G$2:$G$2050,_xlfn.AGGREGATE(15,6,(ROW($G$2:$G$2050)-ROW($G$2)+1)/($G$2:$G$2050&lt;&gt;""),ROWS(J$1:J86))),"")</f>
        <v>F 941-2 HIGHWAY 107</v>
      </c>
      <c r="K86">
        <f>IF(J86="","",INDEX('Assignment Tool'!E102:E2135,MATCH(FA_DATA!J86,'Assignment Tool'!D102:D2135,0)))</f>
        <v>8</v>
      </c>
    </row>
    <row r="87" spans="1:11" x14ac:dyDescent="0.25">
      <c r="A87" s="118" t="str">
        <f t="shared" si="2"/>
        <v>F 5926-1 HIGHWAY 22</v>
      </c>
      <c r="G87" t="str">
        <f>IF('Assignment Tool'!C87="","",IF('Assignment Tool'!C87="FST",'Assignment Tool'!D87,""))</f>
        <v/>
      </c>
      <c r="H87">
        <v>87</v>
      </c>
      <c r="I87">
        <f t="shared" si="3"/>
        <v>469</v>
      </c>
      <c r="J87" t="str">
        <f t="array" ref="J87">IFERROR(INDEX($G$2:$G$2050,_xlfn.AGGREGATE(15,6,(ROW($G$2:$G$2050)-ROW($G$2)+1)/($G$2:$G$2050&lt;&gt;""),ROWS(J$1:J87))),"")</f>
        <v>F 985-2 HIGHWAY 107</v>
      </c>
      <c r="K87">
        <f>IF(J87="","",INDEX('Assignment Tool'!E103:E2136,MATCH(FA_DATA!J87,'Assignment Tool'!D103:D2136,0)))</f>
        <v>4</v>
      </c>
    </row>
    <row r="88" spans="1:11" x14ac:dyDescent="0.25">
      <c r="A88" s="118" t="str">
        <f t="shared" si="2"/>
        <v>F 5926-1 HIGHWAY 22</v>
      </c>
      <c r="G88" t="str">
        <f>IF('Assignment Tool'!C88="","",IF('Assignment Tool'!C88="FST",'Assignment Tool'!D88,""))</f>
        <v/>
      </c>
      <c r="H88">
        <v>88</v>
      </c>
      <c r="I88">
        <f t="shared" si="3"/>
        <v>473</v>
      </c>
      <c r="J88" t="str">
        <f t="array" ref="J88">IFERROR(INDEX($G$2:$G$2050,_xlfn.AGGREGATE(15,6,(ROW($G$2:$G$2050)-ROW($G$2)+1)/($G$2:$G$2050&lt;&gt;""),ROWS(J$1:J88))),"")</f>
        <v>S 1023-2 HIGHWAY 107</v>
      </c>
      <c r="K88">
        <f>IF(J88="","",INDEX('Assignment Tool'!E104:E2137,MATCH(FA_DATA!J88,'Assignment Tool'!D104:D2137,0)))</f>
        <v>4</v>
      </c>
    </row>
    <row r="89" spans="1:11" x14ac:dyDescent="0.25">
      <c r="A89" s="118" t="str">
        <f t="shared" si="2"/>
        <v>F 5926-1 HIGHWAY 22</v>
      </c>
      <c r="G89" t="str">
        <f>IF('Assignment Tool'!C89="","",IF('Assignment Tool'!C89="FST",'Assignment Tool'!D89,""))</f>
        <v/>
      </c>
      <c r="H89">
        <v>89</v>
      </c>
      <c r="I89">
        <f t="shared" si="3"/>
        <v>477</v>
      </c>
      <c r="J89" t="str">
        <f t="array" ref="J89">IFERROR(INDEX($G$2:$G$2050,_xlfn.AGGREGATE(15,6,(ROW($G$2:$G$2050)-ROW($G$2)+1)/($G$2:$G$2050&lt;&gt;""),ROWS(J$1:J89))),"")</f>
        <v>F 1055-2 HIGHWAY 107</v>
      </c>
      <c r="K89">
        <f>IF(J89="","",INDEX('Assignment Tool'!E105:E2138,MATCH(FA_DATA!J89,'Assignment Tool'!D105:D2138,0)))</f>
        <v>4</v>
      </c>
    </row>
    <row r="90" spans="1:11" x14ac:dyDescent="0.25">
      <c r="A90" s="118" t="str">
        <f t="shared" si="2"/>
        <v>F 5926-1 HIGHWAY 22</v>
      </c>
      <c r="G90" t="str">
        <f>IF('Assignment Tool'!C90="","",IF('Assignment Tool'!C90="FST",'Assignment Tool'!D90,""))</f>
        <v/>
      </c>
      <c r="H90">
        <v>90</v>
      </c>
      <c r="I90">
        <f t="shared" si="3"/>
        <v>481</v>
      </c>
      <c r="J90" t="str">
        <f t="array" ref="J90">IFERROR(INDEX($G$2:$G$2050,_xlfn.AGGREGATE(15,6,(ROW($G$2:$G$2050)-ROW($G$2)+1)/($G$2:$G$2050&lt;&gt;""),ROWS(J$1:J90))),"")</f>
        <v>F 195-1 BUTTERCUP LN</v>
      </c>
      <c r="K90">
        <f>IF(J90="","",INDEX('Assignment Tool'!E106:E2139,MATCH(FA_DATA!J90,'Assignment Tool'!D106:D2139,0)))</f>
        <v>4</v>
      </c>
    </row>
    <row r="91" spans="1:11" x14ac:dyDescent="0.25">
      <c r="A91" s="118" t="str">
        <f t="shared" si="2"/>
        <v>F 5926-1 HIGHWAY 22</v>
      </c>
      <c r="G91" t="str">
        <f>IF('Assignment Tool'!C91="","",IF('Assignment Tool'!C91="FST",'Assignment Tool'!D91,""))</f>
        <v/>
      </c>
      <c r="H91">
        <v>91</v>
      </c>
      <c r="I91">
        <f t="shared" si="3"/>
        <v>485</v>
      </c>
      <c r="J91" t="str">
        <f t="array" ref="J91">IFERROR(INDEX($G$2:$G$2050,_xlfn.AGGREGATE(15,6,(ROW($G$2:$G$2050)-ROW($G$2)+1)/($G$2:$G$2050&lt;&gt;""),ROWS(J$1:J91))),"")</f>
        <v>OPP 180-1 BUTTERCUP LN</v>
      </c>
      <c r="K91">
        <f>IF(J91="","",INDEX('Assignment Tool'!E107:E2140,MATCH(FA_DATA!J91,'Assignment Tool'!D107:D2140,0)))</f>
        <v>8</v>
      </c>
    </row>
    <row r="92" spans="1:11" x14ac:dyDescent="0.25">
      <c r="A92" s="118" t="str">
        <f t="shared" si="2"/>
        <v>F 5926-1 HIGHWAY 22</v>
      </c>
      <c r="G92" t="str">
        <f>IF('Assignment Tool'!C92="","",IF('Assignment Tool'!C92="FST",'Assignment Tool'!D92,""))</f>
        <v/>
      </c>
      <c r="H92">
        <v>92</v>
      </c>
      <c r="I92">
        <f t="shared" si="3"/>
        <v>493</v>
      </c>
      <c r="J92" t="str">
        <f t="array" ref="J92">IFERROR(INDEX($G$2:$G$2050,_xlfn.AGGREGATE(15,6,(ROW($G$2:$G$2050)-ROW($G$2)+1)/($G$2:$G$2050&lt;&gt;""),ROWS(J$1:J92))),"")</f>
        <v>F 365-1 BUTTERCUP LN</v>
      </c>
      <c r="K92">
        <f>IF(J92="","",INDEX('Assignment Tool'!E108:E2141,MATCH(FA_DATA!J92,'Assignment Tool'!D108:D2141,0)))</f>
        <v>12</v>
      </c>
    </row>
    <row r="93" spans="1:11" x14ac:dyDescent="0.25">
      <c r="A93" s="118" t="str">
        <f t="shared" si="2"/>
        <v>F 5730-1 HIGHWAY 22</v>
      </c>
      <c r="G93" t="str">
        <f>IF('Assignment Tool'!C93="","",IF('Assignment Tool'!C93="FST",'Assignment Tool'!D93,""))</f>
        <v/>
      </c>
      <c r="H93">
        <v>93</v>
      </c>
      <c r="I93">
        <f t="shared" si="3"/>
        <v>505</v>
      </c>
      <c r="J93" t="str">
        <f t="array" ref="J93">IFERROR(INDEX($G$2:$G$2050,_xlfn.AGGREGATE(15,6,(ROW($G$2:$G$2050)-ROW($G$2)+1)/($G$2:$G$2050&lt;&gt;""),ROWS(J$1:J93))),"")</f>
        <v/>
      </c>
      <c r="K93" t="str">
        <f>IF(J93="","",INDEX('Assignment Tool'!E109:E2142,MATCH(FA_DATA!J93,'Assignment Tool'!D109:D2142,0)))</f>
        <v/>
      </c>
    </row>
    <row r="94" spans="1:11" x14ac:dyDescent="0.25">
      <c r="A94" s="118" t="str">
        <f t="shared" si="2"/>
        <v>F 5730-1 HIGHWAY 22</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5730-1 HIGHWAY 22</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5730-1 HIGHWAY 22</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5730-1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5730-1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5730-1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5730-1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130-1 TRIPLE B DR</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130-1 TRIPLE B DR</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130-1 TRIPLE B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130-1 TRIPLE B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130-1 TRIPLE B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130-1 TRIPLE B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130-1 TRIPLE B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130-1 TRIPLE B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4656-2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4656-2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4656-2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4656-2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4656-2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4656-2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4610-2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4610-2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4610-2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4610-2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4560-2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4560-2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4560-2 HIGHWAY 119</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4560-2 HIGHWAY 119</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4560-2 HIGHWAY 119</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4560-2 HIGHWAY 119</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4560-2 HIGHWAY 119</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4560-2 HIGHWAY 119</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4560-2 HIGHWAY 119</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4560-2 HIGHWAY 119</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S 4560-2 HIGHWAY 119</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S 4560-2 HIGHWAY 119</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S 4560-2 HIGHWAY 119</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S 4560-2 HIGHWAY 119</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7011-1 HIGHWAY 22</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7011-1 HIGHWAY 22</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7011-1 HIGHWAY 22</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7011-1 HIGHWAY 22</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7011-1 HIGHWAY 22</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7011-1 HIGHWAY 22</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7011-1 HIGHWAY 22</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7011-1 HIGHWAY 22</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7020-1 HIGHWAY 22</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7020-1 HIGHWAY 22</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7020-1 HIGHWAY 22</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7020-1 HIGHWAY 22</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4741-2 HIGHWAY 119</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4741-2 HIGHWAY 119</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4741-2 HIGHWAY 119</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4741-2 HIGHWAY 119</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4741-2 HIGHWAY 119</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4741-2 HIGHWAY 119</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4767-2 HIGHWAY 119</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4767-2 HIGHWAY 119</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4767-2 HIGHWAY 119</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4767-2 HIGHWAY 119</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4767-2 HIGHWAY 119</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4767-2 HIGHWAY 119</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200-1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200-1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200-1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200-1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204-1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204-1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204-1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204-1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212-2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212-2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212-2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212-2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212-2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212-2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212-2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212-2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220-1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220-1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220-1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220-1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226-1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226-1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226-1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226-1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226-1 AMMERSEE LAKES DR</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226-1 AMMERSEE LAKES DR</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226-1 AMMERSEE LAKES DR</v>
      </c>
      <c r="G183" t="str">
        <f>IF('Assignment Tool'!C183="","",IF('Assignment Tool'!C183="FST",'Assignment Tool'!D183,""))</f>
        <v>F 130-1 TRIPLE B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226-1 AMMERSEE LAKES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236-2 AMMERSEE LAKES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236-2 AMMERSEE LAKES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236-2 AMMERSEE LAKES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236-2 AMMERSEE LAKES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244-2 AMMERSEE LAKES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244-2 AMMERSEE LAKES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244-2 AMMERSEE LAKES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244-2 AMMERSEE LAKES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252-2 AMMERSEE LAKES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252-2 AMMERSEE LAKES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252-2 AMMERSEE LAKES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252-2 AMMERSEE LAKES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260-2 AMMERSEE LAKES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260-2 AMMERSEE LAKES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260-2 AMMERSEE LAKES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260-2 AMMERSEE LAKES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260-2 AMMERSEE LAKES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260-2 AMMERSEE LAKES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260-2 AMMERSEE LAKES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260-2 AMMERSEE LAKES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272-1 AMMERSEE LAKES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272-1 AMMERSEE LAKES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272-1 AMMERSEE LAKES DR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272-1 AMMERSEE LAKES DR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276-2 AMMERSEE LAKES DR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276-2 AMMERSEE LAKES DR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276-2 AMMERSEE LAKES DR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276-2 AMMERSEE LAKES DR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284-1 AMMERSEE LAKES DR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284-1 AMMERSEE LAKES DR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284-1 AMMERSEE LAKES DR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284-1 AMMERSEE LAKES DR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101-1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101-1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101-1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101-1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101-1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101-1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101-1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101-1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109-1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109-1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109-1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109-1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116-1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116-1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1005-1 PARKERS COVE</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1005-1 PARKERS COVE</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1013-1 PARKERS COVE</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1013-1 PARKERS COVE</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1013-1 PARKERS COVE</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1013-1 PARKERS COVE</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1021-1 PARKERS COVE</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1021-1 PARKERS COVE</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1021-1 PARKERS COVE</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1021-1 PARKERS COVE</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127-2 MOORES SPRING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127-2 MOORES SPRING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127-2 MOORES SPRING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127-2 MOORES SPRING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135-1 MOORES SPRING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135-1 MOORES SPRING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135-1 MOORES SPRING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135-1 MOORES SPRING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143-1 MOORES SPRING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143-1 MOORES SPRING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143-1 MOORES SPRING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143-1 MOORES SPRING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151-1 MOORES SPRING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151-1 MOORES SPRING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151-1 MOORES SPRING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151-1 MOORES SPRING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159-2 MOORES SPRING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159-2 MOORES SPRING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159-2 MOORES SPRING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159-2 MOORES SPRING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167-1 MOORES SPRING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167-1 MOORES SPRING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167-1 MOORES SPRING RD</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167-1 MOORES SPRING RD</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167-1 MOORES SPRING RD</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167-1 MOORES SPRING RD</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167-1 MOORES SPRING RD</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167-1 MOORES SPRING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175-2 MOORES SPRING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175-2 MOORES SPRING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175-2 MOORES SPRING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175-2 MOORES SPRING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179-1 MOORES SPRING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179-1 MOORES SPRING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179-1 MOORES SPRING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179-1 MOORES SPRING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7390-1 HIGHWAY 22</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7390-1 HIGHWAY 22</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7390-1 HIGHWAY 22</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7390-1 HIGHWAY 22</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7390-1 HIGHWAY 22</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7390-1 HIGHWAY 22</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7390-1 HIGHWAY 22</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7390-1 HIGHWAY 22</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7390-1 HIGHWAY 22</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7390-1 HIGHWAY 22</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7390-1 HIGHWAY 22</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7390-1 HIGHWAY 22</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7490-1 HIGHWAY 22</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7490-1 HIGHWAY 22</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7490-1 HIGHWAY 22</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7490-1 HIGHWAY 22</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7615-1 HIGHWAY 22</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7615-1 HIGHWAY 22</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7615-1 HIGHWAY 22</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7615-1 HIGHWAY 22</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7706-1 HIGHWAY 22</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7706-1 HIGHWAY 22</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7706-1 HIGHWAY 22</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7706-1 HIGHWAY 22</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6512-1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6512-1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6512-1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6512-1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6418-1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6418-1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6418-1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6418-1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6305-1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6305-1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6305-1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6305-1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200-1 STAMPS JUNCTION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200-1 STAMPS JUNCTION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200-1 STAMPS JUNCTION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200-1 STAMPS JUNCTION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200-1 STAMPS JUNCTION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200-1 STAMPS JUNCTION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200-1 STAMPS JUNCTION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200-1 STAMPS JUNCTION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7920-1 HIGHWAY 22</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7920-1 HIGHWAY 22</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7920-1 HIGHWAY 22</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7920-1 HIGHWAY 22</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6233-1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6233-1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6233-1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6233-1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6233-1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6233-1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6233-1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6233-1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6169-1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6169-1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6169-1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6169-1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6169-1 HIGHWAY 16</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6169-1 HIGHWAY 16</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6169-1 HIGHWAY 16</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6169-1 HIGHWAY 16</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OPP 6116-1 HIGHWAY 16</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OPP 6116-1 HIGHWAY 16</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OPP 6116-1 HIGHWAY 16</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OPP 6116-1 HIGHWAY 16</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6116-1 HIGHWAY 16</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6116-1 HIGHWAY 16</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6116-1 HIGHWAY 16</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6116-1 HIGHWAY 16</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6087-1 HIGHWAY 16</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6087-1 HIGHWAY 16</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6087-1 HIGHWAY 16</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6087-1 HIGHWAY 16</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5691-1 HIGHWAY 16</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5691-1 HIGHWAY 16</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5691-1 HIGHWAY 16</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5691-1 HIGHWAY 16</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5691-1 HIGHWAY 16</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5691-1 HIGHWAY 16</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5691-1 HIGHWAY 16</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5691-1 HIGHWAY 16</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5569-1 HIGHWAY 16</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5569-1 HIGHWAY 16</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5569-1 HIGHWAY 16</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5569-1 HIGHWAY 16</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5569-1 HIGHWAY 16</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5569-1 HIGHWAY 16</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5569-1 HIGHWAY 16</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5569-1 HIGHWAY 16</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5464-1 HIGHWAY 16</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5464-1 HIGHWAY 16</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5464-1 HIGHWAY 16</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5464-1 HIGHWAY 16</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5464-1 HIGHWAY 16</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5464-1 HIGHWAY 16</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5464-1 HIGHWAY 16</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5464-1 HIGHWAY 16</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5385-1 HIGHWAY 16</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5385-1 HIGHWAY 16</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5385-1 HIGHWAY 16</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5385-1 HIGHWAY 16</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5343-1 HIGHWAY 16</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5343-1 HIGHWAY 16</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5343-1 HIGHWAY 16</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5343-1 HIGHWAY 16</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7966-1 HIGHWAY 22</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7966-1 HIGHWAY 22</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8154-1 HIGHWAY 22</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8154-1 HIGHWAY 22</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8154-1 HIGHWAY 22</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8154-1 HIGHWAY 22</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8154-1 HIGHWAY 22</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8154-1 HIGHWAY 22</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8154-1 HIGHWAY 22</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8154-1 HIGHWAY 22</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122-1 LEGACY OAKS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122-1 LEGACY OAKS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30-1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30-1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30-1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30-1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27-1 AMBERWOOD TRL</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27-1 AMBERWOOD TRL</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27-1 AMBERWOOD TRL</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27-1 AMBERWOOD TRL</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27-1 AMBERWOOD TRL</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27-1 AMBERWOOD TRL</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27-1 AMBERWOOD TRL</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27-1 AMBERWOOD TRL</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1-2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1-2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1-2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1-2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169-2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169-2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169-2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169-2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OPP 314-2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OPP 314-2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OPP 314-2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OPP 314-2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399-2 HIGHWAY 107</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399-2 HIGHWAY 107</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399-2 HIGHWAY 107</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399-2 HIGHWAY 107</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480-2 HIGHWAY 107</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480-2 HIGHWAY 107</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480-2 HIGHWAY 107</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480-2 HIGHWAY 107</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480-2 HIGHWAY 107</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480-2 HIGHWAY 107</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480-2 HIGHWAY 107</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480-2 HIGHWAY 107</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95-2 ALBRIGHT FARM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95-2 ALBRIGHT FARM RD</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95-2 ALBRIGHT FARM RD</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95-2 ALBRIGHT FARM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95-2 ALBRIGHT FARM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95-2 ALBRIGHT FARM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95-2 ALBRIGHT FARM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95-2 ALBRIGHT FARM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OPP 566-2 HIGHWAY 107</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OPP 566-2 HIGHWAY 107</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OPP 566-2 HIGHWAY 107</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OPP 566-2 HIGHWAY 107</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643-2 HIGHWAY 107</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643-2 HIGHWAY 107</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643-2 HIGHWAY 107</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643-2 HIGHWAY 107</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661-2 HIGHWAY 107</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661-2 HIGHWAY 107</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661-2 HIGHWAY 107</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661-2 HIGHWAY 107</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OPP 780-2 HIGHWAY 107</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OPP 780-2 HIGHWAY 107</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OPP 780-2 HIGHWAY 107</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OPP 780-2 HIGHWAY 107</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815-2 HIGHWAY 107</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815-2 HIGHWAY 107</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815-2 HIGHWAY 107</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815-2 HIGHWAY 107</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941-2 HIGHWAY 107</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941-2 HIGHWAY 107</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941-2 HIGHWAY 107</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941-2 HIGHWAY 107</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941-2 HIGHWAY 107</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941-2 HIGHWAY 107</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941-2 HIGHWAY 107</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941-2 HIGHWAY 107</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985-2 HIGHWAY 107</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985-2 HIGHWAY 107</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985-2 HIGHWAY 107</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985-2 HIGHWAY 107</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S 1023-2 HIGHWAY 107</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S 1023-2 HIGHWAY 107</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S 1023-2 HIGHWAY 107</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S 1023-2 HIGHWAY 107</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1055-2 HIGHWAY 107</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1055-2 HIGHWAY 107</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1055-2 HIGHWAY 107</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1055-2 HIGHWAY 107</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195-1 BUTTERCUP LN</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195-1 BUTTERCUP LN</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195-1 BUTTERCUP LN</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195-1 BUTTERCUP LN</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OPP 180-1 BUTTERCUP LN</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OPP 180-1 BUTTERCUP LN</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OPP 180-1 BUTTERCUP LN</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OPP 180-1 BUTTERCUP LN</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OPP 180-1 BUTTERCUP LN</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OPP 180-1 BUTTERCUP LN</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OPP 180-1 BUTTERCUP LN</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OPP 180-1 BUTTERCUP LN</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365-1 BUTTERCUP LN</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365-1 BUTTERCUP LN</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365-1 BUTTERCUP LN</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365-1 BUTTERCUP LN</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365-1 BUTTERCUP LN</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365-1 BUTTERCUP LN</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365-1 BUTTERCUP LN</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365-1 BUTTERCUP LN</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365-1 BUTTERCUP LN</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365-1 BUTTERCUP LN</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365-1 BUTTERCUP LN</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365-1 BUTTERCUP LN</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200-1 STAMPS JUNCTION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7920-1 HIGHWAY 22</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7966-1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8154-1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122-1 LEGACY OAKS DR</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OPP 480-2 HIGHWAY 107</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95-2 ALBRIGHT FARM RD</v>
      </c>
    </row>
    <row r="1043" spans="7:7" x14ac:dyDescent="0.25">
      <c r="G1043" t="str">
        <f>IF('Assignment Tool'!C1043="","",IF('Assignment Tool'!C1043="FST",'Assignment Tool'!D1043,""))</f>
        <v>OPP 566-2 HIGHWAY 107</v>
      </c>
    </row>
    <row r="1044" spans="7:7" x14ac:dyDescent="0.25">
      <c r="G1044" t="str">
        <f>IF('Assignment Tool'!C1044="","",IF('Assignment Tool'!C1044="FST",'Assignment Tool'!D1044,""))</f>
        <v>F 643-2 HIGHWAY 107</v>
      </c>
    </row>
    <row r="1045" spans="7:7" x14ac:dyDescent="0.25">
      <c r="G1045" t="str">
        <f>IF('Assignment Tool'!C1045="","",IF('Assignment Tool'!C1045="FST",'Assignment Tool'!D1045,""))</f>
        <v>F 661-2 HIGHWAY 107</v>
      </c>
    </row>
    <row r="1046" spans="7:7" x14ac:dyDescent="0.25">
      <c r="G1046" t="str">
        <f>IF('Assignment Tool'!C1046="","",IF('Assignment Tool'!C1046="FST",'Assignment Tool'!D1046,""))</f>
        <v>OPP 780-2 HIGHWAY 107</v>
      </c>
    </row>
    <row r="1047" spans="7:7" x14ac:dyDescent="0.25">
      <c r="G1047" t="str">
        <f>IF('Assignment Tool'!C1047="","",IF('Assignment Tool'!C1047="FST",'Assignment Tool'!D1047,""))</f>
        <v>F 815-2 HIGHWAY 107</v>
      </c>
    </row>
    <row r="1048" spans="7:7" x14ac:dyDescent="0.25">
      <c r="G1048" t="str">
        <f>IF('Assignment Tool'!C1048="","",IF('Assignment Tool'!C1048="FST",'Assignment Tool'!D1048,""))</f>
        <v>F 941-2 HIGHWAY 107</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W24" sqref="W2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4282</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4150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2775</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33</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54</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5</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2</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U1" zoomScale="115" zoomScaleNormal="115" workbookViewId="0">
      <pane ySplit="8" topLeftCell="A9" activePane="bottomLeft" state="frozen"/>
      <selection pane="bottomLeft" activeCell="AQ9" sqref="AQ9:AQ13"/>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1892</v>
      </c>
      <c r="F2" s="273" t="s">
        <v>173</v>
      </c>
      <c r="G2" s="273"/>
      <c r="H2" s="273"/>
      <c r="I2" s="14">
        <f>IF(I3="","",IF(AND(I5="Y",I6="N"),I3,IF(I3&lt;1000,I3+10,I3+20)))</f>
        <v>1846</v>
      </c>
      <c r="K2" s="273" t="s">
        <v>173</v>
      </c>
      <c r="L2" s="273"/>
      <c r="M2" s="273"/>
      <c r="N2" s="14">
        <f>IF(N3="","",IF(AND(N5="Y",N6="N"),N3,IF(N3&lt;1000,N3+10,N3+20)))</f>
        <v>1840</v>
      </c>
      <c r="P2" s="273" t="s">
        <v>173</v>
      </c>
      <c r="Q2" s="273"/>
      <c r="R2" s="273"/>
      <c r="S2" s="14">
        <f>IF(S3="","",IF(AND(S5="Y",S6="N"),S3,IF(S3&lt;1000,S3+10,S3+20)))</f>
        <v>1579</v>
      </c>
      <c r="U2" s="273" t="s">
        <v>173</v>
      </c>
      <c r="V2" s="273"/>
      <c r="W2" s="273"/>
      <c r="X2" s="14">
        <f>IF(X3="","",IF(AND(X5="Y",X6="N"),X3,IF(X3&lt;1000,X3+10,X3+20)))</f>
        <v>1978</v>
      </c>
      <c r="Z2" s="273" t="s">
        <v>173</v>
      </c>
      <c r="AA2" s="273"/>
      <c r="AB2" s="273"/>
      <c r="AC2" s="14">
        <f>IF(AC3="","",IF(AND(AC5="Y",AC6="N"),AC3,IF(AC3&lt;1000,AC3+10,AC3+20)))</f>
        <v>554</v>
      </c>
      <c r="AE2" s="273" t="s">
        <v>173</v>
      </c>
      <c r="AF2" s="273"/>
      <c r="AG2" s="273"/>
      <c r="AH2" s="14">
        <f>IF(AH3="","",IF(AND(AH5="Y",AH6="N"),AH3,IF(AH3&lt;1000,AH3+10,AH3+20)))</f>
        <v>1942</v>
      </c>
      <c r="AJ2" s="273" t="s">
        <v>173</v>
      </c>
      <c r="AK2" s="273"/>
      <c r="AL2" s="273"/>
      <c r="AM2" s="14">
        <f>IF(AM3="","",IF(AND(AM5="Y",AM6="N"),AM3,IF(AM3&lt;1000,AM3+10,AM3+20)))</f>
        <v>1332</v>
      </c>
      <c r="AO2" s="273" t="s">
        <v>173</v>
      </c>
      <c r="AP2" s="273"/>
      <c r="AQ2" s="273"/>
      <c r="AR2" s="14">
        <f>IF(AR3="","",IF(AND(AR5="Y",AR6="N"),AR3,IF(AR3&lt;1000,AR3+10,AR3+20)))</f>
        <v>573</v>
      </c>
      <c r="AT2" s="273" t="s">
        <v>173</v>
      </c>
      <c r="AU2" s="273"/>
      <c r="AV2" s="273"/>
      <c r="AW2" s="14">
        <f>IF(AW3="","",IF(AND(AW5="Y",AW6="N"),AW3,IF(AW3&lt;1000,AW3+10,AW3+20)))</f>
        <v>1961</v>
      </c>
      <c r="AY2" s="273" t="s">
        <v>173</v>
      </c>
      <c r="AZ2" s="273"/>
      <c r="BA2" s="273"/>
      <c r="BB2" s="14">
        <f>IF(BB3="","",IF(AND(BB5="Y",BB6="N"),BB3,IF(BB3&lt;1000,BB3+10,BB3+20)))</f>
        <v>323</v>
      </c>
      <c r="BD2" s="273" t="s">
        <v>173</v>
      </c>
      <c r="BE2" s="273"/>
      <c r="BF2" s="273"/>
      <c r="BG2" s="14">
        <f>IF(BG3="","",IF(AND(BG5="Y",BG6="N"),BG3,IF(BG3&lt;1000,BG3+10,BG3+20)))</f>
        <v>469</v>
      </c>
      <c r="BI2" s="273" t="s">
        <v>173</v>
      </c>
      <c r="BJ2" s="273"/>
      <c r="BK2" s="273"/>
      <c r="BL2" s="14">
        <f>IF(BL3="","",IF(AND(BL5="Y",BL6="N"),BL3,IF(BL3&lt;1000,BL3+10,BL3+20)))</f>
        <v>500</v>
      </c>
      <c r="BN2" s="273" t="s">
        <v>173</v>
      </c>
      <c r="BO2" s="273"/>
      <c r="BP2" s="273"/>
      <c r="BQ2" s="14">
        <f>IF(BQ3="","",IF(AND(BQ5="Y",BQ6="N"),BQ3,IF(BQ3&lt;1000,BQ3+10,BQ3+20)))</f>
        <v>1090</v>
      </c>
      <c r="BS2" s="273" t="s">
        <v>173</v>
      </c>
      <c r="BT2" s="273"/>
      <c r="BU2" s="273"/>
      <c r="BV2" s="14">
        <f>IF(BV3="","",IF(AND(BV5="Y",BV6="N"),BV3,IF(BV3&lt;1000,BV3+10,BV3+20)))</f>
        <v>1609</v>
      </c>
      <c r="BX2" s="273" t="s">
        <v>173</v>
      </c>
      <c r="BY2" s="273"/>
      <c r="BZ2" s="273"/>
      <c r="CA2" s="14">
        <f>IF(CA3="","",IF(AND(CA5="Y",CA6="N"),CA3,IF(CA3&lt;1000,CA3+10,CA3+20)))</f>
        <v>1566</v>
      </c>
      <c r="CC2" s="273" t="s">
        <v>173</v>
      </c>
      <c r="CD2" s="273"/>
      <c r="CE2" s="273"/>
      <c r="CF2" s="14">
        <f>IF(CF3="","",IF(AND(CF5="Y",CF6="N"),CF3,IF(CF3&lt;1000,CF3+10,CF3+20)))</f>
        <v>1761</v>
      </c>
      <c r="CH2" s="273" t="s">
        <v>173</v>
      </c>
      <c r="CI2" s="273"/>
      <c r="CJ2" s="273"/>
      <c r="CK2" s="14">
        <f>IF(CK3="","",IF(AND(CK5="Y",CK6="N"),CK3,IF(CK3&lt;1000,CK3+10,CK3+20)))</f>
        <v>1418</v>
      </c>
      <c r="CM2" s="273" t="s">
        <v>173</v>
      </c>
      <c r="CN2" s="273"/>
      <c r="CO2" s="273"/>
      <c r="CP2" s="14">
        <f>IF(CP3="","",IF(AND(CP5="Y",CP6="N"),CP3,IF(CP3&lt;1000,CP3+10,CP3+20)))</f>
        <v>1505</v>
      </c>
      <c r="CR2" s="273" t="s">
        <v>173</v>
      </c>
      <c r="CS2" s="273"/>
      <c r="CT2" s="273"/>
      <c r="CU2" s="14">
        <f>IF(CU3="","",IF(AND(CU5="Y",CU6="N"),CU3,IF(CU3&lt;1000,CU3+10,CU3+20)))</f>
        <v>1975</v>
      </c>
      <c r="CW2" s="273" t="s">
        <v>173</v>
      </c>
      <c r="CX2" s="273"/>
      <c r="CY2" s="273"/>
      <c r="CZ2" s="14">
        <f>IF(CZ3="","",IF(AND(CZ5="Y",CZ6="N"),CZ3,IF(CZ3&lt;1000,CZ3+10,CZ3+20)))</f>
        <v>958</v>
      </c>
      <c r="DB2" s="273" t="s">
        <v>173</v>
      </c>
      <c r="DC2" s="273"/>
      <c r="DD2" s="273"/>
      <c r="DE2" s="14">
        <f>IF(DE3="","",IF(AND(DE5="Y",DE6="N"),DE3,IF(DE3&lt;1000,DE3+10,DE3+20)))</f>
        <v>1458</v>
      </c>
      <c r="DG2" s="273" t="s">
        <v>173</v>
      </c>
      <c r="DH2" s="273"/>
      <c r="DI2" s="273"/>
      <c r="DJ2" s="14">
        <f>IF(DJ3="","",IF(AND(DJ5="Y",DJ6="N"),DJ3,IF(DJ3&lt;1000,DJ3+10,DJ3+20)))</f>
        <v>1844</v>
      </c>
      <c r="DL2" s="273" t="s">
        <v>173</v>
      </c>
      <c r="DM2" s="273"/>
      <c r="DN2" s="273"/>
      <c r="DO2" s="14">
        <f>IF(DO3="","",IF(AND(DO5="Y",DO6="N"),DO3,IF(DO3&lt;1000,DO3+10,DO3+20)))</f>
        <v>757</v>
      </c>
      <c r="DQ2" s="273" t="s">
        <v>173</v>
      </c>
      <c r="DR2" s="273"/>
      <c r="DS2" s="273"/>
      <c r="DT2" s="14">
        <f>IF(DT3="","",IF(AND(DT5="Y",DT6="N"),DT3,IF(DT3&lt;1000,DT3+10,DT3+20)))</f>
        <v>2839</v>
      </c>
      <c r="DV2" s="273" t="s">
        <v>173</v>
      </c>
      <c r="DW2" s="273"/>
      <c r="DX2" s="273"/>
      <c r="DY2" s="14">
        <f>IF(DY3="","",IF(AND(DY5="Y",DY6="N"),DY3,IF(DY3&lt;1000,DY3+10,DY3+20)))</f>
        <v>2881</v>
      </c>
      <c r="EA2" s="273" t="s">
        <v>173</v>
      </c>
      <c r="EB2" s="273"/>
      <c r="EC2" s="273"/>
      <c r="ED2" s="14">
        <f>IF(ED3="","",IF(AND(ED5="Y",ED6="N"),ED3,IF(ED3&lt;1000,ED3+10,ED3+20)))</f>
        <v>1311</v>
      </c>
      <c r="EF2" s="273" t="s">
        <v>173</v>
      </c>
      <c r="EG2" s="273"/>
      <c r="EH2" s="273"/>
      <c r="EI2" s="14">
        <f>IF(EI3="","",IF(AND(EI5="Y",EI6="N"),EI3,IF(EI3&lt;1000,EI3+10,EI3+20)))</f>
        <v>2040</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1872</v>
      </c>
      <c r="E3" s="16">
        <f>IF(E9="","",SUM(E9:E208,B9:B208,D9:D208))</f>
        <v>1872</v>
      </c>
      <c r="F3" s="273" t="s">
        <v>174</v>
      </c>
      <c r="G3" s="273"/>
      <c r="H3" s="273"/>
      <c r="I3" s="15">
        <f>IF(J3="","",SUM(J3,J5,J6))</f>
        <v>1826</v>
      </c>
      <c r="J3" s="16">
        <f>IF(J9="","",SUM(J9:J208,G9:G208,I9:I208))</f>
        <v>1801</v>
      </c>
      <c r="K3" s="273" t="s">
        <v>174</v>
      </c>
      <c r="L3" s="273"/>
      <c r="M3" s="273"/>
      <c r="N3" s="15">
        <f>IF(O3="","",SUM(O3,O5,O6))</f>
        <v>1840</v>
      </c>
      <c r="O3" s="16">
        <f>IF(O9="","",SUM(O9:O208,L9:L208,N9:N208))</f>
        <v>1790</v>
      </c>
      <c r="P3" s="273" t="s">
        <v>174</v>
      </c>
      <c r="Q3" s="273"/>
      <c r="R3" s="273"/>
      <c r="S3" s="15">
        <f>IF(T3="","",SUM(T3,T5,T6))</f>
        <v>1579</v>
      </c>
      <c r="T3" s="16">
        <f>IF(T9="","",SUM(T9:T208,Q9:Q208,S9:S208))</f>
        <v>1529</v>
      </c>
      <c r="U3" s="273" t="s">
        <v>174</v>
      </c>
      <c r="V3" s="273"/>
      <c r="W3" s="273"/>
      <c r="X3" s="15">
        <f>IF(Y3="","",SUM(Y3,Y5,Y6))</f>
        <v>1978</v>
      </c>
      <c r="Y3" s="16">
        <f>IF(Y9="","",SUM(Y9:Y208,V9:V208,X9:X208))</f>
        <v>1928</v>
      </c>
      <c r="Z3" s="273" t="s">
        <v>174</v>
      </c>
      <c r="AA3" s="273"/>
      <c r="AB3" s="273"/>
      <c r="AC3" s="15">
        <f>IF(AD3="","",SUM(AD3,AD5,AD6))</f>
        <v>544</v>
      </c>
      <c r="AD3" s="16">
        <f>IF(AD9="","",SUM(AD9:AD208,AA9:AA208,AC9:AC208))</f>
        <v>544</v>
      </c>
      <c r="AE3" s="273" t="s">
        <v>174</v>
      </c>
      <c r="AF3" s="273"/>
      <c r="AG3" s="273"/>
      <c r="AH3" s="15">
        <f>IF(AI3="","",SUM(AI3,AI5,AI6))</f>
        <v>1922</v>
      </c>
      <c r="AI3" s="16">
        <f>IF(AI9="","",SUM(AI9:AI208,AF9:AF208,AH9:AH208))</f>
        <v>1922</v>
      </c>
      <c r="AJ3" s="273" t="s">
        <v>174</v>
      </c>
      <c r="AK3" s="273"/>
      <c r="AL3" s="273"/>
      <c r="AM3" s="15">
        <f>IF(AN3="","",SUM(AN3,AN5,AN6))</f>
        <v>1312</v>
      </c>
      <c r="AN3" s="16">
        <f>IF(AN9="","",SUM(AN9:AN208,AK9:AK208,AM9:AM208))</f>
        <v>1312</v>
      </c>
      <c r="AO3" s="273" t="s">
        <v>174</v>
      </c>
      <c r="AP3" s="273"/>
      <c r="AQ3" s="273"/>
      <c r="AR3" s="15">
        <f>IF(AS3="","",SUM(AS3,AS5,AS6))</f>
        <v>573</v>
      </c>
      <c r="AS3" s="16">
        <f>IF(AS9="","",SUM(AS9:AS208,AP9:AP208,AR9:AR208))</f>
        <v>523</v>
      </c>
      <c r="AT3" s="273" t="s">
        <v>174</v>
      </c>
      <c r="AU3" s="273"/>
      <c r="AV3" s="273"/>
      <c r="AW3" s="15">
        <f>IF(AX3="","",SUM(AX3,AX5,AX6))</f>
        <v>1941</v>
      </c>
      <c r="AX3" s="16">
        <f>IF(AX9="","",SUM(AX9:AX208,AU9:AU208,AW9:AW208))</f>
        <v>1941</v>
      </c>
      <c r="AY3" s="273" t="s">
        <v>174</v>
      </c>
      <c r="AZ3" s="273"/>
      <c r="BA3" s="273"/>
      <c r="BB3" s="15">
        <f>IF(BC3="","",SUM(BC3,BC5,BC6))</f>
        <v>313</v>
      </c>
      <c r="BC3" s="16">
        <f>IF(BC9="","",SUM(BC9:BC208,AZ9:AZ208,BB9:BB208))</f>
        <v>288</v>
      </c>
      <c r="BD3" s="273" t="s">
        <v>174</v>
      </c>
      <c r="BE3" s="273"/>
      <c r="BF3" s="273"/>
      <c r="BG3" s="15">
        <f>IF(BH3="","",SUM(BH3,BH5,BH6))</f>
        <v>459</v>
      </c>
      <c r="BH3" s="16">
        <f>IF(BH9="","",SUM(BH9:BH208,BE9:BE208,BG9:BG208))</f>
        <v>459</v>
      </c>
      <c r="BI3" s="273" t="s">
        <v>174</v>
      </c>
      <c r="BJ3" s="273"/>
      <c r="BK3" s="273"/>
      <c r="BL3" s="15">
        <f>IF(BM3="","",SUM(BM3,BM5,BM6))</f>
        <v>490</v>
      </c>
      <c r="BM3" s="16">
        <f>IF(BM9="","",SUM(BM9:BM208,BJ9:BJ208,BL9:BL208))</f>
        <v>465</v>
      </c>
      <c r="BN3" s="273" t="s">
        <v>174</v>
      </c>
      <c r="BO3" s="273"/>
      <c r="BP3" s="273"/>
      <c r="BQ3" s="15">
        <f>IF(BR3="","",SUM(BR3,BR5,BR6))</f>
        <v>1070</v>
      </c>
      <c r="BR3" s="16">
        <f>IF(BR9="","",SUM(BR9:BR208,BO9:BO208,BQ9:BQ208))</f>
        <v>1045</v>
      </c>
      <c r="BS3" s="273" t="s">
        <v>174</v>
      </c>
      <c r="BT3" s="273"/>
      <c r="BU3" s="273"/>
      <c r="BV3" s="15">
        <f>IF(BW3="","",SUM(BW3,BW5,BW6))</f>
        <v>1589</v>
      </c>
      <c r="BW3" s="16">
        <f>IF(BW9="","",SUM(BW9:BW208,BT9:BT208,BV9:BV208))</f>
        <v>1589</v>
      </c>
      <c r="BX3" s="273" t="s">
        <v>174</v>
      </c>
      <c r="BY3" s="273"/>
      <c r="BZ3" s="273"/>
      <c r="CA3" s="15">
        <f>IF(CB3="","",SUM(CB3,CB5,CB6))</f>
        <v>1546</v>
      </c>
      <c r="CB3" s="16">
        <f>IF(CB9="","",SUM(CB9:CB208,BY9:BY208,CA9:CA208))</f>
        <v>1546</v>
      </c>
      <c r="CC3" s="273" t="s">
        <v>174</v>
      </c>
      <c r="CD3" s="273"/>
      <c r="CE3" s="273"/>
      <c r="CF3" s="15">
        <f>IF(CG3="","",SUM(CG3,CG5,CG6))</f>
        <v>1741</v>
      </c>
      <c r="CG3" s="16">
        <f>IF(CG9="","",SUM(CG9:CG208,CD9:CD208,CF9:CF208))</f>
        <v>1741</v>
      </c>
      <c r="CH3" s="273" t="s">
        <v>174</v>
      </c>
      <c r="CI3" s="273"/>
      <c r="CJ3" s="273"/>
      <c r="CK3" s="15">
        <f>IF(CL3="","",SUM(CL3,CL5,CL6))</f>
        <v>1398</v>
      </c>
      <c r="CL3" s="16">
        <f>IF(CL9="","",SUM(CL9:CL208,CI9:CI208,CK9:CK208))</f>
        <v>1398</v>
      </c>
      <c r="CM3" s="273" t="s">
        <v>174</v>
      </c>
      <c r="CN3" s="273"/>
      <c r="CO3" s="273"/>
      <c r="CP3" s="15">
        <f>IF(CQ3="","",SUM(CQ3,CQ5,CQ6))</f>
        <v>1485</v>
      </c>
      <c r="CQ3" s="16">
        <f>IF(CQ9="","",SUM(CQ9:CQ208,CN9:CN208,CP9:CP208))</f>
        <v>1460</v>
      </c>
      <c r="CR3" s="273" t="s">
        <v>174</v>
      </c>
      <c r="CS3" s="273"/>
      <c r="CT3" s="273"/>
      <c r="CU3" s="15">
        <f>IF(CV3="","",SUM(CV3,CV5,CV6))</f>
        <v>1955</v>
      </c>
      <c r="CV3" s="16">
        <f>IF(CV9="","",SUM(CV9:CV208,CS9:CS208,CU9:CU208))</f>
        <v>1930</v>
      </c>
      <c r="CW3" s="273" t="s">
        <v>174</v>
      </c>
      <c r="CX3" s="273"/>
      <c r="CY3" s="273"/>
      <c r="CZ3" s="15">
        <f>IF(DA3="","",SUM(DA3,DA5,DA6))</f>
        <v>948</v>
      </c>
      <c r="DA3" s="16">
        <f>IF(DA9="","",SUM(DA9:DA208,CX9:CX208,CZ9:CZ208))</f>
        <v>948</v>
      </c>
      <c r="DB3" s="273" t="s">
        <v>174</v>
      </c>
      <c r="DC3" s="273"/>
      <c r="DD3" s="273"/>
      <c r="DE3" s="15">
        <f>IF(DF3="","",SUM(DF3,DF5,DF6))</f>
        <v>1438</v>
      </c>
      <c r="DF3" s="16">
        <f>IF(DF9="","",SUM(DF9:DF208,DC9:DC208,DE9:DE208))</f>
        <v>1413</v>
      </c>
      <c r="DG3" s="273" t="s">
        <v>174</v>
      </c>
      <c r="DH3" s="273"/>
      <c r="DI3" s="273"/>
      <c r="DJ3" s="15">
        <f>IF(DK3="","",SUM(DK3,DK5,DK6))</f>
        <v>1824</v>
      </c>
      <c r="DK3" s="16">
        <f>IF(DK9="","",SUM(DK9:DK208,DH9:DH208,DJ9:DJ208))</f>
        <v>1824</v>
      </c>
      <c r="DL3" s="273" t="s">
        <v>174</v>
      </c>
      <c r="DM3" s="273"/>
      <c r="DN3" s="273"/>
      <c r="DO3" s="15">
        <f>IF(DP3="","",SUM(DP3,DP5,DP6))</f>
        <v>757</v>
      </c>
      <c r="DP3" s="16">
        <f>IF(DP9="","",SUM(DP9:DP208,DM9:DM208,DO9:DO208))</f>
        <v>707</v>
      </c>
      <c r="DQ3" s="273" t="s">
        <v>174</v>
      </c>
      <c r="DR3" s="273"/>
      <c r="DS3" s="273"/>
      <c r="DT3" s="15">
        <f>IF(DU3="","",SUM(DU3,DU5,DU6))</f>
        <v>2819</v>
      </c>
      <c r="DU3" s="16">
        <f>IF(DU9="","",SUM(DU9:DU208,DR9:DR208,DT9:DT208))</f>
        <v>2819</v>
      </c>
      <c r="DV3" s="273" t="s">
        <v>174</v>
      </c>
      <c r="DW3" s="273"/>
      <c r="DX3" s="273"/>
      <c r="DY3" s="15">
        <f>IF(DZ3="","",SUM(DZ3,DZ5,DZ6))</f>
        <v>2861</v>
      </c>
      <c r="DZ3" s="16">
        <f>IF(DZ9="","",SUM(DZ9:DZ208,DW9:DW208,DY9:DY208))</f>
        <v>2846</v>
      </c>
      <c r="EA3" s="273" t="s">
        <v>174</v>
      </c>
      <c r="EB3" s="273"/>
      <c r="EC3" s="273"/>
      <c r="ED3" s="15">
        <f>IF(EE3="","",SUM(EE3,EE5,EE6))</f>
        <v>1311</v>
      </c>
      <c r="EE3" s="16">
        <f>IF(EE9="","",SUM(EE9:EE208,EB9:EB208,ED9:ED208))</f>
        <v>1281</v>
      </c>
      <c r="EF3" s="273" t="s">
        <v>174</v>
      </c>
      <c r="EG3" s="273"/>
      <c r="EH3" s="273"/>
      <c r="EI3" s="15">
        <f>IF(EJ3="","",SUM(EJ3,EJ5,EJ6))</f>
        <v>2040</v>
      </c>
      <c r="EJ3" s="16">
        <f>IF(EJ9="","",SUM(EJ9:EJ208,EG9:EG208,EI9:EI208))</f>
        <v>1990</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t="s">
        <v>179</v>
      </c>
      <c r="CH4" s="274" t="s">
        <v>175</v>
      </c>
      <c r="CI4" s="275"/>
      <c r="CJ4" s="276"/>
      <c r="CK4" s="117" t="s">
        <v>179</v>
      </c>
      <c r="CM4" s="274" t="s">
        <v>175</v>
      </c>
      <c r="CN4" s="275"/>
      <c r="CO4" s="276"/>
      <c r="CP4" s="117" t="s">
        <v>179</v>
      </c>
      <c r="CR4" s="274" t="s">
        <v>175</v>
      </c>
      <c r="CS4" s="275"/>
      <c r="CT4" s="276"/>
      <c r="CU4" s="117" t="s">
        <v>179</v>
      </c>
      <c r="CW4" s="274" t="s">
        <v>175</v>
      </c>
      <c r="CX4" s="275"/>
      <c r="CY4" s="276"/>
      <c r="CZ4" s="117" t="s">
        <v>178</v>
      </c>
      <c r="DB4" s="274" t="s">
        <v>175</v>
      </c>
      <c r="DC4" s="275"/>
      <c r="DD4" s="276"/>
      <c r="DE4" s="117" t="s">
        <v>179</v>
      </c>
      <c r="DG4" s="274" t="s">
        <v>175</v>
      </c>
      <c r="DH4" s="275"/>
      <c r="DI4" s="276"/>
      <c r="DJ4" s="117" t="s">
        <v>179</v>
      </c>
      <c r="DL4" s="274" t="s">
        <v>175</v>
      </c>
      <c r="DM4" s="275"/>
      <c r="DN4" s="276"/>
      <c r="DO4" s="117" t="s">
        <v>179</v>
      </c>
      <c r="DQ4" s="274" t="s">
        <v>175</v>
      </c>
      <c r="DR4" s="275"/>
      <c r="DS4" s="276"/>
      <c r="DT4" s="117" t="s">
        <v>179</v>
      </c>
      <c r="DV4" s="274" t="s">
        <v>175</v>
      </c>
      <c r="DW4" s="275"/>
      <c r="DX4" s="276"/>
      <c r="DY4" s="117" t="s">
        <v>179</v>
      </c>
      <c r="EA4" s="274" t="s">
        <v>175</v>
      </c>
      <c r="EB4" s="275"/>
      <c r="EC4" s="276"/>
      <c r="ED4" s="117" t="s">
        <v>179</v>
      </c>
      <c r="EF4" s="274" t="s">
        <v>175</v>
      </c>
      <c r="EG4" s="275"/>
      <c r="EH4" s="276"/>
      <c r="EI4" s="117" t="s">
        <v>179</v>
      </c>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179</v>
      </c>
      <c r="O5" s="16">
        <f>IF(N4="N","0",IF(N5="Y",O7/2,"0"))</f>
        <v>25</v>
      </c>
      <c r="P5" s="274" t="s">
        <v>176</v>
      </c>
      <c r="Q5" s="275"/>
      <c r="R5" s="276"/>
      <c r="S5" s="117" t="s">
        <v>179</v>
      </c>
      <c r="T5" s="16">
        <f>IF(S4="N","0",IF(S5="Y",T7/2,"0"))</f>
        <v>25</v>
      </c>
      <c r="U5" s="274" t="s">
        <v>176</v>
      </c>
      <c r="V5" s="275"/>
      <c r="W5" s="276"/>
      <c r="X5" s="117" t="s">
        <v>179</v>
      </c>
      <c r="Y5" s="16">
        <f>IF(X4="N","0",IF(X5="Y",Y7/2,"0"))</f>
        <v>25</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25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178</v>
      </c>
      <c r="BW5" s="16" t="str">
        <f>IF(BV4="N","0",IF(BV5="Y",BW7/2,"0"))</f>
        <v>0</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t="s">
        <v>178</v>
      </c>
      <c r="CL5" s="16" t="str">
        <f>IF(CK4="N","0",IF(CK5="Y",CL7/2,"0"))</f>
        <v>0</v>
      </c>
      <c r="CM5" s="274" t="s">
        <v>176</v>
      </c>
      <c r="CN5" s="275"/>
      <c r="CO5" s="276"/>
      <c r="CP5" s="117" t="s">
        <v>178</v>
      </c>
      <c r="CQ5" s="16" t="str">
        <f>IF(CP4="N","0",IF(CP5="Y",CQ7/2,"0"))</f>
        <v>0</v>
      </c>
      <c r="CR5" s="274" t="s">
        <v>176</v>
      </c>
      <c r="CS5" s="275"/>
      <c r="CT5" s="276"/>
      <c r="CU5" s="117" t="s">
        <v>179</v>
      </c>
      <c r="CV5" s="16">
        <f>IF(CU4="N","0",IF(CU5="Y",CV7/2,"0"))</f>
        <v>25</v>
      </c>
      <c r="CW5" s="274" t="s">
        <v>176</v>
      </c>
      <c r="CX5" s="275"/>
      <c r="CY5" s="276"/>
      <c r="CZ5" s="117" t="s">
        <v>178</v>
      </c>
      <c r="DA5" s="16" t="str">
        <f>IF(CZ4="N","0",IF(CZ5="Y",DA7/2,"0"))</f>
        <v>0</v>
      </c>
      <c r="DB5" s="274" t="s">
        <v>176</v>
      </c>
      <c r="DC5" s="275"/>
      <c r="DD5" s="276"/>
      <c r="DE5" s="117" t="s">
        <v>178</v>
      </c>
      <c r="DF5" s="16" t="str">
        <f>IF(DE4="N","0",IF(DE5="Y",DF7/2,"0"))</f>
        <v>0</v>
      </c>
      <c r="DG5" s="274" t="s">
        <v>176</v>
      </c>
      <c r="DH5" s="275"/>
      <c r="DI5" s="276"/>
      <c r="DJ5" s="117" t="s">
        <v>178</v>
      </c>
      <c r="DK5" s="16" t="str">
        <f>IF(DJ4="N","0",IF(DJ5="Y",DK7/2,"0"))</f>
        <v>0</v>
      </c>
      <c r="DL5" s="274" t="s">
        <v>176</v>
      </c>
      <c r="DM5" s="275"/>
      <c r="DN5" s="276"/>
      <c r="DO5" s="117" t="s">
        <v>179</v>
      </c>
      <c r="DP5" s="16">
        <f>IF(DO4="N","0",IF(DO5="Y",DP7/2,"0"))</f>
        <v>25</v>
      </c>
      <c r="DQ5" s="274" t="s">
        <v>176</v>
      </c>
      <c r="DR5" s="275"/>
      <c r="DS5" s="276"/>
      <c r="DT5" s="117" t="s">
        <v>178</v>
      </c>
      <c r="DU5" s="16" t="str">
        <f>IF(DT4="N","0",IF(DT5="Y",DU7/2,"0"))</f>
        <v>0</v>
      </c>
      <c r="DV5" s="274" t="s">
        <v>176</v>
      </c>
      <c r="DW5" s="275"/>
      <c r="DX5" s="276"/>
      <c r="DY5" s="117" t="s">
        <v>178</v>
      </c>
      <c r="DZ5" s="16" t="str">
        <f>IF(DY4="N","0",IF(DY5="Y",DZ7/2,"0"))</f>
        <v>0</v>
      </c>
      <c r="EA5" s="274" t="s">
        <v>176</v>
      </c>
      <c r="EB5" s="275"/>
      <c r="EC5" s="276"/>
      <c r="ED5" s="117" t="s">
        <v>179</v>
      </c>
      <c r="EE5" s="16">
        <f>IF(ED4="N","0",IF(ED5="Y",EE7/2,"0"))</f>
        <v>15</v>
      </c>
      <c r="EF5" s="274" t="s">
        <v>176</v>
      </c>
      <c r="EG5" s="275"/>
      <c r="EH5" s="276"/>
      <c r="EI5" s="117" t="s">
        <v>179</v>
      </c>
      <c r="EJ5" s="16">
        <f>IF(EI4="N","0",IF(EI5="Y",EJ7/2,"0"))</f>
        <v>25</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179</v>
      </c>
      <c r="AN6" s="16" t="str">
        <f>IF(AM4="N","0",IF(AM6="N",AN7/2,"0"))</f>
        <v>0</v>
      </c>
      <c r="AO6" s="274" t="s">
        <v>177</v>
      </c>
      <c r="AP6" s="275"/>
      <c r="AQ6" s="276"/>
      <c r="AR6" s="117" t="s">
        <v>178</v>
      </c>
      <c r="AS6" s="16">
        <f>IF(AR4="N","0",IF(AR6="N",AS7/2,"0"))</f>
        <v>25</v>
      </c>
      <c r="AT6" s="274" t="s">
        <v>177</v>
      </c>
      <c r="AU6" s="275"/>
      <c r="AV6" s="276"/>
      <c r="AW6" s="117" t="s">
        <v>179</v>
      </c>
      <c r="AX6" s="16" t="str">
        <f>IF(AW4="N","0",IF(AW6="N",AX7/2,"0"))</f>
        <v>0</v>
      </c>
      <c r="AY6" s="274" t="s">
        <v>177</v>
      </c>
      <c r="AZ6" s="275"/>
      <c r="BA6" s="276"/>
      <c r="BB6" s="117" t="s">
        <v>178</v>
      </c>
      <c r="BC6" s="16">
        <f>IF(BB4="N","0",IF(BB6="N",BC7/2,"0"))</f>
        <v>25</v>
      </c>
      <c r="BD6" s="274" t="s">
        <v>177</v>
      </c>
      <c r="BE6" s="275"/>
      <c r="BF6" s="276"/>
      <c r="BG6" s="117" t="s">
        <v>179</v>
      </c>
      <c r="BH6" s="16" t="str">
        <f>IF(BG4="N","0",IF(BG6="N",BH7/2,"0"))</f>
        <v>0</v>
      </c>
      <c r="BI6" s="274" t="s">
        <v>177</v>
      </c>
      <c r="BJ6" s="275"/>
      <c r="BK6" s="276"/>
      <c r="BL6" s="117" t="s">
        <v>178</v>
      </c>
      <c r="BM6" s="16">
        <f>IF(BL4="N","0",IF(BL6="N",BM7/2,"0"))</f>
        <v>25</v>
      </c>
      <c r="BN6" s="274" t="s">
        <v>177</v>
      </c>
      <c r="BO6" s="275"/>
      <c r="BP6" s="276"/>
      <c r="BQ6" s="117" t="s">
        <v>178</v>
      </c>
      <c r="BR6" s="16">
        <f>IF(BQ4="N","0",IF(BQ6="N",BR7/2,"0"))</f>
        <v>25</v>
      </c>
      <c r="BS6" s="274" t="s">
        <v>177</v>
      </c>
      <c r="BT6" s="275"/>
      <c r="BU6" s="276"/>
      <c r="BV6" s="117" t="s">
        <v>179</v>
      </c>
      <c r="BW6" s="16" t="str">
        <f>IF(BV4="N","0",IF(BV6="N",BW7/2,"0"))</f>
        <v>0</v>
      </c>
      <c r="BX6" s="274" t="s">
        <v>177</v>
      </c>
      <c r="BY6" s="275"/>
      <c r="BZ6" s="276"/>
      <c r="CA6" s="117" t="s">
        <v>179</v>
      </c>
      <c r="CB6" s="16" t="str">
        <f>IF(CA4="N","0",IF(CA6="N",CB7/2,"0"))</f>
        <v>0</v>
      </c>
      <c r="CC6" s="274" t="s">
        <v>177</v>
      </c>
      <c r="CD6" s="275"/>
      <c r="CE6" s="276"/>
      <c r="CF6" s="117" t="s">
        <v>179</v>
      </c>
      <c r="CG6" s="16" t="str">
        <f>IF(CF4="N","0",IF(CF6="N",CG7/2,"0"))</f>
        <v>0</v>
      </c>
      <c r="CH6" s="274" t="s">
        <v>177</v>
      </c>
      <c r="CI6" s="275"/>
      <c r="CJ6" s="276"/>
      <c r="CK6" s="117" t="s">
        <v>179</v>
      </c>
      <c r="CL6" s="16" t="str">
        <f>IF(CK4="N","0",IF(CK6="N",CL7/2,"0"))</f>
        <v>0</v>
      </c>
      <c r="CM6" s="274" t="s">
        <v>177</v>
      </c>
      <c r="CN6" s="275"/>
      <c r="CO6" s="276"/>
      <c r="CP6" s="117" t="s">
        <v>178</v>
      </c>
      <c r="CQ6" s="16">
        <f>IF(CP4="N","0",IF(CP6="N",CQ7/2,"0"))</f>
        <v>25</v>
      </c>
      <c r="CR6" s="274" t="s">
        <v>177</v>
      </c>
      <c r="CS6" s="275"/>
      <c r="CT6" s="276"/>
      <c r="CU6" s="117" t="s">
        <v>179</v>
      </c>
      <c r="CV6" s="16" t="str">
        <f>IF(CU4="N","0",IF(CU6="N",CV7/2,"0"))</f>
        <v>0</v>
      </c>
      <c r="CW6" s="274" t="s">
        <v>177</v>
      </c>
      <c r="CX6" s="275"/>
      <c r="CY6" s="276"/>
      <c r="CZ6" s="117" t="s">
        <v>179</v>
      </c>
      <c r="DA6" s="16" t="str">
        <f>IF(CZ4="N","0",IF(CZ6="N",DA7/2,"0"))</f>
        <v>0</v>
      </c>
      <c r="DB6" s="274" t="s">
        <v>177</v>
      </c>
      <c r="DC6" s="275"/>
      <c r="DD6" s="276"/>
      <c r="DE6" s="117" t="s">
        <v>178</v>
      </c>
      <c r="DF6" s="16">
        <f>IF(DE4="N","0",IF(DE6="N",DF7/2,"0"))</f>
        <v>25</v>
      </c>
      <c r="DG6" s="274" t="s">
        <v>177</v>
      </c>
      <c r="DH6" s="275"/>
      <c r="DI6" s="276"/>
      <c r="DJ6" s="117" t="s">
        <v>179</v>
      </c>
      <c r="DK6" s="16" t="str">
        <f>IF(DJ4="N","0",IF(DJ6="N",DK7/2,"0"))</f>
        <v>0</v>
      </c>
      <c r="DL6" s="274" t="s">
        <v>177</v>
      </c>
      <c r="DM6" s="275"/>
      <c r="DN6" s="276"/>
      <c r="DO6" s="117" t="s">
        <v>178</v>
      </c>
      <c r="DP6" s="16">
        <f>IF(DO4="N","0",IF(DO6="N",DP7/2,"0"))</f>
        <v>25</v>
      </c>
      <c r="DQ6" s="274" t="s">
        <v>177</v>
      </c>
      <c r="DR6" s="275"/>
      <c r="DS6" s="276"/>
      <c r="DT6" s="117" t="s">
        <v>179</v>
      </c>
      <c r="DU6" s="16" t="str">
        <f>IF(DT4="N","0",IF(DT6="N",DU7/2,"0"))</f>
        <v>0</v>
      </c>
      <c r="DV6" s="274" t="s">
        <v>177</v>
      </c>
      <c r="DW6" s="275"/>
      <c r="DX6" s="276"/>
      <c r="DY6" s="117" t="s">
        <v>178</v>
      </c>
      <c r="DZ6" s="16">
        <f>IF(DY4="N","0",IF(DY6="N",DZ7/2,"0"))</f>
        <v>15</v>
      </c>
      <c r="EA6" s="274" t="s">
        <v>177</v>
      </c>
      <c r="EB6" s="275"/>
      <c r="EC6" s="276"/>
      <c r="ED6" s="117" t="s">
        <v>178</v>
      </c>
      <c r="EE6" s="16">
        <f>IF(ED4="N","0",IF(ED6="N",EE7/2,"0"))</f>
        <v>15</v>
      </c>
      <c r="EF6" s="274" t="s">
        <v>177</v>
      </c>
      <c r="EG6" s="275"/>
      <c r="EH6" s="276"/>
      <c r="EI6" s="117" t="s">
        <v>178</v>
      </c>
      <c r="EJ6" s="16">
        <f>IF(EI4="N","0",IF(EI6="N",EJ7/2,"0"))</f>
        <v>25</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t="s">
        <v>492</v>
      </c>
      <c r="BC7" s="16">
        <f>IF(OR(BB7="RPX",BB7="SS"),30,IF(OR(BB7="RPX-T",BB7="EUC"),50,0))</f>
        <v>50</v>
      </c>
      <c r="BD7" s="274" t="s">
        <v>180</v>
      </c>
      <c r="BE7" s="275"/>
      <c r="BF7" s="276"/>
      <c r="BG7" s="117" t="s">
        <v>492</v>
      </c>
      <c r="BH7" s="16">
        <f>IF(OR(BG7="RPX",BG7="SS"),30,IF(OR(BG7="RPX-T",BG7="EUC"),50,0))</f>
        <v>50</v>
      </c>
      <c r="BI7" s="274" t="s">
        <v>180</v>
      </c>
      <c r="BJ7" s="275"/>
      <c r="BK7" s="276"/>
      <c r="BL7" s="117" t="s">
        <v>492</v>
      </c>
      <c r="BM7" s="16">
        <f>IF(OR(BL7="RPX",BL7="SS"),30,IF(OR(BL7="RPX-T",BL7="EUC"),50,0))</f>
        <v>50</v>
      </c>
      <c r="BN7" s="274" t="s">
        <v>180</v>
      </c>
      <c r="BO7" s="275"/>
      <c r="BP7" s="276"/>
      <c r="BQ7" s="117" t="s">
        <v>492</v>
      </c>
      <c r="BR7" s="16">
        <f>IF(OR(BQ7="RPX",BQ7="SS"),30,IF(OR(BQ7="RPX-T",BQ7="EUC"),50,0))</f>
        <v>50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t="s">
        <v>492</v>
      </c>
      <c r="CG7" s="16">
        <f>IF(OR(CF7="RPX",CF7="SS"),30,IF(OR(CF7="RPX-T",CF7="EUC"),50,0))</f>
        <v>50</v>
      </c>
      <c r="CH7" s="274" t="s">
        <v>180</v>
      </c>
      <c r="CI7" s="275"/>
      <c r="CJ7" s="276"/>
      <c r="CK7" s="117" t="s">
        <v>492</v>
      </c>
      <c r="CL7" s="16">
        <f>IF(OR(CK7="RPX",CK7="SS"),30,IF(OR(CK7="RPX-T",CK7="EUC"),50,0))</f>
        <v>50</v>
      </c>
      <c r="CM7" s="274" t="s">
        <v>180</v>
      </c>
      <c r="CN7" s="275"/>
      <c r="CO7" s="276"/>
      <c r="CP7" s="117" t="s">
        <v>492</v>
      </c>
      <c r="CQ7" s="16">
        <f>IF(OR(CP7="RPX",CP7="SS"),30,IF(OR(CP7="RPX-T",CP7="EUC"),50,0))</f>
        <v>50</v>
      </c>
      <c r="CR7" s="274" t="s">
        <v>180</v>
      </c>
      <c r="CS7" s="275"/>
      <c r="CT7" s="276"/>
      <c r="CU7" s="117" t="s">
        <v>492</v>
      </c>
      <c r="CV7" s="16">
        <f>IF(OR(CU7="RPX",CU7="SS"),30,IF(OR(CU7="RPX-T",CU7="EUC"),50,0))</f>
        <v>50</v>
      </c>
      <c r="CW7" s="274" t="s">
        <v>180</v>
      </c>
      <c r="CX7" s="275"/>
      <c r="CY7" s="276"/>
      <c r="CZ7" s="117"/>
      <c r="DA7" s="16">
        <f>IF(OR(CZ7="RPX",CZ7="SS"),30,IF(OR(CZ7="RPX-T",CZ7="EUC"),50,0))</f>
        <v>0</v>
      </c>
      <c r="DB7" s="274" t="s">
        <v>180</v>
      </c>
      <c r="DC7" s="275"/>
      <c r="DD7" s="276"/>
      <c r="DE7" s="117" t="s">
        <v>492</v>
      </c>
      <c r="DF7" s="16">
        <f>IF(OR(DE7="RPX",DE7="SS"),30,IF(OR(DE7="RPX-T",DE7="EUC"),50,0))</f>
        <v>50</v>
      </c>
      <c r="DG7" s="274" t="s">
        <v>180</v>
      </c>
      <c r="DH7" s="275"/>
      <c r="DI7" s="276"/>
      <c r="DJ7" s="117" t="s">
        <v>492</v>
      </c>
      <c r="DK7" s="16">
        <f>IF(OR(DJ7="RPX",DJ7="SS"),30,IF(OR(DJ7="RPX-T",DJ7="EUC"),50,0))</f>
        <v>50</v>
      </c>
      <c r="DL7" s="274" t="s">
        <v>180</v>
      </c>
      <c r="DM7" s="275"/>
      <c r="DN7" s="276"/>
      <c r="DO7" s="117" t="s">
        <v>492</v>
      </c>
      <c r="DP7" s="16">
        <f>IF(OR(DO7="RPX",DO7="SS"),30,IF(OR(DO7="RPX-T",DO7="EUC"),50,0))</f>
        <v>50</v>
      </c>
      <c r="DQ7" s="274" t="s">
        <v>180</v>
      </c>
      <c r="DR7" s="275"/>
      <c r="DS7" s="276"/>
      <c r="DT7" s="117" t="s">
        <v>487</v>
      </c>
      <c r="DU7" s="16">
        <f>IF(OR(DT7="RPX",DT7="SS"),30,IF(OR(DT7="RPX-T",DT7="EUC"),50,0))</f>
        <v>30</v>
      </c>
      <c r="DV7" s="274" t="s">
        <v>180</v>
      </c>
      <c r="DW7" s="275"/>
      <c r="DX7" s="276"/>
      <c r="DY7" s="117" t="s">
        <v>487</v>
      </c>
      <c r="DZ7" s="16">
        <f>IF(OR(DY7="RPX",DY7="SS"),30,IF(OR(DY7="RPX-T",DY7="EUC"),50,0))</f>
        <v>30</v>
      </c>
      <c r="EA7" s="274" t="s">
        <v>180</v>
      </c>
      <c r="EB7" s="275"/>
      <c r="EC7" s="276"/>
      <c r="ED7" s="117" t="s">
        <v>487</v>
      </c>
      <c r="EE7" s="16">
        <f>IF(OR(ED7="RPX",ED7="SS"),30,IF(OR(ED7="RPX-T",ED7="EUC"),50,0))</f>
        <v>30</v>
      </c>
      <c r="EF7" s="274" t="s">
        <v>180</v>
      </c>
      <c r="EG7" s="275"/>
      <c r="EH7" s="276"/>
      <c r="EI7" s="117" t="s">
        <v>492</v>
      </c>
      <c r="EJ7" s="16">
        <f>IF(OR(EI7="RPX",EI7="SS"),30,IF(OR(EI7="RPX-T",EI7="EUC"),50,0))</f>
        <v>50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2</v>
      </c>
      <c r="CI11" s="90"/>
      <c r="CJ11" s="90"/>
      <c r="CK11" s="116"/>
      <c r="CL11" s="16">
        <f t="shared" ref="CL11:CL74" si="17">IF(CH11="",CJ11,CH11)</f>
        <v>2</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435</v>
      </c>
      <c r="DH11" s="90"/>
      <c r="DI11" s="90"/>
      <c r="DJ11" s="116"/>
      <c r="DK11" s="16">
        <f t="shared" ref="DK11:DK74" si="22">IF(DG11="",DI11,DG11)</f>
        <v>435</v>
      </c>
      <c r="DL11" s="90">
        <v>657</v>
      </c>
      <c r="DM11" s="90"/>
      <c r="DN11" s="90"/>
      <c r="DO11" s="116"/>
      <c r="DP11" s="16">
        <f t="shared" ref="DP11:DP74" si="23">IF(DL11="",DN11,DL11)</f>
        <v>657</v>
      </c>
      <c r="DQ11" s="90"/>
      <c r="DR11" s="90"/>
      <c r="DS11" s="90">
        <v>259</v>
      </c>
      <c r="DT11" s="90"/>
      <c r="DU11" s="16">
        <f t="shared" ref="DU11:DU74" si="24">IF(DQ11="",DS11,DQ11)</f>
        <v>259</v>
      </c>
      <c r="DV11" s="90"/>
      <c r="DW11" s="90"/>
      <c r="DX11" s="90">
        <v>345</v>
      </c>
      <c r="DY11" s="116"/>
      <c r="DZ11" s="16">
        <f t="shared" ref="DZ11:DZ74" si="25">IF(DV11="",DX11,DV11)</f>
        <v>345</v>
      </c>
      <c r="EA11" s="90"/>
      <c r="EB11" s="90"/>
      <c r="EC11" s="90">
        <v>229</v>
      </c>
      <c r="ED11" s="116"/>
      <c r="EE11" s="16">
        <f t="shared" ref="EE11:EE74" si="26">IF(EA11="",EC11,EA11)</f>
        <v>229</v>
      </c>
      <c r="EF11" s="90"/>
      <c r="EG11" s="90"/>
      <c r="EH11" s="90">
        <v>67</v>
      </c>
      <c r="EI11" s="116"/>
      <c r="EJ11" s="16">
        <f t="shared" ref="EJ11:EJ74" si="27">IF(EF11="",EH11,EF11)</f>
        <v>67</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v>696</v>
      </c>
      <c r="CI12" s="90"/>
      <c r="CJ12" s="90"/>
      <c r="CK12" s="116"/>
      <c r="CL12" s="16">
        <f t="shared" si="17"/>
        <v>696</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c r="DY12" s="116">
        <v>50</v>
      </c>
      <c r="DZ12" s="16">
        <f t="shared" si="25"/>
        <v>0</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c r="L13" s="90">
        <v>20</v>
      </c>
      <c r="M13" s="90"/>
      <c r="N13" s="116"/>
      <c r="O13" s="16">
        <f t="shared" si="3"/>
        <v>0</v>
      </c>
      <c r="P13" s="90"/>
      <c r="Q13" s="90"/>
      <c r="R13" s="90">
        <v>276</v>
      </c>
      <c r="S13" s="116"/>
      <c r="T13" s="16">
        <f t="shared" si="4"/>
        <v>276</v>
      </c>
      <c r="U13" s="90">
        <v>883</v>
      </c>
      <c r="V13" s="90"/>
      <c r="W13" s="90"/>
      <c r="X13" s="116"/>
      <c r="Y13" s="16">
        <f t="shared" si="5"/>
        <v>883</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v>20</v>
      </c>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922</v>
      </c>
      <c r="DH13" s="90"/>
      <c r="DI13" s="90"/>
      <c r="DJ13" s="116"/>
      <c r="DK13" s="16">
        <f t="shared" si="22"/>
        <v>922</v>
      </c>
      <c r="DL13" s="90"/>
      <c r="DM13" s="90"/>
      <c r="DN13" s="90"/>
      <c r="DO13" s="116"/>
      <c r="DP13" s="16">
        <f t="shared" si="23"/>
        <v>0</v>
      </c>
      <c r="DQ13" s="90"/>
      <c r="DR13" s="90"/>
      <c r="DS13" s="90">
        <v>366</v>
      </c>
      <c r="DT13" s="90"/>
      <c r="DU13" s="16">
        <f t="shared" si="24"/>
        <v>366</v>
      </c>
      <c r="DV13" s="90"/>
      <c r="DW13" s="90"/>
      <c r="DX13" s="90">
        <v>320</v>
      </c>
      <c r="DY13" s="116"/>
      <c r="DZ13" s="16">
        <f t="shared" si="25"/>
        <v>320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v>253</v>
      </c>
      <c r="G14" s="90"/>
      <c r="H14" s="90"/>
      <c r="I14" s="116"/>
      <c r="J14" s="16">
        <f t="shared" si="2"/>
        <v>253</v>
      </c>
      <c r="K14" s="90">
        <v>306</v>
      </c>
      <c r="L14" s="90"/>
      <c r="M14" s="90"/>
      <c r="N14" s="116"/>
      <c r="O14" s="16">
        <f t="shared" si="3"/>
        <v>306</v>
      </c>
      <c r="P14" s="90"/>
      <c r="Q14" s="90"/>
      <c r="R14" s="90">
        <v>203</v>
      </c>
      <c r="S14" s="116"/>
      <c r="T14" s="16">
        <f t="shared" si="4"/>
        <v>203</v>
      </c>
      <c r="U14" s="90"/>
      <c r="V14" s="90">
        <v>20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v>580</v>
      </c>
      <c r="CI14" s="90"/>
      <c r="CJ14" s="90"/>
      <c r="CK14" s="116"/>
      <c r="CL14" s="16">
        <f t="shared" si="17"/>
        <v>580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20</v>
      </c>
      <c r="DI14" s="90"/>
      <c r="DJ14" s="116"/>
      <c r="DK14" s="16">
        <f t="shared" si="22"/>
        <v>0</v>
      </c>
      <c r="DL14" s="90"/>
      <c r="DM14" s="90"/>
      <c r="DN14" s="90"/>
      <c r="DO14" s="116"/>
      <c r="DP14" s="16">
        <f t="shared" si="23"/>
        <v>0</v>
      </c>
      <c r="DQ14" s="90"/>
      <c r="DR14" s="90"/>
      <c r="DS14" s="90">
        <v>115</v>
      </c>
      <c r="DT14" s="90"/>
      <c r="DU14" s="16">
        <f t="shared" si="24"/>
        <v>115</v>
      </c>
      <c r="DV14" s="90"/>
      <c r="DW14" s="90"/>
      <c r="DX14" s="90">
        <v>361</v>
      </c>
      <c r="DY14" s="116"/>
      <c r="DZ14" s="16">
        <f t="shared" si="25"/>
        <v>361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v>590</v>
      </c>
      <c r="G15" s="90"/>
      <c r="H15" s="90"/>
      <c r="I15" s="116"/>
      <c r="J15" s="16">
        <f t="shared" si="2"/>
        <v>590</v>
      </c>
      <c r="K15" s="90">
        <v>345</v>
      </c>
      <c r="L15" s="90"/>
      <c r="M15" s="90"/>
      <c r="N15" s="116"/>
      <c r="O15" s="16">
        <f t="shared" si="3"/>
        <v>345</v>
      </c>
      <c r="P15" s="90"/>
      <c r="Q15" s="90"/>
      <c r="R15" s="90">
        <v>91</v>
      </c>
      <c r="S15" s="116"/>
      <c r="T15" s="16">
        <f t="shared" si="4"/>
        <v>91</v>
      </c>
      <c r="U15" s="90">
        <v>835</v>
      </c>
      <c r="V15" s="90"/>
      <c r="W15" s="90"/>
      <c r="X15" s="116"/>
      <c r="Y15" s="16">
        <f t="shared" si="5"/>
        <v>835</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v>50</v>
      </c>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v>34</v>
      </c>
      <c r="DH15" s="90"/>
      <c r="DI15" s="90"/>
      <c r="DJ15" s="116"/>
      <c r="DK15" s="16">
        <f t="shared" si="22"/>
        <v>34</v>
      </c>
      <c r="DL15" s="90"/>
      <c r="DM15" s="90"/>
      <c r="DN15" s="90"/>
      <c r="DO15" s="116"/>
      <c r="DP15" s="16">
        <f t="shared" si="23"/>
        <v>0</v>
      </c>
      <c r="DQ15" s="90"/>
      <c r="DR15" s="90"/>
      <c r="DS15" s="90"/>
      <c r="DT15" s="90">
        <v>50</v>
      </c>
      <c r="DU15" s="16">
        <f t="shared" si="24"/>
        <v>0</v>
      </c>
      <c r="DV15" s="90"/>
      <c r="DW15" s="90"/>
      <c r="DX15" s="90">
        <v>114</v>
      </c>
      <c r="DY15" s="116"/>
      <c r="DZ15" s="16">
        <f t="shared" si="25"/>
        <v>114</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v>50</v>
      </c>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v>270</v>
      </c>
      <c r="DH16" s="90"/>
      <c r="DI16" s="90"/>
      <c r="DJ16" s="116"/>
      <c r="DK16" s="16">
        <f t="shared" si="22"/>
        <v>270</v>
      </c>
      <c r="DL16" s="90"/>
      <c r="DM16" s="90"/>
      <c r="DN16" s="90"/>
      <c r="DO16" s="116"/>
      <c r="DP16" s="16">
        <f t="shared" si="23"/>
        <v>0</v>
      </c>
      <c r="DQ16" s="90"/>
      <c r="DR16" s="90"/>
      <c r="DS16" s="90">
        <v>301</v>
      </c>
      <c r="DT16" s="90"/>
      <c r="DU16" s="16">
        <f t="shared" si="24"/>
        <v>301</v>
      </c>
      <c r="DV16" s="90"/>
      <c r="DW16" s="90"/>
      <c r="DX16" s="90"/>
      <c r="DY16" s="116">
        <v>50</v>
      </c>
      <c r="DZ16" s="16">
        <f t="shared" si="25"/>
        <v>0</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v>23</v>
      </c>
      <c r="DI17" s="90"/>
      <c r="DJ17" s="116"/>
      <c r="DK17" s="16">
        <f t="shared" si="22"/>
        <v>0</v>
      </c>
      <c r="DL17" s="90"/>
      <c r="DM17" s="90"/>
      <c r="DN17" s="90"/>
      <c r="DO17" s="116"/>
      <c r="DP17" s="16">
        <f t="shared" si="23"/>
        <v>0</v>
      </c>
      <c r="DQ17" s="90"/>
      <c r="DR17" s="90"/>
      <c r="DS17" s="90">
        <v>276</v>
      </c>
      <c r="DT17" s="90"/>
      <c r="DU17" s="16">
        <f t="shared" si="24"/>
        <v>276</v>
      </c>
      <c r="DV17" s="90"/>
      <c r="DW17" s="90"/>
      <c r="DX17" s="90">
        <v>191</v>
      </c>
      <c r="DY17" s="116"/>
      <c r="DZ17" s="16">
        <f t="shared" si="25"/>
        <v>191</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v>50</v>
      </c>
      <c r="DI18" s="90"/>
      <c r="DJ18" s="116"/>
      <c r="DK18" s="16">
        <f t="shared" si="22"/>
        <v>0</v>
      </c>
      <c r="DL18" s="90"/>
      <c r="DM18" s="90"/>
      <c r="DN18" s="90"/>
      <c r="DO18" s="116"/>
      <c r="DP18" s="16">
        <f t="shared" si="23"/>
        <v>0</v>
      </c>
      <c r="DQ18" s="90"/>
      <c r="DR18" s="90"/>
      <c r="DS18" s="90">
        <v>281</v>
      </c>
      <c r="DT18" s="90"/>
      <c r="DU18" s="16">
        <f t="shared" si="24"/>
        <v>281</v>
      </c>
      <c r="DV18" s="90"/>
      <c r="DW18" s="90"/>
      <c r="DX18" s="90">
        <v>296</v>
      </c>
      <c r="DY18" s="116"/>
      <c r="DZ18" s="16">
        <f t="shared" si="25"/>
        <v>296</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313</v>
      </c>
      <c r="DY19" s="116"/>
      <c r="DZ19" s="16">
        <f t="shared" si="25"/>
        <v>313</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v>50</v>
      </c>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v>392</v>
      </c>
      <c r="DY21" s="116"/>
      <c r="DZ21" s="16">
        <f t="shared" si="25"/>
        <v>392</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v>314</v>
      </c>
      <c r="DY22" s="116"/>
      <c r="DZ22" s="16">
        <f t="shared" si="25"/>
        <v>314</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8" priority="196">
      <formula>IF(A25&gt;0,A25&lt;20)</formula>
    </cfRule>
  </conditionalFormatting>
  <conditionalFormatting sqref="F20:F208">
    <cfRule type="expression" dxfId="1577" priority="77">
      <formula>IF(F20&gt;0,F20&lt;20)</formula>
    </cfRule>
  </conditionalFormatting>
  <conditionalFormatting sqref="K22:K208">
    <cfRule type="expression" dxfId="1576" priority="76">
      <formula>IF(K22&gt;0,K22&lt;20)</formula>
    </cfRule>
  </conditionalFormatting>
  <conditionalFormatting sqref="P14:P208">
    <cfRule type="expression" dxfId="1575" priority="75">
      <formula>IF(P14&gt;0,P14&lt;20)</formula>
    </cfRule>
  </conditionalFormatting>
  <conditionalFormatting sqref="U22:U208">
    <cfRule type="expression" dxfId="1574" priority="74">
      <formula>IF(U22&gt;0,U22&lt;20)</formula>
    </cfRule>
  </conditionalFormatting>
  <conditionalFormatting sqref="Z17:Z208">
    <cfRule type="expression" dxfId="1573" priority="73">
      <formula>IF(Z17&gt;0,Z17&lt;20)</formula>
    </cfRule>
  </conditionalFormatting>
  <conditionalFormatting sqref="AE15:AE208">
    <cfRule type="expression" dxfId="1572" priority="72">
      <formula>IF(AE15&gt;0,AE15&lt;20)</formula>
    </cfRule>
  </conditionalFormatting>
  <conditionalFormatting sqref="AJ25:AJ208">
    <cfRule type="expression" dxfId="1571" priority="71">
      <formula>IF(AJ25&gt;0,AJ25&lt;20)</formula>
    </cfRule>
  </conditionalFormatting>
  <conditionalFormatting sqref="AO16:AO208">
    <cfRule type="expression" dxfId="1570" priority="70">
      <formula>IF(AO16&gt;0,AO16&lt;20)</formula>
    </cfRule>
  </conditionalFormatting>
  <conditionalFormatting sqref="AT14:AT208">
    <cfRule type="expression" dxfId="1569" priority="69">
      <formula>IF(AT14&gt;0,AT14&lt;20)</formula>
    </cfRule>
  </conditionalFormatting>
  <conditionalFormatting sqref="AY9:AY208">
    <cfRule type="expression" dxfId="1568" priority="68">
      <formula>IF(AY9&gt;0,AY9&lt;20)</formula>
    </cfRule>
  </conditionalFormatting>
  <conditionalFormatting sqref="BD9:BD208">
    <cfRule type="expression" dxfId="1567" priority="67">
      <formula>IF(BD9&gt;0,BD9&lt;20)</formula>
    </cfRule>
  </conditionalFormatting>
  <conditionalFormatting sqref="BI9:BI208">
    <cfRule type="expression" dxfId="1566" priority="66">
      <formula>IF(BI9&gt;0,BI9&lt;20)</formula>
    </cfRule>
  </conditionalFormatting>
  <conditionalFormatting sqref="BN9:BN208">
    <cfRule type="expression" dxfId="1565" priority="65">
      <formula>IF(BN9&gt;0,BN9&lt;20)</formula>
    </cfRule>
  </conditionalFormatting>
  <conditionalFormatting sqref="BS9:BS208">
    <cfRule type="expression" dxfId="1564" priority="64">
      <formula>IF(BS9&gt;0,BS9&lt;20)</formula>
    </cfRule>
  </conditionalFormatting>
  <conditionalFormatting sqref="BX9:BX208">
    <cfRule type="expression" dxfId="1563" priority="63">
      <formula>IF(BX9&gt;0,BX9&lt;20)</formula>
    </cfRule>
  </conditionalFormatting>
  <conditionalFormatting sqref="CC9:CC208">
    <cfRule type="expression" dxfId="1562" priority="62">
      <formula>IF(CC9&gt;0,CC9&lt;20)</formula>
    </cfRule>
  </conditionalFormatting>
  <conditionalFormatting sqref="CH9:CH208">
    <cfRule type="expression" dxfId="1561" priority="61">
      <formula>IF(CH9&gt;0,CH9&lt;20)</formula>
    </cfRule>
  </conditionalFormatting>
  <conditionalFormatting sqref="CM9:CM208">
    <cfRule type="expression" dxfId="1560" priority="60">
      <formula>IF(CM9&gt;0,CM9&lt;20)</formula>
    </cfRule>
  </conditionalFormatting>
  <conditionalFormatting sqref="CR9:CR208">
    <cfRule type="expression" dxfId="1559" priority="59">
      <formula>IF(CR9&gt;0,CR9&lt;20)</formula>
    </cfRule>
  </conditionalFormatting>
  <conditionalFormatting sqref="CW9:CW208">
    <cfRule type="expression" dxfId="1558" priority="58">
      <formula>IF(CW9&gt;0,CW9&lt;20)</formula>
    </cfRule>
  </conditionalFormatting>
  <conditionalFormatting sqref="DB9:DB208">
    <cfRule type="expression" dxfId="1557" priority="57">
      <formula>IF(DB9&gt;0,DB9&lt;20)</formula>
    </cfRule>
  </conditionalFormatting>
  <conditionalFormatting sqref="DG9:DG208">
    <cfRule type="expression" dxfId="1556" priority="56">
      <formula>IF(DG9&gt;0,DG9&lt;20)</formula>
    </cfRule>
  </conditionalFormatting>
  <conditionalFormatting sqref="DL9:DL208">
    <cfRule type="expression" dxfId="1555" priority="55">
      <formula>IF(DL9&gt;0,DL9&lt;20)</formula>
    </cfRule>
  </conditionalFormatting>
  <conditionalFormatting sqref="DQ9:DQ208">
    <cfRule type="expression" dxfId="1554" priority="54">
      <formula>IF(DQ9&gt;0,DQ9&lt;20)</formula>
    </cfRule>
  </conditionalFormatting>
  <conditionalFormatting sqref="DV9:DV208">
    <cfRule type="expression" dxfId="1553" priority="53">
      <formula>IF(DV9&gt;0,DV9&lt;20)</formula>
    </cfRule>
  </conditionalFormatting>
  <conditionalFormatting sqref="EA9:EA208">
    <cfRule type="expression" dxfId="1552" priority="52">
      <formula>IF(EA9&gt;0,EA9&lt;20)</formula>
    </cfRule>
  </conditionalFormatting>
  <conditionalFormatting sqref="EF9:EF208">
    <cfRule type="expression" dxfId="1551" priority="51">
      <formula>IF(EF9&gt;0,EF9&lt;20)</formula>
    </cfRule>
  </conditionalFormatting>
  <conditionalFormatting sqref="EK9:EK208">
    <cfRule type="expression" dxfId="1550" priority="50">
      <formula>IF(EK9&gt;0,EK9&lt;20)</formula>
    </cfRule>
  </conditionalFormatting>
  <conditionalFormatting sqref="EP9:EP208">
    <cfRule type="expression" dxfId="1549" priority="49">
      <formula>IF(EP9&gt;0,EP9&lt;20)</formula>
    </cfRule>
  </conditionalFormatting>
  <conditionalFormatting sqref="EU9:EU208">
    <cfRule type="expression" dxfId="1548" priority="48">
      <formula>IF(EU9&gt;0,EU9&lt;20)</formula>
    </cfRule>
  </conditionalFormatting>
  <conditionalFormatting sqref="EZ9:EZ208">
    <cfRule type="expression" dxfId="1547" priority="47">
      <formula>IF(EZ9&gt;0,EZ9&lt;20)</formula>
    </cfRule>
  </conditionalFormatting>
  <conditionalFormatting sqref="FE9:FE208">
    <cfRule type="expression" dxfId="1546" priority="46">
      <formula>IF(FE9&gt;0,FE9&lt;20)</formula>
    </cfRule>
  </conditionalFormatting>
  <conditionalFormatting sqref="IL9:IL208">
    <cfRule type="expression" dxfId="1545" priority="29">
      <formula>IF(IL9&gt;0,IL9&lt;20)</formula>
    </cfRule>
  </conditionalFormatting>
  <conditionalFormatting sqref="FJ9:FJ208">
    <cfRule type="expression" dxfId="1544" priority="45">
      <formula>IF(FJ9&gt;0,FJ9&lt;20)</formula>
    </cfRule>
  </conditionalFormatting>
  <conditionalFormatting sqref="FO9:FO208">
    <cfRule type="expression" dxfId="1543" priority="44">
      <formula>IF(FO9&gt;0,FO9&lt;20)</formula>
    </cfRule>
  </conditionalFormatting>
  <conditionalFormatting sqref="FT9:FT208">
    <cfRule type="expression" dxfId="1542" priority="43">
      <formula>IF(FT9&gt;0,FT9&lt;20)</formula>
    </cfRule>
  </conditionalFormatting>
  <conditionalFormatting sqref="FY9:FY208">
    <cfRule type="expression" dxfId="1541" priority="42">
      <formula>IF(FY9&gt;0,FY9&lt;20)</formula>
    </cfRule>
  </conditionalFormatting>
  <conditionalFormatting sqref="GD9:GD208">
    <cfRule type="expression" dxfId="1540" priority="41">
      <formula>IF(GD9&gt;0,GD9&lt;20)</formula>
    </cfRule>
  </conditionalFormatting>
  <conditionalFormatting sqref="GI9:GI208">
    <cfRule type="expression" dxfId="1539" priority="40">
      <formula>IF(GI9&gt;0,GI9&lt;20)</formula>
    </cfRule>
  </conditionalFormatting>
  <conditionalFormatting sqref="GN9:GN208">
    <cfRule type="expression" dxfId="1538" priority="39">
      <formula>IF(GN9&gt;0,GN9&lt;20)</formula>
    </cfRule>
  </conditionalFormatting>
  <conditionalFormatting sqref="GS9:GS208">
    <cfRule type="expression" dxfId="1537" priority="38">
      <formula>IF(GS9&gt;0,GS9&lt;20)</formula>
    </cfRule>
  </conditionalFormatting>
  <conditionalFormatting sqref="GX9:GX208">
    <cfRule type="expression" dxfId="1536" priority="37">
      <formula>IF(GX9&gt;0,GX9&lt;20)</formula>
    </cfRule>
  </conditionalFormatting>
  <conditionalFormatting sqref="HC9:HC208">
    <cfRule type="expression" dxfId="1535" priority="36">
      <formula>IF(HC9&gt;0,HC9&lt;20)</formula>
    </cfRule>
  </conditionalFormatting>
  <conditionalFormatting sqref="HH9:HH208">
    <cfRule type="expression" dxfId="1534" priority="35">
      <formula>IF(HH9&gt;0,HH9&lt;20)</formula>
    </cfRule>
  </conditionalFormatting>
  <conditionalFormatting sqref="HM9:HM208">
    <cfRule type="expression" dxfId="1533" priority="34">
      <formula>IF(HM9&gt;0,HM9&lt;20)</formula>
    </cfRule>
  </conditionalFormatting>
  <conditionalFormatting sqref="HR9:HR208">
    <cfRule type="expression" dxfId="1532" priority="33">
      <formula>IF(HR9&gt;0,HR9&lt;20)</formula>
    </cfRule>
  </conditionalFormatting>
  <conditionalFormatting sqref="HW9:HW208">
    <cfRule type="expression" dxfId="1531" priority="32">
      <formula>IF(HW9&gt;0,HW9&lt;20)</formula>
    </cfRule>
  </conditionalFormatting>
  <conditionalFormatting sqref="IB9:IB208">
    <cfRule type="expression" dxfId="1530" priority="31">
      <formula>IF(IB9&gt;0,IB9&lt;20)</formula>
    </cfRule>
  </conditionalFormatting>
  <conditionalFormatting sqref="IG9:IG208">
    <cfRule type="expression" dxfId="1529" priority="30">
      <formula>IF(IG9&gt;0,IG9&lt;20)</formula>
    </cfRule>
  </conditionalFormatting>
  <conditionalFormatting sqref="A19:A24">
    <cfRule type="expression" dxfId="1528" priority="27">
      <formula>IF(A19&gt;0,A19&lt;20)</formula>
    </cfRule>
  </conditionalFormatting>
  <conditionalFormatting sqref="F12:F19">
    <cfRule type="expression" dxfId="1527" priority="26">
      <formula>IF(F12&gt;0,F12&lt;20)</formula>
    </cfRule>
  </conditionalFormatting>
  <conditionalFormatting sqref="K14:K21">
    <cfRule type="expression" dxfId="1526" priority="25">
      <formula>IF(K14&gt;0,K14&lt;20)</formula>
    </cfRule>
  </conditionalFormatting>
  <conditionalFormatting sqref="P12:P13">
    <cfRule type="expression" dxfId="1525" priority="23">
      <formula>IF(P12&gt;0,P12&lt;20)</formula>
    </cfRule>
  </conditionalFormatting>
  <conditionalFormatting sqref="U10:U21">
    <cfRule type="expression" dxfId="1524" priority="22">
      <formula>IF(U10&gt;0,U10&lt;20)</formula>
    </cfRule>
  </conditionalFormatting>
  <conditionalFormatting sqref="AJ11:AJ24">
    <cfRule type="expression" dxfId="1523" priority="19">
      <formula>IF(AJ11&gt;0,AJ11&lt;20)</formula>
    </cfRule>
  </conditionalFormatting>
  <conditionalFormatting sqref="F9:F11">
    <cfRule type="expression" dxfId="1522" priority="18">
      <formula>IF(F9&gt;0,F9&lt;20)</formula>
    </cfRule>
  </conditionalFormatting>
  <conditionalFormatting sqref="K13">
    <cfRule type="expression" dxfId="1521" priority="17">
      <formula>IF(K13&gt;0,K13&lt;20)</formula>
    </cfRule>
  </conditionalFormatting>
  <conditionalFormatting sqref="K9:K12">
    <cfRule type="expression" dxfId="1520" priority="16">
      <formula>IF(K9&gt;0,K9&lt;20)</formula>
    </cfRule>
  </conditionalFormatting>
  <conditionalFormatting sqref="P9:P11">
    <cfRule type="expression" dxfId="1519" priority="15">
      <formula>IF(P9&gt;0,P9&lt;20)</formula>
    </cfRule>
  </conditionalFormatting>
  <conditionalFormatting sqref="U9">
    <cfRule type="expression" dxfId="1518" priority="14">
      <formula>IF(U9&gt;0,U9&lt;20)</formula>
    </cfRule>
  </conditionalFormatting>
  <conditionalFormatting sqref="Z9:Z16">
    <cfRule type="expression" dxfId="1517" priority="13">
      <formula>IF(Z9&gt;0,Z9&lt;20)</formula>
    </cfRule>
  </conditionalFormatting>
  <conditionalFormatting sqref="AE13:AE14">
    <cfRule type="expression" dxfId="1516" priority="12">
      <formula>IF(AE13&gt;0,AE13&lt;20)</formula>
    </cfRule>
  </conditionalFormatting>
  <conditionalFormatting sqref="AE9:AE12">
    <cfRule type="expression" dxfId="1515" priority="11">
      <formula>IF(AE9&gt;0,AE9&lt;20)</formula>
    </cfRule>
  </conditionalFormatting>
  <conditionalFormatting sqref="AJ9:AJ10">
    <cfRule type="expression" dxfId="1514" priority="10">
      <formula>IF(AJ9&gt;0,AJ9&lt;20)</formula>
    </cfRule>
  </conditionalFormatting>
  <conditionalFormatting sqref="AO9:AO15">
    <cfRule type="expression" dxfId="1513" priority="9">
      <formula>IF(AO9&gt;0,AO9&lt;20)</formula>
    </cfRule>
  </conditionalFormatting>
  <conditionalFormatting sqref="AT9:AT13">
    <cfRule type="expression" dxfId="1512" priority="8">
      <formula>IF(AT9&gt;0,AT9&lt;20)</formula>
    </cfRule>
  </conditionalFormatting>
  <conditionalFormatting sqref="A9">
    <cfRule type="expression" dxfId="1511" priority="7">
      <formula>AND(A$9&lt;&gt;"",A$9&lt;20)</formula>
    </cfRule>
  </conditionalFormatting>
  <conditionalFormatting sqref="A10:A18">
    <cfRule type="expression" dxfId="1510" priority="6">
      <formula>AND(A10&lt;&gt;"",A10&lt;20)</formula>
    </cfRule>
  </conditionalFormatting>
  <conditionalFormatting sqref="K14">
    <cfRule type="expression" dxfId="1509" priority="5">
      <formula>IF(K14&gt;0,K14&lt;20)</formula>
    </cfRule>
  </conditionalFormatting>
  <conditionalFormatting sqref="P14">
    <cfRule type="expression" dxfId="1508" priority="4">
      <formula>IF(P14&gt;0,P14&lt;20)</formula>
    </cfRule>
  </conditionalFormatting>
  <conditionalFormatting sqref="K14">
    <cfRule type="expression" dxfId="1507" priority="3">
      <formula>IF(K14&gt;0,K14&lt;20)</formula>
    </cfRule>
  </conditionalFormatting>
  <conditionalFormatting sqref="K15">
    <cfRule type="expression" dxfId="1506" priority="2">
      <formula>IF(K15&gt;0,K15&lt;20)</formula>
    </cfRule>
  </conditionalFormatting>
  <conditionalFormatting sqref="DS9:DS23">
    <cfRule type="expression" dxfId="1505" priority="1">
      <formula>IF(DS9&gt;0,DS9&lt;20)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49" zoomScaleNormal="100" workbookViewId="0">
      <selection activeCell="C63" sqref="C63:F66"/>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108</v>
      </c>
      <c r="J6" s="290" t="s">
        <v>225</v>
      </c>
      <c r="K6" s="291"/>
      <c r="L6" s="287"/>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36</v>
      </c>
      <c r="J7" s="301" t="s">
        <v>231</v>
      </c>
      <c r="K7" s="302"/>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77" t="s">
        <v>242</v>
      </c>
      <c r="H9" s="43" t="s">
        <v>243</v>
      </c>
      <c r="I9" s="35">
        <f>IF(E9&lt;&gt;0,1,0)</f>
        <v>1</v>
      </c>
      <c r="J9" s="309" t="s">
        <v>244</v>
      </c>
      <c r="K9" s="310"/>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278"/>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757</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740</v>
      </c>
      <c r="E17" s="32">
        <v>6</v>
      </c>
      <c r="F17" s="32" t="s">
        <v>488</v>
      </c>
      <c r="G17" s="68" t="s">
        <v>277</v>
      </c>
      <c r="H17" s="69">
        <f>IF(I17=0,0,I17-(E17-1))</f>
        <v>859</v>
      </c>
      <c r="I17" s="70">
        <f>IF(E17=0,0,I12)</f>
        <v>864</v>
      </c>
      <c r="J17" s="71" t="s">
        <v>278</v>
      </c>
      <c r="K17" s="32"/>
      <c r="L17" s="233"/>
      <c r="M17" s="295" t="s">
        <v>735</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739</v>
      </c>
      <c r="E18" s="32">
        <v>8</v>
      </c>
      <c r="F18" s="32" t="s">
        <v>488</v>
      </c>
      <c r="G18" s="68" t="s">
        <v>277</v>
      </c>
      <c r="H18" s="69">
        <f t="shared" ref="H18:H41" si="9">IF(E18=0,0,I18-(E18-1))</f>
        <v>851</v>
      </c>
      <c r="I18" s="70">
        <f t="shared" ref="I18:I41" si="10">IF(E18=0,0,H17-1)</f>
        <v>858</v>
      </c>
      <c r="J18" s="73" t="str">
        <f>IF(C18="","--",IF(AND(C18&lt;&gt;"FST",C18&lt;&gt;"TCF",BA17&lt;&gt;0),BA17,"--"))</f>
        <v>--</v>
      </c>
      <c r="K18" s="32"/>
      <c r="L18" s="233"/>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738</v>
      </c>
      <c r="E19" s="32">
        <v>2</v>
      </c>
      <c r="F19" s="32" t="s">
        <v>488</v>
      </c>
      <c r="G19" s="75" t="s">
        <v>277</v>
      </c>
      <c r="H19" s="69">
        <f t="shared" si="9"/>
        <v>849</v>
      </c>
      <c r="I19" s="70">
        <f t="shared" si="10"/>
        <v>850</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829</v>
      </c>
      <c r="E20" s="32">
        <v>8</v>
      </c>
      <c r="F20" s="32" t="s">
        <v>488</v>
      </c>
      <c r="G20" s="68" t="s">
        <v>277</v>
      </c>
      <c r="H20" s="69">
        <f t="shared" si="9"/>
        <v>841</v>
      </c>
      <c r="I20" s="70">
        <f t="shared" si="10"/>
        <v>848</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95" t="s">
        <v>404</v>
      </c>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84</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60</v>
      </c>
      <c r="J48" s="301" t="s">
        <v>231</v>
      </c>
      <c r="K48" s="302"/>
      <c r="L48" s="34">
        <f>I52</f>
        <v>757</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309" t="s">
        <v>237</v>
      </c>
      <c r="H49" s="310"/>
      <c r="I49" s="35">
        <f>IF(E49=0,0,12-(MOD(I47,12)))</f>
        <v>12</v>
      </c>
      <c r="J49" s="301" t="s">
        <v>238</v>
      </c>
      <c r="K49" s="302"/>
      <c r="L49" s="39">
        <f>I53-I47</f>
        <v>756</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277" t="s">
        <v>242</v>
      </c>
      <c r="H50" s="43" t="s">
        <v>243</v>
      </c>
      <c r="I50" s="35">
        <f>IF(E50&lt;&gt;0,1,0)</f>
        <v>1</v>
      </c>
      <c r="J50" s="309" t="s">
        <v>244</v>
      </c>
      <c r="K50" s="310"/>
      <c r="L50" s="44">
        <f>'Cable Calculator'!I3</f>
        <v>1826</v>
      </c>
      <c r="M50" s="196">
        <v>8</v>
      </c>
      <c r="N50" s="35">
        <f>SUM(AI50,AI61)</f>
        <v>0</v>
      </c>
      <c r="O50" s="35">
        <v>0</v>
      </c>
      <c r="P50" s="35">
        <f>SUM(AJ50,AJ61)</f>
        <v>0</v>
      </c>
      <c r="Q50" s="35">
        <v>0</v>
      </c>
      <c r="R50" s="35">
        <f>COUNTIFS($E58:$E82,"8",$F58:$F82,"Pole",$C58:$C82,"FST")</f>
        <v>0</v>
      </c>
      <c r="S50" s="35">
        <f>SUM(AL50,AK61)</f>
        <v>0</v>
      </c>
      <c r="T50" s="35">
        <v>0</v>
      </c>
      <c r="U50" s="35">
        <f>SUM(AK50,AL61)</f>
        <v>4</v>
      </c>
      <c r="V50" s="35">
        <v>0</v>
      </c>
      <c r="W50" s="34">
        <f>COUNTIFS($E58:$E82,"8",$F58:$F82,"HH",$C58:$C82,"FST")</f>
        <v>4</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4</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278"/>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2</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277" t="s">
        <v>251</v>
      </c>
      <c r="H52" s="51" t="s">
        <v>252</v>
      </c>
      <c r="I52" s="112">
        <f>E51</f>
        <v>757</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741</v>
      </c>
      <c r="E58" s="32">
        <v>4</v>
      </c>
      <c r="F58" s="32" t="s">
        <v>488</v>
      </c>
      <c r="G58" s="68" t="s">
        <v>277</v>
      </c>
      <c r="H58" s="69">
        <f>IF(I58=0,0,I58-(E58-1))</f>
        <v>837</v>
      </c>
      <c r="I58" s="70">
        <f>IF(E58=0,0,I53)</f>
        <v>840</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8</v>
      </c>
      <c r="F59" s="32" t="s">
        <v>488</v>
      </c>
      <c r="G59" s="68" t="s">
        <v>277</v>
      </c>
      <c r="H59" s="69">
        <f t="shared" ref="H59:H82" si="26">IF(E59=0,0,I59-(E59-1))</f>
        <v>829</v>
      </c>
      <c r="I59" s="70">
        <f t="shared" ref="I59:I82" si="27">IF(E59=0,0,H58-1)</f>
        <v>836</v>
      </c>
      <c r="J59" s="73" t="str">
        <f>IF(C59="","--",IF(AND(C59&lt;&gt;"FST",C59&lt;&gt;"TCF",BA58&lt;&gt;0),BA58,"--"))</f>
        <v>--</v>
      </c>
      <c r="K59" s="32">
        <v>1000</v>
      </c>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742</v>
      </c>
      <c r="E60" s="32">
        <v>8</v>
      </c>
      <c r="F60" s="32" t="s">
        <v>488</v>
      </c>
      <c r="G60" s="75" t="s">
        <v>277</v>
      </c>
      <c r="H60" s="69">
        <f t="shared" si="26"/>
        <v>821</v>
      </c>
      <c r="I60" s="70">
        <f t="shared" si="27"/>
        <v>828</v>
      </c>
      <c r="J60" s="73" t="str">
        <f t="shared" ref="J60:J82" si="28">IF(C60="","--",IF(AND(C60&lt;&gt;"FST",C60&lt;&gt;"TCF",BA59&lt;&gt;0),BA59,"--"))</f>
        <v>--</v>
      </c>
      <c r="K60" s="32">
        <v>500</v>
      </c>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821-828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744</v>
      </c>
      <c r="E61" s="32">
        <v>8</v>
      </c>
      <c r="F61" s="32" t="s">
        <v>488</v>
      </c>
      <c r="G61" s="68" t="s">
        <v>277</v>
      </c>
      <c r="H61" s="69">
        <f t="shared" si="26"/>
        <v>813</v>
      </c>
      <c r="I61" s="70">
        <f t="shared" si="27"/>
        <v>820</v>
      </c>
      <c r="J61" s="73" t="str">
        <f t="shared" si="28"/>
        <v>--</v>
      </c>
      <c r="K61" s="32">
        <v>200</v>
      </c>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813-820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745</v>
      </c>
      <c r="E62" s="32">
        <v>8</v>
      </c>
      <c r="F62" s="32" t="s">
        <v>488</v>
      </c>
      <c r="G62" s="68" t="s">
        <v>277</v>
      </c>
      <c r="H62" s="69">
        <f t="shared" si="26"/>
        <v>805</v>
      </c>
      <c r="I62" s="70">
        <f t="shared" si="27"/>
        <v>812</v>
      </c>
      <c r="J62" s="73" t="str">
        <f t="shared" si="28"/>
        <v>--</v>
      </c>
      <c r="K62" s="32">
        <v>1000</v>
      </c>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0</v>
      </c>
      <c r="AE62" s="109" t="str">
        <f t="shared" si="19"/>
        <v>805-812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501</v>
      </c>
      <c r="D63" s="102"/>
      <c r="E63" s="32">
        <v>12</v>
      </c>
      <c r="F63" s="32"/>
      <c r="G63" s="68" t="s">
        <v>277</v>
      </c>
      <c r="H63" s="69">
        <f t="shared" si="26"/>
        <v>793</v>
      </c>
      <c r="I63" s="70">
        <f t="shared" si="27"/>
        <v>804</v>
      </c>
      <c r="J63" s="73" t="str">
        <f t="shared" si="28"/>
        <v>--</v>
      </c>
      <c r="K63" s="32"/>
      <c r="L63" s="233"/>
      <c r="M63" s="295" t="s">
        <v>405</v>
      </c>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793-804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781</v>
      </c>
      <c r="I64" s="70">
        <f t="shared" si="27"/>
        <v>792</v>
      </c>
      <c r="J64" s="73" t="str">
        <f t="shared" si="28"/>
        <v>--</v>
      </c>
      <c r="K64" s="32"/>
      <c r="L64" s="233"/>
      <c r="M64" s="295" t="s">
        <v>814</v>
      </c>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781-792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769</v>
      </c>
      <c r="I65" s="70">
        <f t="shared" si="27"/>
        <v>780</v>
      </c>
      <c r="J65" s="73" t="str">
        <f t="shared" si="28"/>
        <v>--</v>
      </c>
      <c r="K65" s="32"/>
      <c r="L65" s="233"/>
      <c r="M65" s="295" t="s">
        <v>405</v>
      </c>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0</v>
      </c>
      <c r="AN65" s="109">
        <f t="shared" si="23"/>
        <v>0</v>
      </c>
      <c r="AO65" s="109" t="str">
        <f t="shared" si="24"/>
        <v/>
      </c>
      <c r="AQ65" s="109" t="str">
        <f t="shared" si="25"/>
        <v>Y</v>
      </c>
      <c r="BA65" s="229">
        <f>MOD(SUM(E58:E66),12)</f>
        <v>0</v>
      </c>
    </row>
    <row r="66" spans="1:53" ht="15.75" thickBot="1" x14ac:dyDescent="0.3">
      <c r="A66" s="88"/>
      <c r="B66" s="66" t="s">
        <v>286</v>
      </c>
      <c r="C66" s="67" t="s">
        <v>501</v>
      </c>
      <c r="D66" s="102"/>
      <c r="E66" s="32">
        <v>12</v>
      </c>
      <c r="F66" s="32"/>
      <c r="G66" s="68" t="s">
        <v>277</v>
      </c>
      <c r="H66" s="69">
        <f t="shared" si="26"/>
        <v>757</v>
      </c>
      <c r="I66" s="70">
        <f t="shared" si="27"/>
        <v>768</v>
      </c>
      <c r="J66" s="73" t="str">
        <f t="shared" si="28"/>
        <v>--</v>
      </c>
      <c r="K66" s="32"/>
      <c r="L66" s="233"/>
      <c r="M66" s="295" t="s">
        <v>405</v>
      </c>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Y</v>
      </c>
      <c r="AG66" s="109" t="str">
        <f t="shared" si="21"/>
        <v>B</v>
      </c>
      <c r="AM66" s="109">
        <f t="shared" si="22"/>
        <v>0</v>
      </c>
      <c r="AN66" s="109">
        <f t="shared" si="23"/>
        <v>0</v>
      </c>
      <c r="AO66" s="109" t="str">
        <f t="shared" si="24"/>
        <v/>
      </c>
      <c r="AQ66" s="109" t="str">
        <f t="shared" si="25"/>
        <v>Y</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85</v>
      </c>
      <c r="X69" s="84"/>
      <c r="Y69" s="78">
        <f>SUM(E58:E69)</f>
        <v>84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85</v>
      </c>
      <c r="X70" s="84"/>
      <c r="Y70" s="78">
        <f>SUM(E58:E70)</f>
        <v>84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85</v>
      </c>
      <c r="X71" s="84"/>
      <c r="Y71" s="78">
        <f>SUM(E58:E71)</f>
        <v>84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85</v>
      </c>
      <c r="X72" s="84"/>
      <c r="Y72" s="78">
        <f>SUM(E58:E72)</f>
        <v>84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85</v>
      </c>
      <c r="X73" s="84"/>
      <c r="Y73" s="78">
        <f>SUM(E58:E73)</f>
        <v>84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85</v>
      </c>
      <c r="X74" s="84"/>
      <c r="Y74" s="78">
        <f>SUM(E58:E74)</f>
        <v>84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85</v>
      </c>
      <c r="X75" s="84"/>
      <c r="Y75" s="78">
        <f>SUM(E58:E75)</f>
        <v>84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85</v>
      </c>
      <c r="X76" s="84"/>
      <c r="Y76" s="78">
        <f>SUM(E58:E76)</f>
        <v>84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85</v>
      </c>
      <c r="X77" s="84"/>
      <c r="Y77" s="78">
        <f>SUM(E58:E77)</f>
        <v>84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85</v>
      </c>
      <c r="X78" s="84"/>
      <c r="Y78" s="78">
        <f>SUM(E58:E78)</f>
        <v>84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85</v>
      </c>
      <c r="X79" s="84"/>
      <c r="Y79" s="78">
        <f>SUM(E58:E79)</f>
        <v>84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85</v>
      </c>
      <c r="X80" s="84"/>
      <c r="Y80" s="78">
        <f>SUM(E58:E80)</f>
        <v>84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85</v>
      </c>
      <c r="X81" s="84"/>
      <c r="Y81" s="78">
        <f>SUM(E58:E81)</f>
        <v>84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84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2</v>
      </c>
      <c r="AR83" s="109">
        <f>(COUNTIF(AQ58:AQ82,"Y")/2)</f>
        <v>2</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48</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757</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09" t="s">
        <v>237</v>
      </c>
      <c r="H90" s="310"/>
      <c r="I90" s="35">
        <f>IF(E90=0,0,12-(MOD(I88,12)))</f>
        <v>12</v>
      </c>
      <c r="J90" s="301" t="s">
        <v>238</v>
      </c>
      <c r="K90" s="302"/>
      <c r="L90" s="39">
        <f>I94-I88</f>
        <v>756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1840</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Y</v>
      </c>
      <c r="AT91" s="110" t="s">
        <v>245</v>
      </c>
      <c r="AU91" s="109">
        <f>COUNTIFS($E89,"SS",$AS91,"Y")</f>
        <v>0</v>
      </c>
      <c r="AV91" s="108">
        <f>COUNTIFS($E89,"RPX",$AS91,"Y")</f>
        <v>0</v>
      </c>
      <c r="AW91" s="108">
        <f>COUNTIFS($E89,"EUC",$AS91,"Y")</f>
        <v>1</v>
      </c>
      <c r="AX91" s="109">
        <f>COUNTIFS($E89,"RPX-T",$AS91,"Y")</f>
        <v>0</v>
      </c>
      <c r="BA91" s="227"/>
    </row>
    <row r="92" spans="1:53" ht="16.5" thickTop="1" thickBot="1" x14ac:dyDescent="0.3">
      <c r="A92" s="88"/>
      <c r="B92" s="29" t="s">
        <v>246</v>
      </c>
      <c r="C92" s="37">
        <v>0</v>
      </c>
      <c r="D92" s="41" t="s">
        <v>247</v>
      </c>
      <c r="E92" s="42">
        <v>757</v>
      </c>
      <c r="F92" s="88"/>
      <c r="G92" s="278"/>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77" t="s">
        <v>251</v>
      </c>
      <c r="H93" s="51" t="s">
        <v>252</v>
      </c>
      <c r="I93" s="112">
        <f>E92</f>
        <v>757</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QUAD</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488</v>
      </c>
      <c r="G99" s="68" t="s">
        <v>277</v>
      </c>
      <c r="H99" s="69">
        <f>IF(I99=0,0,I99-(E99-1))</f>
        <v>801</v>
      </c>
      <c r="I99" s="70">
        <f>IF(E99=0,0,I94)</f>
        <v>804</v>
      </c>
      <c r="J99" s="71" t="s">
        <v>278</v>
      </c>
      <c r="K99" s="32"/>
      <c r="L99" s="233"/>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4</v>
      </c>
      <c r="F101" s="32" t="s">
        <v>488</v>
      </c>
      <c r="G101" s="75" t="s">
        <v>277</v>
      </c>
      <c r="H101" s="69">
        <f t="shared" si="43"/>
        <v>793</v>
      </c>
      <c r="I101" s="70">
        <f t="shared" si="44"/>
        <v>796</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494</v>
      </c>
      <c r="D102" s="102"/>
      <c r="E102" s="32">
        <v>12</v>
      </c>
      <c r="F102" s="32"/>
      <c r="G102" s="68" t="s">
        <v>277</v>
      </c>
      <c r="H102" s="69">
        <f t="shared" si="43"/>
        <v>781</v>
      </c>
      <c r="I102" s="70">
        <f t="shared" si="44"/>
        <v>792</v>
      </c>
      <c r="J102" s="73" t="str">
        <f t="shared" si="45"/>
        <v>--</v>
      </c>
      <c r="K102" s="32"/>
      <c r="L102" s="233"/>
      <c r="M102" s="295" t="s">
        <v>406</v>
      </c>
      <c r="N102" s="295"/>
      <c r="O102" s="295"/>
      <c r="P102" s="295"/>
      <c r="Q102" s="295"/>
      <c r="R102" s="295"/>
      <c r="S102" s="295"/>
      <c r="T102" s="295"/>
      <c r="U102" s="296"/>
      <c r="V102" s="103"/>
      <c r="W102" s="72"/>
      <c r="X102" s="72"/>
      <c r="Y102" s="72"/>
      <c r="Z102" s="45">
        <v>12</v>
      </c>
      <c r="AA102" s="76">
        <v>133</v>
      </c>
      <c r="AB102" s="76">
        <v>144</v>
      </c>
      <c r="AC102" s="72">
        <f t="shared" si="34"/>
        <v>1</v>
      </c>
      <c r="AD102" s="72">
        <f t="shared" si="35"/>
        <v>1</v>
      </c>
      <c r="AE102" s="109" t="str">
        <f t="shared" si="36"/>
        <v>781-792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1</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769</v>
      </c>
      <c r="I103" s="70">
        <f t="shared" si="44"/>
        <v>780</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757</v>
      </c>
      <c r="I104" s="70">
        <f t="shared" si="44"/>
        <v>768</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757-768</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781</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780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781</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781</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792</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752</v>
      </c>
      <c r="E140" s="32">
        <v>4</v>
      </c>
      <c r="F140" s="32" t="s">
        <v>483</v>
      </c>
      <c r="G140" s="68" t="s">
        <v>277</v>
      </c>
      <c r="H140" s="69">
        <f>IF(I140=0,0,I140-(E140-1))</f>
        <v>789</v>
      </c>
      <c r="I140" s="70">
        <f>IF(E140=0,0,I135)</f>
        <v>792</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789-792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753</v>
      </c>
      <c r="E141" s="32">
        <v>8</v>
      </c>
      <c r="F141" s="32" t="s">
        <v>483</v>
      </c>
      <c r="G141" s="68" t="s">
        <v>277</v>
      </c>
      <c r="H141" s="69">
        <f t="shared" ref="H141:H164" si="60">IF(E141=0,0,I141-(E141-1))</f>
        <v>781</v>
      </c>
      <c r="I141" s="70">
        <f t="shared" ref="I141:I164" si="61">IF(E141=0,0,H140-1)</f>
        <v>788</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781-788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0</v>
      </c>
      <c r="J171" s="301" t="s">
        <v>231</v>
      </c>
      <c r="K171" s="302"/>
      <c r="L171" s="34">
        <f>I175</f>
        <v>757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1978</v>
      </c>
      <c r="M173" s="196">
        <v>8</v>
      </c>
      <c r="N173" s="35">
        <f>SUM(AI173,AI184)</f>
        <v>0</v>
      </c>
      <c r="O173" s="35">
        <v>0</v>
      </c>
      <c r="P173" s="35">
        <f>SUM(AJ173,AJ184)</f>
        <v>0</v>
      </c>
      <c r="Q173" s="35">
        <v>0</v>
      </c>
      <c r="R173" s="35">
        <f>COUNTIFS($E181:$E205,"8",$F181:$F205,"Pole",$C181:$C205,"FST")</f>
        <v>0</v>
      </c>
      <c r="S173" s="35">
        <f>SUM(AL173,AK184)</f>
        <v>0</v>
      </c>
      <c r="T173" s="35">
        <v>0</v>
      </c>
      <c r="U173" s="35">
        <f>SUM(AK173,AL184)</f>
        <v>3</v>
      </c>
      <c r="V173" s="35">
        <v>0</v>
      </c>
      <c r="W173" s="34">
        <f>COUNTIFS($E181:$E205,"8",$F181:$F205,"HH",$C181:$C205,"FST")</f>
        <v>3</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3</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757</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757</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780</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749</v>
      </c>
      <c r="E181" s="32">
        <v>8</v>
      </c>
      <c r="F181" s="32" t="s">
        <v>488</v>
      </c>
      <c r="G181" s="68" t="s">
        <v>277</v>
      </c>
      <c r="H181" s="69">
        <f>IF(I181=0,0,I181-(E181-1))</f>
        <v>773</v>
      </c>
      <c r="I181" s="70">
        <f>IF(E181=0,0,I176)</f>
        <v>780</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773-780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750</v>
      </c>
      <c r="E182" s="32">
        <v>8</v>
      </c>
      <c r="F182" s="32" t="s">
        <v>488</v>
      </c>
      <c r="G182" s="68" t="s">
        <v>277</v>
      </c>
      <c r="H182" s="69">
        <f t="shared" ref="H182:H205" si="77">IF(E182=0,0,I182-(E182-1))</f>
        <v>765</v>
      </c>
      <c r="I182" s="70">
        <f t="shared" ref="I182:I205" si="78">IF(E182=0,0,H181-1)</f>
        <v>772</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765-772</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751</v>
      </c>
      <c r="E183" s="32">
        <v>8</v>
      </c>
      <c r="F183" s="32" t="s">
        <v>488</v>
      </c>
      <c r="G183" s="75" t="s">
        <v>277</v>
      </c>
      <c r="H183" s="69">
        <f t="shared" si="77"/>
        <v>757</v>
      </c>
      <c r="I183" s="70">
        <f t="shared" si="78"/>
        <v>764</v>
      </c>
      <c r="J183" s="73" t="str">
        <f t="shared" ref="J183:J205" si="79">IF(C183="","--",IF(AND(C183&lt;&gt;"FST",C183&lt;&gt;"TCF",BA182&lt;&gt;0),BA182,"--"))</f>
        <v>--</v>
      </c>
      <c r="K183" s="32">
        <v>1000</v>
      </c>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757-764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396</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36</v>
      </c>
      <c r="J212" s="301" t="s">
        <v>231</v>
      </c>
      <c r="K212" s="302"/>
      <c r="L212" s="34">
        <f>I216</f>
        <v>361</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309" t="s">
        <v>237</v>
      </c>
      <c r="H213" s="310"/>
      <c r="I213" s="35">
        <f>IF(E213=0,0,12-(MOD(I211,12)))</f>
        <v>12</v>
      </c>
      <c r="J213" s="301" t="s">
        <v>238</v>
      </c>
      <c r="K213" s="302"/>
      <c r="L213" s="39">
        <f>I217-I211</f>
        <v>360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36</v>
      </c>
      <c r="F214" s="88"/>
      <c r="G214" s="277" t="s">
        <v>242</v>
      </c>
      <c r="H214" s="43" t="s">
        <v>243</v>
      </c>
      <c r="I214" s="35">
        <f>IF(E214&lt;&gt;0,1,0)</f>
        <v>1</v>
      </c>
      <c r="J214" s="309" t="s">
        <v>244</v>
      </c>
      <c r="K214" s="310"/>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361</v>
      </c>
      <c r="F215" s="88"/>
      <c r="G215" s="278"/>
      <c r="H215" s="47" t="s">
        <v>248</v>
      </c>
      <c r="I215" s="35">
        <f>IF(E214&lt;&gt;0,E214,0)</f>
        <v>36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277" t="s">
        <v>251</v>
      </c>
      <c r="H216" s="51" t="s">
        <v>252</v>
      </c>
      <c r="I216" s="112">
        <f>E215</f>
        <v>361</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756</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396</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95" t="s">
        <v>409</v>
      </c>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613-756</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12</v>
      </c>
      <c r="F223" s="32"/>
      <c r="G223" s="68" t="s">
        <v>277</v>
      </c>
      <c r="H223" s="69">
        <f t="shared" ref="H223:H246" si="94">IF(E223=0,0,I223-(E223-1))</f>
        <v>601</v>
      </c>
      <c r="I223" s="70">
        <f t="shared" ref="I223:I246" si="95">IF(E223=0,0,H222-1)</f>
        <v>612</v>
      </c>
      <c r="J223" s="73" t="str">
        <f>IF(C223="","--",IF(AND(C223&lt;&gt;"FST",C223&lt;&gt;"TCF",BA222&lt;&gt;0),BA222,"--"))</f>
        <v>--</v>
      </c>
      <c r="K223" s="32"/>
      <c r="L223" s="233"/>
      <c r="M223" s="295" t="s">
        <v>409</v>
      </c>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601-612</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502</v>
      </c>
      <c r="D224" s="102"/>
      <c r="E224" s="32">
        <v>216</v>
      </c>
      <c r="F224" s="32"/>
      <c r="G224" s="75" t="s">
        <v>277</v>
      </c>
      <c r="H224" s="69">
        <f t="shared" si="94"/>
        <v>385</v>
      </c>
      <c r="I224" s="70">
        <f t="shared" si="95"/>
        <v>600</v>
      </c>
      <c r="J224" s="73" t="str">
        <f t="shared" ref="J224:J246" si="96">IF(C224="","--",IF(AND(C224&lt;&gt;"FST",C224&lt;&gt;"TCF",BA223&lt;&gt;0),BA223,"--"))</f>
        <v>--</v>
      </c>
      <c r="K224" s="32"/>
      <c r="L224" s="233"/>
      <c r="M224" s="295" t="s">
        <v>410</v>
      </c>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385-600</v>
      </c>
      <c r="AF224" s="109" t="str">
        <f t="shared" si="88"/>
        <v>N</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502</v>
      </c>
      <c r="D225" s="102"/>
      <c r="E225" s="32">
        <v>24</v>
      </c>
      <c r="F225" s="32"/>
      <c r="G225" s="68" t="s">
        <v>277</v>
      </c>
      <c r="H225" s="69">
        <f t="shared" si="94"/>
        <v>361</v>
      </c>
      <c r="I225" s="70">
        <f t="shared" si="95"/>
        <v>384</v>
      </c>
      <c r="J225" s="73" t="str">
        <f t="shared" si="96"/>
        <v>--</v>
      </c>
      <c r="K225" s="32"/>
      <c r="L225" s="233"/>
      <c r="M225" s="295" t="s">
        <v>410</v>
      </c>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361-384</v>
      </c>
      <c r="AF225" s="109" t="str">
        <f t="shared" si="88"/>
        <v>N</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397</v>
      </c>
      <c r="X233" s="84"/>
      <c r="Y233" s="78">
        <f>SUM(E222:E233)</f>
        <v>396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397</v>
      </c>
      <c r="X234" s="84"/>
      <c r="Y234" s="78">
        <f>SUM(E222:E234)</f>
        <v>396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397</v>
      </c>
      <c r="X235" s="84"/>
      <c r="Y235" s="78">
        <f>SUM(E222:E235)</f>
        <v>396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397</v>
      </c>
      <c r="X236" s="84"/>
      <c r="Y236" s="78">
        <f>SUM(E222:E236)</f>
        <v>396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397</v>
      </c>
      <c r="X237" s="84"/>
      <c r="Y237" s="78">
        <f>SUM(E222:E237)</f>
        <v>396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397</v>
      </c>
      <c r="X238" s="84"/>
      <c r="Y238" s="78">
        <f>SUM(E222:E238)</f>
        <v>396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397</v>
      </c>
      <c r="X239" s="84"/>
      <c r="Y239" s="78">
        <f>SUM(E222:E239)</f>
        <v>396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397</v>
      </c>
      <c r="X240" s="84"/>
      <c r="Y240" s="78">
        <f>SUM(E222:E240)</f>
        <v>396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397</v>
      </c>
      <c r="X241" s="84"/>
      <c r="Y241" s="78">
        <f>SUM(E222:E241)</f>
        <v>396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397</v>
      </c>
      <c r="X242" s="84"/>
      <c r="Y242" s="78">
        <f>SUM(E222:E242)</f>
        <v>396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397</v>
      </c>
      <c r="X243" s="84"/>
      <c r="Y243" s="78">
        <f>SUM(E222:E243)</f>
        <v>396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397</v>
      </c>
      <c r="X244" s="84"/>
      <c r="Y244" s="78">
        <f>SUM(E222:E244)</f>
        <v>396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397</v>
      </c>
      <c r="X245" s="84"/>
      <c r="Y245" s="78">
        <f>SUM(E222:E245)</f>
        <v>396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396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156</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60</v>
      </c>
      <c r="J253" s="301" t="s">
        <v>231</v>
      </c>
      <c r="K253" s="302"/>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309" t="s">
        <v>237</v>
      </c>
      <c r="H254" s="310"/>
      <c r="I254" s="35">
        <f>IF(E254=0,0,12-(MOD(I252,12)))</f>
        <v>12</v>
      </c>
      <c r="J254" s="301" t="s">
        <v>238</v>
      </c>
      <c r="K254" s="302"/>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277" t="s">
        <v>242</v>
      </c>
      <c r="H255" s="43" t="s">
        <v>243</v>
      </c>
      <c r="I255" s="35">
        <f>IF(E255&lt;&gt;0,1,0)</f>
        <v>1</v>
      </c>
      <c r="J255" s="309" t="s">
        <v>244</v>
      </c>
      <c r="K255" s="310"/>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278"/>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277" t="s">
        <v>251</v>
      </c>
      <c r="H257" s="51" t="s">
        <v>252</v>
      </c>
      <c r="I257" s="112">
        <f>E256</f>
        <v>601</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756</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95" t="s">
        <v>411</v>
      </c>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745-756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1</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754</v>
      </c>
      <c r="E264" s="32">
        <v>6</v>
      </c>
      <c r="F264" s="32" t="s">
        <v>483</v>
      </c>
      <c r="G264" s="68" t="s">
        <v>277</v>
      </c>
      <c r="H264" s="69">
        <f t="shared" ref="H264:H287" si="111">IF(E264=0,0,I264-(E264-1))</f>
        <v>739</v>
      </c>
      <c r="I264" s="70">
        <f t="shared" ref="I264:I287" si="112">IF(E264=0,0,H263-1)</f>
        <v>744</v>
      </c>
      <c r="J264" s="73" t="str">
        <f>IF(C264="","--",IF(AND(C264&lt;&gt;"FST",C264&lt;&gt;"TCF",BA263&lt;&gt;0),BA263,"--"))</f>
        <v>--</v>
      </c>
      <c r="K264" s="32"/>
      <c r="L264" s="233"/>
      <c r="M264" s="295" t="s">
        <v>735</v>
      </c>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739-744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6</v>
      </c>
    </row>
    <row r="265" spans="1:53" ht="15.75" thickBot="1" x14ac:dyDescent="0.3">
      <c r="A265" s="88"/>
      <c r="B265" s="74" t="s">
        <v>280</v>
      </c>
      <c r="C265" s="67" t="s">
        <v>484</v>
      </c>
      <c r="D265" s="102" t="s">
        <v>755</v>
      </c>
      <c r="E265" s="32">
        <v>4</v>
      </c>
      <c r="F265" s="32" t="s">
        <v>483</v>
      </c>
      <c r="G265" s="75" t="s">
        <v>277</v>
      </c>
      <c r="H265" s="69">
        <f t="shared" si="111"/>
        <v>735</v>
      </c>
      <c r="I265" s="70">
        <f t="shared" si="112"/>
        <v>738</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0</v>
      </c>
      <c r="AE265" s="109" t="str">
        <f t="shared" si="104"/>
        <v>735-738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756</v>
      </c>
      <c r="E266" s="32">
        <v>6</v>
      </c>
      <c r="F266" s="32" t="s">
        <v>483</v>
      </c>
      <c r="G266" s="68" t="s">
        <v>277</v>
      </c>
      <c r="H266" s="69">
        <f t="shared" si="111"/>
        <v>729</v>
      </c>
      <c r="I266" s="70">
        <f t="shared" si="112"/>
        <v>734</v>
      </c>
      <c r="J266" s="73" t="str">
        <f t="shared" si="113"/>
        <v>--</v>
      </c>
      <c r="K266" s="32"/>
      <c r="L266" s="233"/>
      <c r="M266" s="295" t="s">
        <v>735</v>
      </c>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0</v>
      </c>
      <c r="AE266" s="109" t="str">
        <f t="shared" si="104"/>
        <v>729-734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757</v>
      </c>
      <c r="E267" s="32">
        <v>8</v>
      </c>
      <c r="F267" s="32" t="s">
        <v>483</v>
      </c>
      <c r="G267" s="68" t="s">
        <v>277</v>
      </c>
      <c r="H267" s="69">
        <f t="shared" si="111"/>
        <v>721</v>
      </c>
      <c r="I267" s="70">
        <f t="shared" si="112"/>
        <v>728</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721-728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502</v>
      </c>
      <c r="D268" s="102"/>
      <c r="E268" s="32">
        <v>120</v>
      </c>
      <c r="F268" s="32"/>
      <c r="G268" s="68" t="s">
        <v>277</v>
      </c>
      <c r="H268" s="69">
        <f t="shared" si="111"/>
        <v>601</v>
      </c>
      <c r="I268" s="70">
        <f t="shared" si="112"/>
        <v>720</v>
      </c>
      <c r="J268" s="73" t="str">
        <f t="shared" si="113"/>
        <v>--</v>
      </c>
      <c r="K268" s="32"/>
      <c r="L268" s="233"/>
      <c r="M268" s="295" t="s">
        <v>412</v>
      </c>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601-720</v>
      </c>
      <c r="AF268" s="109" t="str">
        <f t="shared" si="105"/>
        <v>N</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157</v>
      </c>
      <c r="X274" s="84"/>
      <c r="Y274" s="78">
        <f>SUM(E263:E274)</f>
        <v>156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157</v>
      </c>
      <c r="X275" s="84"/>
      <c r="Y275" s="78">
        <f>SUM(E263:E275)</f>
        <v>156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157</v>
      </c>
      <c r="X276" s="84"/>
      <c r="Y276" s="78">
        <f>SUM(E263:E276)</f>
        <v>156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157</v>
      </c>
      <c r="X277" s="84"/>
      <c r="Y277" s="78">
        <f>SUM(E263:E277)</f>
        <v>156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157</v>
      </c>
      <c r="X278" s="84"/>
      <c r="Y278" s="78">
        <f>SUM(E263:E278)</f>
        <v>156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157</v>
      </c>
      <c r="X279" s="84"/>
      <c r="Y279" s="78">
        <f>SUM(E263:E279)</f>
        <v>156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157</v>
      </c>
      <c r="X280" s="84"/>
      <c r="Y280" s="78">
        <f>SUM(E263:E280)</f>
        <v>156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157</v>
      </c>
      <c r="X281" s="84"/>
      <c r="Y281" s="78">
        <f>SUM(E263:E281)</f>
        <v>156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157</v>
      </c>
      <c r="X282" s="84"/>
      <c r="Y282" s="78">
        <f>SUM(E263:E282)</f>
        <v>156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157</v>
      </c>
      <c r="X283" s="84"/>
      <c r="Y283" s="78">
        <f>SUM(E263:E283)</f>
        <v>156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157</v>
      </c>
      <c r="X284" s="84"/>
      <c r="Y284" s="78">
        <f>SUM(E263:E284)</f>
        <v>156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157</v>
      </c>
      <c r="X285" s="84"/>
      <c r="Y285" s="78">
        <f>SUM(E263:E285)</f>
        <v>156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157</v>
      </c>
      <c r="X286" s="84"/>
      <c r="Y286" s="78">
        <f>SUM(E263:E286)</f>
        <v>156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156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24</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408</v>
      </c>
      <c r="J294" s="301" t="s">
        <v>231</v>
      </c>
      <c r="K294" s="302"/>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309" t="s">
        <v>237</v>
      </c>
      <c r="H295" s="310"/>
      <c r="I295" s="35">
        <f>IF(E295=0,0,12-(MOD(I293,12)))</f>
        <v>12</v>
      </c>
      <c r="J295" s="301" t="s">
        <v>238</v>
      </c>
      <c r="K295" s="302"/>
      <c r="L295" s="39">
        <f>I299-I293</f>
        <v>576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277" t="s">
        <v>242</v>
      </c>
      <c r="H296" s="43" t="s">
        <v>243</v>
      </c>
      <c r="I296" s="35">
        <f>IF(E296&lt;&gt;0,1,0)</f>
        <v>1</v>
      </c>
      <c r="J296" s="309" t="s">
        <v>244</v>
      </c>
      <c r="K296" s="310"/>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278"/>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277" t="s">
        <v>251</v>
      </c>
      <c r="H298" s="51" t="s">
        <v>252</v>
      </c>
      <c r="I298" s="112">
        <f>E297</f>
        <v>577</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278"/>
      <c r="H299" s="47" t="s">
        <v>257</v>
      </c>
      <c r="I299" s="35">
        <f>IF(E297="","0",IF(AND(E294="EUC",E295=432), I298+(203-E296),IF(E297=0,0,(E297+(E295-E296)-1))))</f>
        <v>600</v>
      </c>
      <c r="J299" s="292" t="str">
        <f>IFERROR(IF(OR(E294="EUC",E294="SS"),"---",IF(OR(P293,S293),"NO 2F Tethers for RPX!",IF(OR(P295,S295),"NO 6F Tethers for RPX!","---"))),"---")</f>
        <v>---</v>
      </c>
      <c r="K299" s="293"/>
      <c r="L299" s="294"/>
      <c r="M299" s="292" t="str">
        <f>IF(E296&gt;60,"Dead Count &gt;60: Consider Downsize","---")</f>
        <v>Dead Count &gt;60: Consider Downsize</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759</v>
      </c>
      <c r="E304" s="32">
        <v>8</v>
      </c>
      <c r="F304" s="32" t="s">
        <v>488</v>
      </c>
      <c r="G304" s="68" t="s">
        <v>277</v>
      </c>
      <c r="H304" s="69">
        <f>IF(I304=0,0,I304-(E304-1))</f>
        <v>593</v>
      </c>
      <c r="I304" s="70">
        <f>IF(E304=0,0,I299)</f>
        <v>600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593-600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758</v>
      </c>
      <c r="E305" s="32">
        <v>4</v>
      </c>
      <c r="F305" s="32" t="s">
        <v>488</v>
      </c>
      <c r="G305" s="68" t="s">
        <v>277</v>
      </c>
      <c r="H305" s="69">
        <f t="shared" ref="H305:H328" si="128">IF(E305=0,0,I305-(E305-1))</f>
        <v>589</v>
      </c>
      <c r="I305" s="70">
        <f t="shared" ref="I305:I328" si="129">IF(E305=0,0,H304-1)</f>
        <v>592</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589-592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502</v>
      </c>
      <c r="D306" s="102"/>
      <c r="E306" s="32">
        <v>12</v>
      </c>
      <c r="F306" s="32"/>
      <c r="G306" s="75" t="s">
        <v>277</v>
      </c>
      <c r="H306" s="69">
        <f t="shared" si="128"/>
        <v>577</v>
      </c>
      <c r="I306" s="70">
        <f t="shared" si="129"/>
        <v>588</v>
      </c>
      <c r="J306" s="73" t="str">
        <f t="shared" ref="J306:J328" si="130">IF(C306="","--",IF(AND(C306&lt;&gt;"FST",C306&lt;&gt;"TCF",BA305&lt;&gt;0),BA305,"--"))</f>
        <v>--</v>
      </c>
      <c r="K306" s="32"/>
      <c r="L306" s="233"/>
      <c r="M306" s="295" t="s">
        <v>417</v>
      </c>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577-588</v>
      </c>
      <c r="AF306" s="109" t="str">
        <f t="shared" si="122"/>
        <v>N</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t="s">
        <v>828</v>
      </c>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12</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12</v>
      </c>
      <c r="J335" s="301" t="s">
        <v>231</v>
      </c>
      <c r="K335" s="302"/>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7" t="s">
        <v>242</v>
      </c>
      <c r="H337" s="43" t="s">
        <v>243</v>
      </c>
      <c r="I337" s="35">
        <f>IF(E337&lt;&gt;0,1,0)</f>
        <v>1</v>
      </c>
      <c r="J337" s="309" t="s">
        <v>244</v>
      </c>
      <c r="K337" s="310"/>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278"/>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7" t="s">
        <v>251</v>
      </c>
      <c r="H339" s="51" t="s">
        <v>252</v>
      </c>
      <c r="I339" s="112">
        <f>E338</f>
        <v>745</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8"/>
      <c r="H340" s="47" t="s">
        <v>257</v>
      </c>
      <c r="I340" s="35">
        <f>IF(E338="","0",IF(AND(E335="EUC",E336=432), I339+(203-E337),IF(E338=0,0,(E338+(E336-E337)-1))))</f>
        <v>756</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760</v>
      </c>
      <c r="E345" s="32">
        <v>6</v>
      </c>
      <c r="F345" s="32" t="s">
        <v>483</v>
      </c>
      <c r="G345" s="68" t="s">
        <v>277</v>
      </c>
      <c r="H345" s="69">
        <f>IF(I345=0,0,I345-(E345-1))</f>
        <v>751</v>
      </c>
      <c r="I345" s="70">
        <f>IF(E345=0,0,I340)</f>
        <v>756</v>
      </c>
      <c r="J345" s="71" t="s">
        <v>278</v>
      </c>
      <c r="K345" s="32"/>
      <c r="L345" s="233"/>
      <c r="M345" s="295" t="s">
        <v>735</v>
      </c>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751-756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6</v>
      </c>
    </row>
    <row r="346" spans="1:53" ht="15.75" thickBot="1" x14ac:dyDescent="0.3">
      <c r="A346" s="88"/>
      <c r="B346" s="66" t="s">
        <v>279</v>
      </c>
      <c r="C346" s="67" t="s">
        <v>484</v>
      </c>
      <c r="D346" s="102" t="s">
        <v>761</v>
      </c>
      <c r="E346" s="32">
        <v>6</v>
      </c>
      <c r="F346" s="32" t="s">
        <v>483</v>
      </c>
      <c r="G346" s="68" t="s">
        <v>277</v>
      </c>
      <c r="H346" s="69">
        <f t="shared" ref="H346:H369" si="145">IF(E346=0,0,I346-(E346-1))</f>
        <v>745</v>
      </c>
      <c r="I346" s="70">
        <f t="shared" ref="I346:I369" si="146">IF(E346=0,0,H345-1)</f>
        <v>750</v>
      </c>
      <c r="J346" s="73" t="str">
        <f>IF(C346="","--",IF(AND(C346&lt;&gt;"FST",C346&lt;&gt;"TCF",BA345&lt;&gt;0),BA345,"--"))</f>
        <v>--</v>
      </c>
      <c r="K346" s="32"/>
      <c r="L346" s="233"/>
      <c r="M346" s="295" t="s">
        <v>735</v>
      </c>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745-750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120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24</v>
      </c>
      <c r="J376" s="301" t="s">
        <v>231</v>
      </c>
      <c r="K376" s="302"/>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309" t="s">
        <v>237</v>
      </c>
      <c r="H377" s="310"/>
      <c r="I377" s="35">
        <f>IF(E377=0,0,12-(MOD(I375,12)))</f>
        <v>12</v>
      </c>
      <c r="J377" s="301" t="s">
        <v>238</v>
      </c>
      <c r="K377" s="302"/>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277" t="s">
        <v>242</v>
      </c>
      <c r="H378" s="43" t="s">
        <v>243</v>
      </c>
      <c r="I378" s="35">
        <f>IF(E378&lt;&gt;0,1,0)</f>
        <v>1</v>
      </c>
      <c r="J378" s="309" t="s">
        <v>244</v>
      </c>
      <c r="K378" s="310"/>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278"/>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277" t="s">
        <v>251</v>
      </c>
      <c r="H380" s="51" t="s">
        <v>252</v>
      </c>
      <c r="I380" s="112">
        <f>E379</f>
        <v>601</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720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762</v>
      </c>
      <c r="E386" s="32">
        <v>4</v>
      </c>
      <c r="F386" s="32" t="s">
        <v>488</v>
      </c>
      <c r="G386" s="68" t="s">
        <v>277</v>
      </c>
      <c r="H386" s="69">
        <f>IF(I386=0,0,I386-(E386-1))</f>
        <v>717</v>
      </c>
      <c r="I386" s="70">
        <f>IF(E386=0,0,I381)</f>
        <v>720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717-720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763</v>
      </c>
      <c r="E387" s="32">
        <v>4</v>
      </c>
      <c r="F387" s="32" t="s">
        <v>488</v>
      </c>
      <c r="G387" s="68" t="s">
        <v>277</v>
      </c>
      <c r="H387" s="69">
        <f t="shared" ref="H387:H410" si="162">IF(E387=0,0,I387-(E387-1))</f>
        <v>713</v>
      </c>
      <c r="I387" s="70">
        <f t="shared" ref="I387:I410" si="163">IF(E387=0,0,H386-1)</f>
        <v>716</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713-716</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820</v>
      </c>
      <c r="E388" s="32">
        <v>8</v>
      </c>
      <c r="F388" s="32" t="s">
        <v>488</v>
      </c>
      <c r="G388" s="75" t="s">
        <v>277</v>
      </c>
      <c r="H388" s="69">
        <f t="shared" si="162"/>
        <v>705</v>
      </c>
      <c r="I388" s="70">
        <f t="shared" si="163"/>
        <v>712</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705-712</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764</v>
      </c>
      <c r="E389" s="32">
        <v>4</v>
      </c>
      <c r="F389" s="32" t="s">
        <v>488</v>
      </c>
      <c r="G389" s="68" t="s">
        <v>277</v>
      </c>
      <c r="H389" s="69">
        <f t="shared" si="162"/>
        <v>701</v>
      </c>
      <c r="I389" s="70">
        <f t="shared" si="163"/>
        <v>704</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701-704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t="s">
        <v>484</v>
      </c>
      <c r="D390" s="102" t="s">
        <v>765</v>
      </c>
      <c r="E390" s="32">
        <v>8</v>
      </c>
      <c r="F390" s="32" t="s">
        <v>488</v>
      </c>
      <c r="G390" s="68" t="s">
        <v>277</v>
      </c>
      <c r="H390" s="69">
        <f t="shared" si="162"/>
        <v>693</v>
      </c>
      <c r="I390" s="70">
        <f t="shared" si="163"/>
        <v>700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693-700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8</v>
      </c>
    </row>
    <row r="391" spans="1:53" ht="15.75" thickBot="1" x14ac:dyDescent="0.3">
      <c r="A391" s="88"/>
      <c r="B391" s="66" t="s">
        <v>283</v>
      </c>
      <c r="C391" s="67" t="s">
        <v>484</v>
      </c>
      <c r="D391" s="102" t="s">
        <v>815</v>
      </c>
      <c r="E391" s="32">
        <v>4</v>
      </c>
      <c r="F391" s="32" t="s">
        <v>488</v>
      </c>
      <c r="G391" s="68" t="s">
        <v>277</v>
      </c>
      <c r="H391" s="69">
        <f t="shared" si="162"/>
        <v>689</v>
      </c>
      <c r="I391" s="70">
        <f t="shared" si="163"/>
        <v>692</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0</v>
      </c>
      <c r="AE391" s="109" t="str">
        <f t="shared" si="155"/>
        <v>689-692</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t="s">
        <v>484</v>
      </c>
      <c r="D392" s="102" t="s">
        <v>816</v>
      </c>
      <c r="E392" s="32">
        <v>4</v>
      </c>
      <c r="F392" s="32" t="s">
        <v>488</v>
      </c>
      <c r="G392" s="68" t="s">
        <v>277</v>
      </c>
      <c r="H392" s="69">
        <f t="shared" si="162"/>
        <v>685</v>
      </c>
      <c r="I392" s="70">
        <f t="shared" si="163"/>
        <v>688</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0</v>
      </c>
      <c r="AE392" s="109" t="str">
        <f t="shared" si="155"/>
        <v>685-688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819</v>
      </c>
      <c r="E393" s="32">
        <v>4</v>
      </c>
      <c r="F393" s="32" t="s">
        <v>488</v>
      </c>
      <c r="G393" s="68" t="s">
        <v>277</v>
      </c>
      <c r="H393" s="69">
        <f t="shared" si="162"/>
        <v>681</v>
      </c>
      <c r="I393" s="70">
        <f t="shared" si="163"/>
        <v>684</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0</v>
      </c>
      <c r="AE393" s="109" t="str">
        <f t="shared" si="155"/>
        <v>681-684</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t="s">
        <v>484</v>
      </c>
      <c r="D394" s="102" t="s">
        <v>818</v>
      </c>
      <c r="E394" s="32">
        <v>8</v>
      </c>
      <c r="F394" s="32" t="s">
        <v>488</v>
      </c>
      <c r="G394" s="68" t="s">
        <v>277</v>
      </c>
      <c r="H394" s="69">
        <f t="shared" si="162"/>
        <v>673</v>
      </c>
      <c r="I394" s="70">
        <f t="shared" si="163"/>
        <v>680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0</v>
      </c>
      <c r="AE394" s="109" t="str">
        <f t="shared" si="155"/>
        <v>673-680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t="s">
        <v>502</v>
      </c>
      <c r="D395" s="102"/>
      <c r="E395" s="32">
        <v>12</v>
      </c>
      <c r="F395" s="32"/>
      <c r="G395" s="68" t="s">
        <v>277</v>
      </c>
      <c r="H395" s="69">
        <f t="shared" si="162"/>
        <v>661</v>
      </c>
      <c r="I395" s="70">
        <f t="shared" si="163"/>
        <v>672</v>
      </c>
      <c r="J395" s="73" t="str">
        <f t="shared" si="164"/>
        <v>--</v>
      </c>
      <c r="K395" s="32"/>
      <c r="L395" s="233"/>
      <c r="M395" s="295" t="s">
        <v>413</v>
      </c>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661-672</v>
      </c>
      <c r="AF395" s="109" t="str">
        <f t="shared" si="156"/>
        <v>N</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502</v>
      </c>
      <c r="D396" s="102"/>
      <c r="E396" s="32">
        <v>60</v>
      </c>
      <c r="F396" s="32"/>
      <c r="G396" s="68" t="s">
        <v>277</v>
      </c>
      <c r="H396" s="69">
        <f t="shared" si="162"/>
        <v>601</v>
      </c>
      <c r="I396" s="70">
        <f t="shared" si="163"/>
        <v>660</v>
      </c>
      <c r="J396" s="73" t="str">
        <f t="shared" si="164"/>
        <v>--</v>
      </c>
      <c r="K396" s="32"/>
      <c r="L396" s="233"/>
      <c r="M396" s="295" t="s">
        <v>414</v>
      </c>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601-660</v>
      </c>
      <c r="AF396" s="109" t="str">
        <f t="shared" si="156"/>
        <v>N</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121</v>
      </c>
      <c r="X397" s="84"/>
      <c r="Y397" s="78">
        <f>SUM(E386:E397)</f>
        <v>120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121</v>
      </c>
      <c r="X398" s="84"/>
      <c r="Y398" s="78">
        <f>SUM(E386:E398)</f>
        <v>120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121</v>
      </c>
      <c r="X399" s="84"/>
      <c r="Y399" s="78">
        <f>SUM(E386:E399)</f>
        <v>120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121</v>
      </c>
      <c r="X400" s="84"/>
      <c r="Y400" s="78">
        <f>SUM(E386:E400)</f>
        <v>120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121</v>
      </c>
      <c r="X401" s="84"/>
      <c r="Y401" s="78">
        <f>SUM(E386:E401)</f>
        <v>120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121</v>
      </c>
      <c r="X402" s="84"/>
      <c r="Y402" s="78">
        <f>SUM(E386:E402)</f>
        <v>120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121</v>
      </c>
      <c r="X403" s="84"/>
      <c r="Y403" s="78">
        <f>SUM(E386:E403)</f>
        <v>120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121</v>
      </c>
      <c r="X404" s="84"/>
      <c r="Y404" s="78">
        <f>SUM(E386:E404)</f>
        <v>120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121</v>
      </c>
      <c r="X405" s="84"/>
      <c r="Y405" s="78">
        <f>SUM(E386:E405)</f>
        <v>120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121</v>
      </c>
      <c r="X406" s="84"/>
      <c r="Y406" s="78">
        <f>SUM(E386:E406)</f>
        <v>120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121</v>
      </c>
      <c r="X407" s="84"/>
      <c r="Y407" s="78">
        <f>SUM(E386:E407)</f>
        <v>120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121</v>
      </c>
      <c r="X408" s="84"/>
      <c r="Y408" s="78">
        <f>SUM(E386:E408)</f>
        <v>120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121</v>
      </c>
      <c r="X409" s="84"/>
      <c r="Y409" s="78">
        <f>SUM(E386:E409)</f>
        <v>120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120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12</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0" t="s">
        <v>230</v>
      </c>
      <c r="H417" s="287"/>
      <c r="I417" s="33">
        <f>E418-I416</f>
        <v>12</v>
      </c>
      <c r="J417" s="301" t="s">
        <v>231</v>
      </c>
      <c r="K417" s="302"/>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09" t="s">
        <v>237</v>
      </c>
      <c r="H418" s="310"/>
      <c r="I418" s="35">
        <f>IF(E418=0,0,12-(MOD(I416,12)))</f>
        <v>12</v>
      </c>
      <c r="J418" s="301" t="s">
        <v>238</v>
      </c>
      <c r="K418" s="302"/>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277" t="s">
        <v>242</v>
      </c>
      <c r="H419" s="43" t="s">
        <v>243</v>
      </c>
      <c r="I419" s="35">
        <f>IF(E419&lt;&gt;0,1,0)</f>
        <v>1</v>
      </c>
      <c r="J419" s="309" t="s">
        <v>244</v>
      </c>
      <c r="K419" s="310"/>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278"/>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77" t="s">
        <v>251</v>
      </c>
      <c r="H421" s="51" t="s">
        <v>252</v>
      </c>
      <c r="I421" s="112">
        <f>E420</f>
        <v>661</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8"/>
      <c r="H422" s="47" t="s">
        <v>257</v>
      </c>
      <c r="I422" s="35">
        <f>IF(E420="","0",IF(AND(E417="EUC",E418=432), I421+(203-E419),IF(E420=0,0,(E420+(E418-E419)-1))))</f>
        <v>672</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766</v>
      </c>
      <c r="E427" s="32">
        <v>4</v>
      </c>
      <c r="F427" s="32" t="s">
        <v>488</v>
      </c>
      <c r="G427" s="68" t="s">
        <v>277</v>
      </c>
      <c r="H427" s="69">
        <f>IF(I427=0,0,I427-(E427-1))</f>
        <v>669</v>
      </c>
      <c r="I427" s="70">
        <f>IF(E427=0,0,I422)</f>
        <v>672</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669-672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817</v>
      </c>
      <c r="E428" s="32">
        <v>4</v>
      </c>
      <c r="F428" s="32" t="s">
        <v>488</v>
      </c>
      <c r="G428" s="68" t="s">
        <v>277</v>
      </c>
      <c r="H428" s="69">
        <f t="shared" ref="H428:H451" si="179">IF(E428=0,0,I428-(E428-1))</f>
        <v>665</v>
      </c>
      <c r="I428" s="70">
        <f t="shared" ref="I428:I451" si="180">IF(E428=0,0,H427-1)</f>
        <v>668</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0</v>
      </c>
      <c r="AE428" s="109" t="str">
        <f t="shared" si="172"/>
        <v>665-668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767</v>
      </c>
      <c r="E429" s="32">
        <v>4</v>
      </c>
      <c r="F429" s="32" t="s">
        <v>488</v>
      </c>
      <c r="G429" s="75" t="s">
        <v>277</v>
      </c>
      <c r="H429" s="69">
        <f t="shared" si="179"/>
        <v>661</v>
      </c>
      <c r="I429" s="70">
        <f t="shared" si="180"/>
        <v>664</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0</v>
      </c>
      <c r="AE429" s="109" t="str">
        <f t="shared" si="172"/>
        <v>661-664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60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12</v>
      </c>
      <c r="J458" s="301" t="s">
        <v>231</v>
      </c>
      <c r="K458" s="302"/>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309" t="s">
        <v>237</v>
      </c>
      <c r="H459" s="310"/>
      <c r="I459" s="35">
        <f>IF(E459=0,0,12-(MOD(I457,12)))</f>
        <v>12</v>
      </c>
      <c r="J459" s="301" t="s">
        <v>238</v>
      </c>
      <c r="K459" s="302"/>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7" t="s">
        <v>242</v>
      </c>
      <c r="H460" s="43" t="s">
        <v>243</v>
      </c>
      <c r="I460" s="35">
        <f>IF(E460&lt;&gt;0,1,0)</f>
        <v>1</v>
      </c>
      <c r="J460" s="309" t="s">
        <v>244</v>
      </c>
      <c r="K460" s="310"/>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278"/>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277" t="s">
        <v>251</v>
      </c>
      <c r="H462" s="51" t="s">
        <v>252</v>
      </c>
      <c r="I462" s="112">
        <f>E461</f>
        <v>601</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660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768</v>
      </c>
      <c r="E468" s="32">
        <v>8</v>
      </c>
      <c r="F468" s="32" t="s">
        <v>488</v>
      </c>
      <c r="G468" s="68" t="s">
        <v>277</v>
      </c>
      <c r="H468" s="69">
        <f>IF(I468=0,0,I468-(E468-1))</f>
        <v>653</v>
      </c>
      <c r="I468" s="70">
        <f>IF(E468=0,0,I463)</f>
        <v>660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653-660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769</v>
      </c>
      <c r="E469" s="32">
        <v>4</v>
      </c>
      <c r="F469" s="32" t="s">
        <v>488</v>
      </c>
      <c r="G469" s="68" t="s">
        <v>277</v>
      </c>
      <c r="H469" s="69">
        <f t="shared" ref="H469:H492" si="196">IF(E469=0,0,I469-(E469-1))</f>
        <v>649</v>
      </c>
      <c r="I469" s="70">
        <f t="shared" ref="I469:I492" si="197">IF(E469=0,0,H468-1)</f>
        <v>652</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649-652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12</v>
      </c>
      <c r="F470" s="32"/>
      <c r="G470" s="75" t="s">
        <v>277</v>
      </c>
      <c r="H470" s="69">
        <f t="shared" si="196"/>
        <v>637</v>
      </c>
      <c r="I470" s="70">
        <f t="shared" si="197"/>
        <v>648</v>
      </c>
      <c r="J470" s="73" t="str">
        <f t="shared" ref="J470:J492" si="198">IF(C470="","--",IF(AND(C470&lt;&gt;"FST",C470&lt;&gt;"TCF",BA469&lt;&gt;0),BA469,"--"))</f>
        <v>--</v>
      </c>
      <c r="K470" s="32"/>
      <c r="L470" s="233"/>
      <c r="M470" s="295" t="s">
        <v>415</v>
      </c>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637-648</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36</v>
      </c>
      <c r="F471" s="32"/>
      <c r="G471" s="68" t="s">
        <v>277</v>
      </c>
      <c r="H471" s="69">
        <f t="shared" si="196"/>
        <v>601</v>
      </c>
      <c r="I471" s="70">
        <f t="shared" si="197"/>
        <v>636</v>
      </c>
      <c r="J471" s="73" t="str">
        <f t="shared" si="198"/>
        <v>--</v>
      </c>
      <c r="K471" s="32"/>
      <c r="L471" s="233"/>
      <c r="M471" s="295" t="s">
        <v>416</v>
      </c>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601-636</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12</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0" t="s">
        <v>230</v>
      </c>
      <c r="H499" s="287"/>
      <c r="I499" s="33">
        <f>E500-I498</f>
        <v>12</v>
      </c>
      <c r="J499" s="301" t="s">
        <v>231</v>
      </c>
      <c r="K499" s="302"/>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09" t="s">
        <v>237</v>
      </c>
      <c r="H500" s="310"/>
      <c r="I500" s="35">
        <f>IF(E500=0,0,12-(MOD(I498,12)))</f>
        <v>12</v>
      </c>
      <c r="J500" s="301" t="s">
        <v>238</v>
      </c>
      <c r="K500" s="302"/>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77" t="s">
        <v>242</v>
      </c>
      <c r="H501" s="43" t="s">
        <v>243</v>
      </c>
      <c r="I501" s="35">
        <f>IF(E501&lt;&gt;0,1,0)</f>
        <v>1</v>
      </c>
      <c r="J501" s="309" t="s">
        <v>244</v>
      </c>
      <c r="K501" s="310"/>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278"/>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7" t="s">
        <v>251</v>
      </c>
      <c r="H503" s="51" t="s">
        <v>252</v>
      </c>
      <c r="I503" s="112">
        <f>E502</f>
        <v>637</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648</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770</v>
      </c>
      <c r="E509" s="32">
        <v>2</v>
      </c>
      <c r="F509" s="32" t="s">
        <v>488</v>
      </c>
      <c r="G509" s="68" t="s">
        <v>277</v>
      </c>
      <c r="H509" s="69">
        <f>IF(I509=0,0,I509-(E509-1))</f>
        <v>647</v>
      </c>
      <c r="I509" s="70">
        <f>IF(E509=0,0,I504)</f>
        <v>648</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647-648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2</v>
      </c>
    </row>
    <row r="510" spans="1:53" ht="15.75" thickBot="1" x14ac:dyDescent="0.3">
      <c r="A510" s="88"/>
      <c r="B510" s="66" t="s">
        <v>279</v>
      </c>
      <c r="C510" s="67" t="s">
        <v>484</v>
      </c>
      <c r="D510" s="102" t="s">
        <v>830</v>
      </c>
      <c r="E510" s="32">
        <v>2</v>
      </c>
      <c r="F510" s="32" t="s">
        <v>488</v>
      </c>
      <c r="G510" s="68" t="s">
        <v>277</v>
      </c>
      <c r="H510" s="69">
        <f t="shared" ref="H510:H533" si="213">IF(E510=0,0,I510-(E510-1))</f>
        <v>645</v>
      </c>
      <c r="I510" s="70">
        <f t="shared" ref="I510:I533" si="214">IF(E510=0,0,H509-1)</f>
        <v>646</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0</v>
      </c>
      <c r="AE510" s="109" t="str">
        <f t="shared" si="206"/>
        <v>645-646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4</v>
      </c>
    </row>
    <row r="511" spans="1:53" ht="15.75" thickBot="1" x14ac:dyDescent="0.3">
      <c r="A511" s="88"/>
      <c r="B511" s="74" t="s">
        <v>280</v>
      </c>
      <c r="C511" s="67" t="s">
        <v>484</v>
      </c>
      <c r="D511" s="102" t="s">
        <v>831</v>
      </c>
      <c r="E511" s="32">
        <v>4</v>
      </c>
      <c r="F511" s="32" t="s">
        <v>488</v>
      </c>
      <c r="G511" s="75" t="s">
        <v>277</v>
      </c>
      <c r="H511" s="69">
        <f t="shared" si="213"/>
        <v>641</v>
      </c>
      <c r="I511" s="70">
        <f t="shared" si="214"/>
        <v>644</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0</v>
      </c>
      <c r="AE511" s="109" t="str">
        <f t="shared" si="206"/>
        <v>641-644</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832</v>
      </c>
      <c r="E512" s="32">
        <v>4</v>
      </c>
      <c r="F512" s="32" t="s">
        <v>488</v>
      </c>
      <c r="G512" s="68" t="s">
        <v>277</v>
      </c>
      <c r="H512" s="69">
        <f t="shared" si="213"/>
        <v>637</v>
      </c>
      <c r="I512" s="70">
        <f t="shared" si="214"/>
        <v>640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0</v>
      </c>
      <c r="AE512" s="109" t="str">
        <f t="shared" si="206"/>
        <v>637-640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36</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0" t="s">
        <v>230</v>
      </c>
      <c r="H540" s="287"/>
      <c r="I540" s="33">
        <f>E541-I539</f>
        <v>12</v>
      </c>
      <c r="J540" s="301" t="s">
        <v>231</v>
      </c>
      <c r="K540" s="302"/>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309" t="s">
        <v>237</v>
      </c>
      <c r="H541" s="310"/>
      <c r="I541" s="35">
        <f>IF(E541=0,0,12-(MOD(I539,12)))</f>
        <v>12</v>
      </c>
      <c r="J541" s="301" t="s">
        <v>238</v>
      </c>
      <c r="K541" s="302"/>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277" t="s">
        <v>242</v>
      </c>
      <c r="H542" s="43" t="s">
        <v>243</v>
      </c>
      <c r="I542" s="35">
        <f>IF(E542&lt;&gt;0,1,0)</f>
        <v>1</v>
      </c>
      <c r="J542" s="309" t="s">
        <v>244</v>
      </c>
      <c r="K542" s="310"/>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278"/>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277" t="s">
        <v>251</v>
      </c>
      <c r="H544" s="51" t="s">
        <v>252</v>
      </c>
      <c r="I544" s="112">
        <f>E543</f>
        <v>601</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8"/>
      <c r="H545" s="47" t="s">
        <v>257</v>
      </c>
      <c r="I545" s="35">
        <f>IF(E543="","0",IF(AND(E540="EUC",E541=432), I544+(203-E542),IF(E543=0,0,(E543+(E541-E542)-1))))</f>
        <v>636</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821</v>
      </c>
      <c r="E550" s="32">
        <v>4</v>
      </c>
      <c r="F550" s="32" t="s">
        <v>488</v>
      </c>
      <c r="G550" s="68" t="s">
        <v>277</v>
      </c>
      <c r="H550" s="69">
        <f>IF(I550=0,0,I550-(E550-1))</f>
        <v>633</v>
      </c>
      <c r="I550" s="70">
        <f>IF(E550=0,0,I545)</f>
        <v>636</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633-636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771</v>
      </c>
      <c r="E551" s="32">
        <v>4</v>
      </c>
      <c r="F551" s="32" t="s">
        <v>488</v>
      </c>
      <c r="G551" s="68" t="s">
        <v>277</v>
      </c>
      <c r="H551" s="69">
        <f t="shared" ref="H551:H574" si="230">IF(E551=0,0,I551-(E551-1))</f>
        <v>629</v>
      </c>
      <c r="I551" s="70">
        <f t="shared" ref="I551:I574" si="231">IF(E551=0,0,H550-1)</f>
        <v>632</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629-632</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772</v>
      </c>
      <c r="E552" s="32">
        <v>4</v>
      </c>
      <c r="F552" s="32" t="s">
        <v>488</v>
      </c>
      <c r="G552" s="75" t="s">
        <v>277</v>
      </c>
      <c r="H552" s="69">
        <f t="shared" si="230"/>
        <v>625</v>
      </c>
      <c r="I552" s="70">
        <f t="shared" si="231"/>
        <v>628</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625-628</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773</v>
      </c>
      <c r="E553" s="32">
        <v>4</v>
      </c>
      <c r="F553" s="32" t="s">
        <v>488</v>
      </c>
      <c r="G553" s="68" t="s">
        <v>277</v>
      </c>
      <c r="H553" s="69">
        <f t="shared" si="230"/>
        <v>621</v>
      </c>
      <c r="I553" s="70">
        <f t="shared" si="231"/>
        <v>624</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621-624</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822</v>
      </c>
      <c r="E554" s="32">
        <v>4</v>
      </c>
      <c r="F554" s="32" t="s">
        <v>488</v>
      </c>
      <c r="G554" s="68" t="s">
        <v>277</v>
      </c>
      <c r="H554" s="69">
        <f t="shared" si="230"/>
        <v>617</v>
      </c>
      <c r="I554" s="70">
        <f t="shared" si="231"/>
        <v>620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617-620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4</v>
      </c>
    </row>
    <row r="555" spans="1:53" ht="15.75" thickBot="1" x14ac:dyDescent="0.3">
      <c r="A555" s="88"/>
      <c r="B555" s="66" t="s">
        <v>283</v>
      </c>
      <c r="C555" s="67" t="s">
        <v>484</v>
      </c>
      <c r="D555" s="102" t="s">
        <v>774</v>
      </c>
      <c r="E555" s="32">
        <v>8</v>
      </c>
      <c r="F555" s="32" t="s">
        <v>488</v>
      </c>
      <c r="G555" s="68" t="s">
        <v>277</v>
      </c>
      <c r="H555" s="69">
        <f t="shared" si="230"/>
        <v>609</v>
      </c>
      <c r="I555" s="70">
        <f t="shared" si="231"/>
        <v>616</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0</v>
      </c>
      <c r="AE555" s="109" t="str">
        <f t="shared" si="223"/>
        <v>609-616</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t="s">
        <v>484</v>
      </c>
      <c r="D556" s="102" t="s">
        <v>823</v>
      </c>
      <c r="E556" s="32">
        <v>4</v>
      </c>
      <c r="F556" s="32" t="s">
        <v>488</v>
      </c>
      <c r="G556" s="68" t="s">
        <v>277</v>
      </c>
      <c r="H556" s="69">
        <f t="shared" si="230"/>
        <v>605</v>
      </c>
      <c r="I556" s="70">
        <f t="shared" si="231"/>
        <v>608</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0</v>
      </c>
      <c r="AE556" s="109" t="str">
        <f t="shared" si="223"/>
        <v>605-608</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t="s">
        <v>484</v>
      </c>
      <c r="D557" s="102" t="s">
        <v>775</v>
      </c>
      <c r="E557" s="32">
        <v>4</v>
      </c>
      <c r="F557" s="32" t="s">
        <v>488</v>
      </c>
      <c r="G557" s="68" t="s">
        <v>277</v>
      </c>
      <c r="H557" s="69">
        <f t="shared" si="230"/>
        <v>601</v>
      </c>
      <c r="I557" s="70">
        <f t="shared" si="231"/>
        <v>604</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0</v>
      </c>
      <c r="AE557" s="109" t="str">
        <f t="shared" si="223"/>
        <v>601-604</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12</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420</v>
      </c>
      <c r="J581" s="301" t="s">
        <v>231</v>
      </c>
      <c r="K581" s="302"/>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309" t="s">
        <v>237</v>
      </c>
      <c r="H582" s="310"/>
      <c r="I582" s="35">
        <f>IF(E582=0,0,12-(MOD(I580,12)))</f>
        <v>12</v>
      </c>
      <c r="J582" s="301" t="s">
        <v>238</v>
      </c>
      <c r="K582" s="302"/>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277" t="s">
        <v>242</v>
      </c>
      <c r="H583" s="43" t="s">
        <v>243</v>
      </c>
      <c r="I583" s="35">
        <f>IF(E583&lt;&gt;0,1,0)</f>
        <v>1</v>
      </c>
      <c r="J583" s="309" t="s">
        <v>244</v>
      </c>
      <c r="K583" s="310"/>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278"/>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277" t="s">
        <v>251</v>
      </c>
      <c r="H585" s="51" t="s">
        <v>252</v>
      </c>
      <c r="I585" s="112">
        <f>E584</f>
        <v>577</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278"/>
      <c r="H586" s="47" t="s">
        <v>257</v>
      </c>
      <c r="I586" s="35">
        <f>IF(E584="","0",IF(AND(E581="EUC",E582=432), I585+(203-E583),IF(E584=0,0,(E584+(E582-E583)-1))))</f>
        <v>588</v>
      </c>
      <c r="J586" s="292" t="str">
        <f>IFERROR(IF(OR(E581="EUC",E581="SS"),"---",IF(OR(P580,S580),"NO 2F Tethers for RPX!",IF(OR(P582,S582),"NO 6F Tethers for RPX!","---"))),"---")</f>
        <v>---</v>
      </c>
      <c r="K586" s="293"/>
      <c r="L586" s="294"/>
      <c r="M586" s="292" t="str">
        <f>IF(E583&gt;60,"Dead Count &gt;60: Consider Downsize","---")</f>
        <v>Dead Count &gt;60: Consider Downsize</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228</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776</v>
      </c>
      <c r="E591" s="32">
        <v>12</v>
      </c>
      <c r="F591" s="32" t="s">
        <v>488</v>
      </c>
      <c r="G591" s="68" t="s">
        <v>277</v>
      </c>
      <c r="H591" s="69">
        <f>IF(I591=0,0,I591-(E591-1))</f>
        <v>577</v>
      </c>
      <c r="I591" s="70">
        <f>IF(E591=0,0,I586)</f>
        <v>588</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577-588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502</v>
      </c>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t="s">
        <v>737</v>
      </c>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N</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216</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0</v>
      </c>
      <c r="J622" s="301" t="s">
        <v>231</v>
      </c>
      <c r="K622" s="302"/>
      <c r="L622" s="34">
        <f>I626</f>
        <v>361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216</v>
      </c>
      <c r="F623" s="88"/>
      <c r="G623" s="309" t="s">
        <v>237</v>
      </c>
      <c r="H623" s="310"/>
      <c r="I623" s="35">
        <f>IF(E623=0,0,12-(MOD(I621,12)))</f>
        <v>12</v>
      </c>
      <c r="J623" s="301" t="s">
        <v>238</v>
      </c>
      <c r="K623" s="302"/>
      <c r="L623" s="39">
        <f>I627-I621</f>
        <v>360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277" t="s">
        <v>242</v>
      </c>
      <c r="H624" s="43" t="s">
        <v>243</v>
      </c>
      <c r="I624" s="35">
        <f>IF(E624&lt;&gt;0,1,0)</f>
        <v>0</v>
      </c>
      <c r="J624" s="309" t="s">
        <v>244</v>
      </c>
      <c r="K624" s="310"/>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361</v>
      </c>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18</v>
      </c>
      <c r="F626" s="88"/>
      <c r="G626" s="277" t="s">
        <v>251</v>
      </c>
      <c r="H626" s="51" t="s">
        <v>252</v>
      </c>
      <c r="I626" s="112">
        <f>E625</f>
        <v>361</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576</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216</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777</v>
      </c>
      <c r="E632" s="32">
        <v>4</v>
      </c>
      <c r="F632" s="32" t="s">
        <v>488</v>
      </c>
      <c r="G632" s="68" t="s">
        <v>277</v>
      </c>
      <c r="H632" s="69">
        <f>IF(I632=0,0,I632-(E632-1))</f>
        <v>573</v>
      </c>
      <c r="I632" s="70">
        <f>IF(E632=0,0,I627)</f>
        <v>576</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573-576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825</v>
      </c>
      <c r="E633" s="32">
        <v>4</v>
      </c>
      <c r="F633" s="32" t="s">
        <v>488</v>
      </c>
      <c r="G633" s="68" t="s">
        <v>277</v>
      </c>
      <c r="H633" s="69">
        <f t="shared" ref="H633:H656" si="264">IF(E633=0,0,I633-(E633-1))</f>
        <v>569</v>
      </c>
      <c r="I633" s="70">
        <f t="shared" ref="I633:I656" si="265">IF(E633=0,0,H632-1)</f>
        <v>572</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569-572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778</v>
      </c>
      <c r="E634" s="32">
        <v>4</v>
      </c>
      <c r="F634" s="32" t="s">
        <v>488</v>
      </c>
      <c r="G634" s="75" t="s">
        <v>277</v>
      </c>
      <c r="H634" s="69">
        <f t="shared" si="264"/>
        <v>565</v>
      </c>
      <c r="I634" s="70">
        <f t="shared" si="265"/>
        <v>568</v>
      </c>
      <c r="J634" s="73" t="str">
        <f t="shared" ref="J634:J656" si="266">IF(C634="","--",IF(AND(C634&lt;&gt;"FST",C634&lt;&gt;"TCF",BA633&lt;&gt;0),BA633,"--"))</f>
        <v>--</v>
      </c>
      <c r="K634" s="32"/>
      <c r="L634" s="233"/>
      <c r="M634" s="295" t="s">
        <v>419</v>
      </c>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565-568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493</v>
      </c>
      <c r="I635" s="70">
        <f t="shared" si="265"/>
        <v>564</v>
      </c>
      <c r="J635" s="73" t="str">
        <f t="shared" si="266"/>
        <v>--</v>
      </c>
      <c r="K635" s="32"/>
      <c r="L635" s="233"/>
      <c r="M635" s="295" t="s">
        <v>420</v>
      </c>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493-564</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502</v>
      </c>
      <c r="D636" s="102"/>
      <c r="E636" s="32">
        <v>132</v>
      </c>
      <c r="F636" s="32"/>
      <c r="G636" s="68" t="s">
        <v>277</v>
      </c>
      <c r="H636" s="69">
        <f t="shared" si="264"/>
        <v>361</v>
      </c>
      <c r="I636" s="70">
        <f t="shared" si="265"/>
        <v>492</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361-492</v>
      </c>
      <c r="AF636" s="109" t="str">
        <f t="shared" si="258"/>
        <v>N</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217</v>
      </c>
      <c r="X643" s="84"/>
      <c r="Y643" s="78">
        <f>SUM(E632:E643)</f>
        <v>216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217</v>
      </c>
      <c r="X644" s="84"/>
      <c r="Y644" s="78">
        <f>SUM(E632:E644)</f>
        <v>216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217</v>
      </c>
      <c r="X645" s="84"/>
      <c r="Y645" s="78">
        <f>SUM(E632:E645)</f>
        <v>216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217</v>
      </c>
      <c r="X646" s="84"/>
      <c r="Y646" s="78">
        <f>SUM(E632:E646)</f>
        <v>216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217</v>
      </c>
      <c r="X647" s="84"/>
      <c r="Y647" s="78">
        <f>SUM(E632:E647)</f>
        <v>216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217</v>
      </c>
      <c r="X648" s="84"/>
      <c r="Y648" s="78">
        <f>SUM(E632:E648)</f>
        <v>216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217</v>
      </c>
      <c r="X649" s="84"/>
      <c r="Y649" s="78">
        <f>SUM(E632:E649)</f>
        <v>216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217</v>
      </c>
      <c r="X650" s="84"/>
      <c r="Y650" s="78">
        <f>SUM(E632:E650)</f>
        <v>216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217</v>
      </c>
      <c r="X651" s="84"/>
      <c r="Y651" s="78">
        <f>SUM(E632:E651)</f>
        <v>216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217</v>
      </c>
      <c r="X652" s="84"/>
      <c r="Y652" s="78">
        <f>SUM(E632:E652)</f>
        <v>216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217</v>
      </c>
      <c r="X653" s="84"/>
      <c r="Y653" s="78">
        <f>SUM(E632:E653)</f>
        <v>216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217</v>
      </c>
      <c r="X654" s="84"/>
      <c r="Y654" s="78">
        <f>SUM(E632:E654)</f>
        <v>216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217</v>
      </c>
      <c r="X655" s="84"/>
      <c r="Y655" s="78">
        <f>SUM(E632:E655)</f>
        <v>216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216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72</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0" t="s">
        <v>230</v>
      </c>
      <c r="H663" s="287"/>
      <c r="I663" s="33">
        <f>E664-I662</f>
        <v>0</v>
      </c>
      <c r="J663" s="301" t="s">
        <v>231</v>
      </c>
      <c r="K663" s="302"/>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09" t="s">
        <v>237</v>
      </c>
      <c r="H664" s="310"/>
      <c r="I664" s="35">
        <f>IF(E664=0,0,12-(MOD(I662,12)))</f>
        <v>12</v>
      </c>
      <c r="J664" s="301" t="s">
        <v>238</v>
      </c>
      <c r="K664" s="302"/>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77" t="s">
        <v>242</v>
      </c>
      <c r="H665" s="43" t="s">
        <v>243</v>
      </c>
      <c r="I665" s="35">
        <f>IF(E665&lt;&gt;0,1,0)</f>
        <v>0</v>
      </c>
      <c r="J665" s="309" t="s">
        <v>244</v>
      </c>
      <c r="K665" s="310"/>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77" t="s">
        <v>251</v>
      </c>
      <c r="H667" s="51" t="s">
        <v>252</v>
      </c>
      <c r="I667" s="112">
        <f>E666</f>
        <v>493</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78"/>
      <c r="H668" s="47" t="s">
        <v>257</v>
      </c>
      <c r="I668" s="35">
        <f>IF(E666="","0",IF(AND(E663="EUC",E664=432), I667+(203-E665),IF(E666=0,0,(E666+(E664-E665)-1))))</f>
        <v>564</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779</v>
      </c>
      <c r="E673" s="32">
        <v>4</v>
      </c>
      <c r="F673" s="32" t="s">
        <v>488</v>
      </c>
      <c r="G673" s="68" t="s">
        <v>277</v>
      </c>
      <c r="H673" s="69">
        <f>IF(I673=0,0,I673-(E673-1))</f>
        <v>561</v>
      </c>
      <c r="I673" s="70">
        <f>IF(E673=0,0,I668)</f>
        <v>564</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561-564</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780</v>
      </c>
      <c r="E674" s="32">
        <v>4</v>
      </c>
      <c r="F674" s="32" t="s">
        <v>488</v>
      </c>
      <c r="G674" s="68" t="s">
        <v>277</v>
      </c>
      <c r="H674" s="69">
        <f t="shared" ref="H674:H697" si="281">IF(E674=0,0,I674-(E674-1))</f>
        <v>557</v>
      </c>
      <c r="I674" s="70">
        <f t="shared" ref="I674:I697" si="282">IF(E674=0,0,H673-1)</f>
        <v>560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0</v>
      </c>
      <c r="AE674" s="109" t="str">
        <f t="shared" si="274"/>
        <v>557-560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781</v>
      </c>
      <c r="E675" s="32">
        <v>4</v>
      </c>
      <c r="F675" s="32" t="s">
        <v>488</v>
      </c>
      <c r="G675" s="75" t="s">
        <v>277</v>
      </c>
      <c r="H675" s="69">
        <f t="shared" si="281"/>
        <v>553</v>
      </c>
      <c r="I675" s="70">
        <f t="shared" si="282"/>
        <v>556</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0</v>
      </c>
      <c r="AE675" s="109" t="str">
        <f t="shared" si="274"/>
        <v>553-556</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493</v>
      </c>
      <c r="I676" s="70">
        <f t="shared" si="282"/>
        <v>552</v>
      </c>
      <c r="J676" s="73" t="str">
        <f t="shared" si="283"/>
        <v>--</v>
      </c>
      <c r="K676" s="32"/>
      <c r="L676" s="233"/>
      <c r="M676" s="295" t="s">
        <v>421</v>
      </c>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493-552</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132</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0" t="s">
        <v>230</v>
      </c>
      <c r="H704" s="287"/>
      <c r="I704" s="33">
        <f>E705-I703</f>
        <v>12</v>
      </c>
      <c r="J704" s="301" t="s">
        <v>231</v>
      </c>
      <c r="K704" s="302"/>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1</v>
      </c>
      <c r="V704" s="35">
        <v>0</v>
      </c>
      <c r="W704" s="34">
        <f>COUNTIFS($E714:$E738,"4",$F714:$F738,"HH",$C714:$C738,"FST")</f>
        <v>1</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f>IF($E704="EUC",COUNTIFS($C714:$C738,"FST",$E714:$E738,"4"),"0")</f>
        <v>1</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309" t="s">
        <v>237</v>
      </c>
      <c r="H705" s="310"/>
      <c r="I705" s="35">
        <f>IF(E705=0,0,12-(MOD(I703,12)))</f>
        <v>12</v>
      </c>
      <c r="J705" s="301" t="s">
        <v>238</v>
      </c>
      <c r="K705" s="302"/>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277" t="s">
        <v>242</v>
      </c>
      <c r="H706" s="43" t="s">
        <v>243</v>
      </c>
      <c r="I706" s="35">
        <f>IF(E706&lt;&gt;0,1,0)</f>
        <v>1</v>
      </c>
      <c r="J706" s="309" t="s">
        <v>244</v>
      </c>
      <c r="K706" s="310"/>
      <c r="L706" s="44">
        <f>'Cable Calculator'!CK3</f>
        <v>1398</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1</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78"/>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277" t="s">
        <v>251</v>
      </c>
      <c r="H708" s="51" t="s">
        <v>252</v>
      </c>
      <c r="I708" s="112">
        <f>E707</f>
        <v>361</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78"/>
      <c r="H709" s="47" t="s">
        <v>257</v>
      </c>
      <c r="I709" s="35">
        <f>IF(E707="","0",IF(AND(E704="EUC",E705=432), I708+(203-E706),IF(E707=0,0,(E707+(E705-E706)-1))))</f>
        <v>492</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132</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783</v>
      </c>
      <c r="E714" s="32">
        <v>8</v>
      </c>
      <c r="F714" s="32" t="s">
        <v>488</v>
      </c>
      <c r="G714" s="68" t="s">
        <v>277</v>
      </c>
      <c r="H714" s="69">
        <f>IF(I714=0,0,I714-(E714-1))</f>
        <v>485</v>
      </c>
      <c r="I714" s="70">
        <f>IF(E714=0,0,I709)</f>
        <v>492</v>
      </c>
      <c r="J714" s="71" t="s">
        <v>278</v>
      </c>
      <c r="K714" s="32">
        <v>1000</v>
      </c>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485-492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8</v>
      </c>
    </row>
    <row r="715" spans="1:53" ht="15.75" thickBot="1" x14ac:dyDescent="0.3">
      <c r="A715" s="88"/>
      <c r="B715" s="66" t="s">
        <v>279</v>
      </c>
      <c r="C715" s="67" t="s">
        <v>484</v>
      </c>
      <c r="D715" s="102" t="s">
        <v>784</v>
      </c>
      <c r="E715" s="32">
        <v>4</v>
      </c>
      <c r="F715" s="32" t="s">
        <v>488</v>
      </c>
      <c r="G715" s="68" t="s">
        <v>277</v>
      </c>
      <c r="H715" s="69">
        <f t="shared" ref="H715:H738" si="298">IF(E715=0,0,I715-(E715-1))</f>
        <v>481</v>
      </c>
      <c r="I715" s="70">
        <f t="shared" ref="I715:I738" si="299">IF(E715=0,0,H714-1)</f>
        <v>484</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0</v>
      </c>
      <c r="AE715" s="109" t="str">
        <f t="shared" si="291"/>
        <v>481-484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t="s">
        <v>502</v>
      </c>
      <c r="D716" s="102"/>
      <c r="E716" s="32">
        <v>120</v>
      </c>
      <c r="F716" s="32"/>
      <c r="G716" s="75" t="s">
        <v>277</v>
      </c>
      <c r="H716" s="69">
        <f t="shared" si="298"/>
        <v>361</v>
      </c>
      <c r="I716" s="70">
        <f t="shared" si="299"/>
        <v>480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361-480</v>
      </c>
      <c r="AF716" s="109" t="str">
        <f t="shared" si="292"/>
        <v>N</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t="s">
        <v>425</v>
      </c>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133</v>
      </c>
      <c r="X725" s="84"/>
      <c r="Y725" s="78">
        <f>SUM(E714:E725)</f>
        <v>132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133</v>
      </c>
      <c r="X726" s="84"/>
      <c r="Y726" s="78">
        <f>SUM(E714:E726)</f>
        <v>132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133</v>
      </c>
      <c r="X727" s="84"/>
      <c r="Y727" s="78">
        <f>SUM(E714:E727)</f>
        <v>132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133</v>
      </c>
      <c r="X728" s="84"/>
      <c r="Y728" s="78">
        <f>SUM(E714:E728)</f>
        <v>132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133</v>
      </c>
      <c r="X729" s="84"/>
      <c r="Y729" s="78">
        <f>SUM(E714:E729)</f>
        <v>132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133</v>
      </c>
      <c r="X730" s="84"/>
      <c r="Y730" s="78">
        <f>SUM(E714:E730)</f>
        <v>132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133</v>
      </c>
      <c r="X731" s="84"/>
      <c r="Y731" s="78">
        <f>SUM(E714:E731)</f>
        <v>132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133</v>
      </c>
      <c r="X732" s="84"/>
      <c r="Y732" s="78">
        <f>SUM(E714:E732)</f>
        <v>132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133</v>
      </c>
      <c r="X733" s="84"/>
      <c r="Y733" s="78">
        <f>SUM(E714:E733)</f>
        <v>132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133</v>
      </c>
      <c r="X734" s="84"/>
      <c r="Y734" s="78">
        <f>SUM(E714:E734)</f>
        <v>132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133</v>
      </c>
      <c r="X735" s="84"/>
      <c r="Y735" s="78">
        <f>SUM(E714:E735)</f>
        <v>132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133</v>
      </c>
      <c r="X736" s="84"/>
      <c r="Y736" s="78">
        <f>SUM(E714:E736)</f>
        <v>132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133</v>
      </c>
      <c r="X737" s="84"/>
      <c r="Y737" s="78">
        <f>SUM(E714:E737)</f>
        <v>132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132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60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0" t="s">
        <v>230</v>
      </c>
      <c r="H745" s="287"/>
      <c r="I745" s="33">
        <f>E746-I744</f>
        <v>12</v>
      </c>
      <c r="J745" s="301" t="s">
        <v>231</v>
      </c>
      <c r="K745" s="302"/>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309" t="s">
        <v>237</v>
      </c>
      <c r="H746" s="310"/>
      <c r="I746" s="35">
        <f>IF(E746=0,0,12-(MOD(I744,12)))</f>
        <v>12</v>
      </c>
      <c r="J746" s="301" t="s">
        <v>238</v>
      </c>
      <c r="K746" s="302"/>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77" t="s">
        <v>242</v>
      </c>
      <c r="H747" s="43" t="s">
        <v>243</v>
      </c>
      <c r="I747" s="35">
        <f>IF(E747&lt;&gt;0,1,0)</f>
        <v>1</v>
      </c>
      <c r="J747" s="309" t="s">
        <v>244</v>
      </c>
      <c r="K747" s="310"/>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278"/>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277" t="s">
        <v>251</v>
      </c>
      <c r="H749" s="51" t="s">
        <v>252</v>
      </c>
      <c r="I749" s="112">
        <f>E748</f>
        <v>493</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78"/>
      <c r="H750" s="47" t="s">
        <v>257</v>
      </c>
      <c r="I750" s="35">
        <f>IF(E748="","0",IF(AND(E745="EUC",E746=432), I749+(203-E747),IF(E748=0,0,(E748+(E746-E747)-1))))</f>
        <v>552</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782</v>
      </c>
      <c r="E755" s="32">
        <v>8</v>
      </c>
      <c r="F755" s="32" t="s">
        <v>488</v>
      </c>
      <c r="G755" s="68" t="s">
        <v>277</v>
      </c>
      <c r="H755" s="69">
        <f>IF(I755=0,0,I755-(E755-1))</f>
        <v>545</v>
      </c>
      <c r="I755" s="70">
        <f>IF(E755=0,0,I750)</f>
        <v>552</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545-552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8</v>
      </c>
    </row>
    <row r="756" spans="1:53" ht="15.75" thickBot="1" x14ac:dyDescent="0.3">
      <c r="A756" s="88"/>
      <c r="B756" s="66" t="s">
        <v>279</v>
      </c>
      <c r="C756" s="67" t="s">
        <v>484</v>
      </c>
      <c r="D756" s="102" t="s">
        <v>787</v>
      </c>
      <c r="E756" s="32">
        <v>8</v>
      </c>
      <c r="F756" s="32" t="s">
        <v>488</v>
      </c>
      <c r="G756" s="68" t="s">
        <v>277</v>
      </c>
      <c r="H756" s="69">
        <f t="shared" ref="H756:H779" si="315">IF(E756=0,0,I756-(E756-1))</f>
        <v>537</v>
      </c>
      <c r="I756" s="70">
        <f t="shared" ref="I756:I779" si="316">IF(E756=0,0,H755-1)</f>
        <v>544</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0</v>
      </c>
      <c r="AE756" s="109" t="str">
        <f t="shared" si="308"/>
        <v>537-544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788</v>
      </c>
      <c r="E757" s="32">
        <v>8</v>
      </c>
      <c r="F757" s="32" t="s">
        <v>488</v>
      </c>
      <c r="G757" s="75" t="s">
        <v>277</v>
      </c>
      <c r="H757" s="69">
        <f t="shared" si="315"/>
        <v>529</v>
      </c>
      <c r="I757" s="70">
        <f t="shared" si="316"/>
        <v>536</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0</v>
      </c>
      <c r="AE757" s="109" t="str">
        <f t="shared" si="308"/>
        <v>529-536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500</v>
      </c>
      <c r="D758" s="102"/>
      <c r="E758" s="32">
        <v>12</v>
      </c>
      <c r="F758" s="32"/>
      <c r="G758" s="68" t="s">
        <v>277</v>
      </c>
      <c r="H758" s="69">
        <f t="shared" si="315"/>
        <v>517</v>
      </c>
      <c r="I758" s="70">
        <f t="shared" si="316"/>
        <v>528</v>
      </c>
      <c r="J758" s="73" t="str">
        <f t="shared" si="317"/>
        <v>--</v>
      </c>
      <c r="K758" s="32"/>
      <c r="L758" s="233"/>
      <c r="M758" s="295" t="s">
        <v>736</v>
      </c>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517-528</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Y</v>
      </c>
      <c r="AQ758" s="109" t="str">
        <f t="shared" si="314"/>
        <v/>
      </c>
      <c r="BA758" s="229">
        <f>MOD(SUM(E755:E759),12)</f>
        <v>0</v>
      </c>
    </row>
    <row r="759" spans="1:53" ht="15.75" thickBot="1" x14ac:dyDescent="0.3">
      <c r="A759" s="88"/>
      <c r="B759" s="66" t="s">
        <v>282</v>
      </c>
      <c r="C759" s="67" t="s">
        <v>500</v>
      </c>
      <c r="D759" s="102"/>
      <c r="E759" s="32">
        <v>12</v>
      </c>
      <c r="F759" s="32"/>
      <c r="G759" s="68" t="s">
        <v>277</v>
      </c>
      <c r="H759" s="69">
        <f t="shared" si="315"/>
        <v>505</v>
      </c>
      <c r="I759" s="70">
        <f t="shared" si="316"/>
        <v>516</v>
      </c>
      <c r="J759" s="73" t="str">
        <f t="shared" si="317"/>
        <v>--</v>
      </c>
      <c r="K759" s="32"/>
      <c r="L759" s="233"/>
      <c r="M759" s="295" t="s">
        <v>422</v>
      </c>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505-516</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Y</v>
      </c>
      <c r="AQ759" s="109" t="str">
        <f t="shared" si="314"/>
        <v/>
      </c>
      <c r="BA759" s="229">
        <f>MOD(SUM(E755:E760),12)</f>
        <v>0</v>
      </c>
    </row>
    <row r="760" spans="1:53" ht="15.75" thickBot="1" x14ac:dyDescent="0.3">
      <c r="A760" s="88"/>
      <c r="B760" s="66" t="s">
        <v>283</v>
      </c>
      <c r="C760" s="67" t="s">
        <v>500</v>
      </c>
      <c r="D760" s="102"/>
      <c r="E760" s="32">
        <v>12</v>
      </c>
      <c r="F760" s="32"/>
      <c r="G760" s="68" t="s">
        <v>277</v>
      </c>
      <c r="H760" s="69">
        <f t="shared" si="315"/>
        <v>493</v>
      </c>
      <c r="I760" s="70">
        <f t="shared" si="316"/>
        <v>504</v>
      </c>
      <c r="J760" s="73" t="str">
        <f t="shared" si="317"/>
        <v>--</v>
      </c>
      <c r="K760" s="32"/>
      <c r="L760" s="233"/>
      <c r="M760" s="295" t="s">
        <v>736</v>
      </c>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493-504</v>
      </c>
      <c r="AF760" s="109" t="str">
        <f t="shared" si="309"/>
        <v>Y</v>
      </c>
      <c r="AG760" s="109" t="str">
        <f t="shared" si="310"/>
        <v>B</v>
      </c>
      <c r="AM760" s="109">
        <f t="shared" si="311"/>
        <v>0</v>
      </c>
      <c r="AN760" s="109">
        <f t="shared" si="312"/>
        <v>0</v>
      </c>
      <c r="AO760" s="109" t="str">
        <f t="shared" si="313"/>
        <v>Y</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36</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0" t="s">
        <v>230</v>
      </c>
      <c r="H786" s="287"/>
      <c r="I786" s="33">
        <f>E787-I785</f>
        <v>12</v>
      </c>
      <c r="J786" s="301" t="s">
        <v>231</v>
      </c>
      <c r="K786" s="302"/>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309" t="s">
        <v>237</v>
      </c>
      <c r="H787" s="310"/>
      <c r="I787" s="35">
        <f>IF(E787=0,0,12-(MOD(I785,12)))</f>
        <v>12</v>
      </c>
      <c r="J787" s="301" t="s">
        <v>238</v>
      </c>
      <c r="K787" s="302"/>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277" t="s">
        <v>242</v>
      </c>
      <c r="H788" s="43" t="s">
        <v>243</v>
      </c>
      <c r="I788" s="35">
        <f>IF(E788&lt;&gt;0,1,0)</f>
        <v>1</v>
      </c>
      <c r="J788" s="309" t="s">
        <v>244</v>
      </c>
      <c r="K788" s="310"/>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278"/>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277" t="s">
        <v>251</v>
      </c>
      <c r="H790" s="51" t="s">
        <v>252</v>
      </c>
      <c r="I790" s="112">
        <f>E789</f>
        <v>493</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78"/>
      <c r="H791" s="47" t="s">
        <v>257</v>
      </c>
      <c r="I791" s="35">
        <f>IF(E789="","0",IF(AND(E786="EUC",E787=432), I790+(203-E788),IF(E789=0,0,(E789+(E787-E788)-1))))</f>
        <v>528</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789</v>
      </c>
      <c r="E796" s="32">
        <v>4</v>
      </c>
      <c r="F796" s="32" t="s">
        <v>488</v>
      </c>
      <c r="G796" s="68" t="s">
        <v>277</v>
      </c>
      <c r="H796" s="69">
        <f>IF(I796=0,0,I796-(E796-1))</f>
        <v>525</v>
      </c>
      <c r="I796" s="70">
        <f>IF(E796=0,0,I791)</f>
        <v>528</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525-528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790</v>
      </c>
      <c r="E797" s="32">
        <v>8</v>
      </c>
      <c r="F797" s="32" t="s">
        <v>488</v>
      </c>
      <c r="G797" s="68" t="s">
        <v>277</v>
      </c>
      <c r="H797" s="69">
        <f t="shared" ref="H797:H820" si="332">IF(E797=0,0,I797-(E797-1))</f>
        <v>517</v>
      </c>
      <c r="I797" s="70">
        <f t="shared" ref="I797:I820" si="333">IF(E797=0,0,H796-1)</f>
        <v>524</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0</v>
      </c>
      <c r="AE797" s="109" t="str">
        <f t="shared" si="325"/>
        <v>517-524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502</v>
      </c>
      <c r="D798" s="102"/>
      <c r="E798" s="32">
        <v>24</v>
      </c>
      <c r="F798" s="32"/>
      <c r="G798" s="75" t="s">
        <v>277</v>
      </c>
      <c r="H798" s="69">
        <f t="shared" si="332"/>
        <v>493</v>
      </c>
      <c r="I798" s="70">
        <f t="shared" si="333"/>
        <v>516</v>
      </c>
      <c r="J798" s="73" t="str">
        <f t="shared" ref="J798:J820" si="334">IF(C798="","--",IF(AND(C798&lt;&gt;"FST",C798&lt;&gt;"TCF",BA797&lt;&gt;0),BA797,"--"))</f>
        <v>--</v>
      </c>
      <c r="K798" s="32"/>
      <c r="L798" s="233"/>
      <c r="M798" s="295" t="s">
        <v>423</v>
      </c>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493-516</v>
      </c>
      <c r="AF798" s="109" t="str">
        <f t="shared" si="326"/>
        <v>N</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24</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309" t="s">
        <v>237</v>
      </c>
      <c r="H828" s="310"/>
      <c r="I828" s="35">
        <f>IF(E828=0,0,12-(MOD(I826,12)))</f>
        <v>12</v>
      </c>
      <c r="J828" s="301" t="s">
        <v>238</v>
      </c>
      <c r="K828" s="302"/>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77" t="s">
        <v>242</v>
      </c>
      <c r="H829" s="43" t="s">
        <v>243</v>
      </c>
      <c r="I829" s="35">
        <f>IF(E829&lt;&gt;0,1,0)</f>
        <v>0</v>
      </c>
      <c r="J829" s="309" t="s">
        <v>244</v>
      </c>
      <c r="K829" s="310"/>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277" t="s">
        <v>251</v>
      </c>
      <c r="H831" s="51" t="s">
        <v>252</v>
      </c>
      <c r="I831" s="112">
        <f>E830</f>
        <v>493</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8"/>
      <c r="H832" s="47" t="s">
        <v>257</v>
      </c>
      <c r="I832" s="35">
        <f>IF(E830="","0",IF(AND(E827="EUC",E828=432), I831+(203-E829),IF(E830=0,0,(E830+(E828-E829)-1))))</f>
        <v>516</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95" t="s">
        <v>424</v>
      </c>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493-516</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24</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0" t="s">
        <v>230</v>
      </c>
      <c r="H868" s="287"/>
      <c r="I868" s="33">
        <f>E869-I867</f>
        <v>0</v>
      </c>
      <c r="J868" s="301" t="s">
        <v>231</v>
      </c>
      <c r="K868" s="302"/>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09" t="s">
        <v>237</v>
      </c>
      <c r="H869" s="310"/>
      <c r="I869" s="35">
        <f>IF(E869=0,0,12-(MOD(I867,12)))</f>
        <v>12</v>
      </c>
      <c r="J869" s="301" t="s">
        <v>238</v>
      </c>
      <c r="K869" s="302"/>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277" t="s">
        <v>242</v>
      </c>
      <c r="H870" s="43" t="s">
        <v>243</v>
      </c>
      <c r="I870" s="35">
        <f>IF(E870&lt;&gt;0,1,0)</f>
        <v>0</v>
      </c>
      <c r="J870" s="309" t="s">
        <v>244</v>
      </c>
      <c r="K870" s="310"/>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77" t="s">
        <v>251</v>
      </c>
      <c r="H872" s="51" t="s">
        <v>252</v>
      </c>
      <c r="I872" s="112">
        <f>E871</f>
        <v>493</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278"/>
      <c r="H873" s="47" t="s">
        <v>257</v>
      </c>
      <c r="I873" s="35">
        <f>IF(E871="","0",IF(AND(E868="EUC",E869=432), I872+(203-E870),IF(E871=0,0,(E871+(E869-E870)-1))))</f>
        <v>516</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791</v>
      </c>
      <c r="E878" s="32">
        <v>8</v>
      </c>
      <c r="F878" s="32" t="s">
        <v>488</v>
      </c>
      <c r="G878" s="68" t="s">
        <v>277</v>
      </c>
      <c r="H878" s="69">
        <f>IF(I878=0,0,I878-(E878-1))</f>
        <v>509</v>
      </c>
      <c r="I878" s="70">
        <f>IF(E878=0,0,I873)</f>
        <v>516</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509-516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8</v>
      </c>
    </row>
    <row r="879" spans="1:53" ht="15.75" thickBot="1" x14ac:dyDescent="0.3">
      <c r="A879" s="88"/>
      <c r="B879" s="66" t="s">
        <v>279</v>
      </c>
      <c r="C879" s="67" t="s">
        <v>484</v>
      </c>
      <c r="D879" s="102" t="s">
        <v>792</v>
      </c>
      <c r="E879" s="32">
        <v>8</v>
      </c>
      <c r="F879" s="32" t="s">
        <v>488</v>
      </c>
      <c r="G879" s="68" t="s">
        <v>277</v>
      </c>
      <c r="H879" s="69">
        <f t="shared" ref="H879:H902" si="366">IF(E879=0,0,I879-(E879-1))</f>
        <v>501</v>
      </c>
      <c r="I879" s="70">
        <f t="shared" ref="I879:I902" si="367">IF(E879=0,0,H878-1)</f>
        <v>508</v>
      </c>
      <c r="J879" s="73" t="str">
        <f>IF(C879="","--",IF(AND(C879&lt;&gt;"FST",C879&lt;&gt;"TCF",BA878&lt;&gt;0),BA878,"--"))</f>
        <v>--</v>
      </c>
      <c r="K879" s="32">
        <v>200</v>
      </c>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0</v>
      </c>
      <c r="AE879" s="109" t="str">
        <f t="shared" si="359"/>
        <v>501-508</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4</v>
      </c>
    </row>
    <row r="880" spans="1:53" ht="15.75" thickBot="1" x14ac:dyDescent="0.3">
      <c r="A880" s="88"/>
      <c r="B880" s="74" t="s">
        <v>280</v>
      </c>
      <c r="C880" s="67" t="s">
        <v>484</v>
      </c>
      <c r="D880" s="102" t="s">
        <v>793</v>
      </c>
      <c r="E880" s="32">
        <v>4</v>
      </c>
      <c r="F880" s="32" t="s">
        <v>488</v>
      </c>
      <c r="G880" s="75" t="s">
        <v>277</v>
      </c>
      <c r="H880" s="69">
        <f t="shared" si="366"/>
        <v>497</v>
      </c>
      <c r="I880" s="70">
        <f t="shared" si="367"/>
        <v>500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0</v>
      </c>
      <c r="AE880" s="109" t="str">
        <f t="shared" si="359"/>
        <v>497-500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794</v>
      </c>
      <c r="E881" s="32">
        <v>4</v>
      </c>
      <c r="F881" s="32" t="s">
        <v>488</v>
      </c>
      <c r="G881" s="68" t="s">
        <v>277</v>
      </c>
      <c r="H881" s="69">
        <f t="shared" si="366"/>
        <v>493</v>
      </c>
      <c r="I881" s="70">
        <f t="shared" si="367"/>
        <v>496</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0</v>
      </c>
      <c r="AE881" s="109" t="str">
        <f t="shared" si="359"/>
        <v>493-496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25</v>
      </c>
      <c r="X889" s="84"/>
      <c r="Y889" s="78">
        <f>SUM(E878:E889)</f>
        <v>24</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25</v>
      </c>
      <c r="X890" s="84"/>
      <c r="Y890" s="78">
        <f>SUM(E878:E890)</f>
        <v>24</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25</v>
      </c>
      <c r="X891" s="84"/>
      <c r="Y891" s="78">
        <f>SUM(E878:E891)</f>
        <v>24</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25</v>
      </c>
      <c r="X892" s="84"/>
      <c r="Y892" s="78">
        <f>SUM(E878:E892)</f>
        <v>24</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25</v>
      </c>
      <c r="X893" s="84"/>
      <c r="Y893" s="78">
        <f>SUM(E878:E893)</f>
        <v>24</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25</v>
      </c>
      <c r="X894" s="84"/>
      <c r="Y894" s="78">
        <f>SUM(E878:E894)</f>
        <v>24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25</v>
      </c>
      <c r="X895" s="84"/>
      <c r="Y895" s="78">
        <f>SUM(E878:E895)</f>
        <v>24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25</v>
      </c>
      <c r="X896" s="84"/>
      <c r="Y896" s="78">
        <f>SUM(E878:E896)</f>
        <v>24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25</v>
      </c>
      <c r="X897" s="84"/>
      <c r="Y897" s="78">
        <f>SUM(E878:E897)</f>
        <v>24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25</v>
      </c>
      <c r="X898" s="84"/>
      <c r="Y898" s="78">
        <f>SUM(E878:E898)</f>
        <v>24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25</v>
      </c>
      <c r="X899" s="84"/>
      <c r="Y899" s="78">
        <f>SUM(E878:E899)</f>
        <v>24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25</v>
      </c>
      <c r="X900" s="84"/>
      <c r="Y900" s="78">
        <f>SUM(E878:E900)</f>
        <v>24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25</v>
      </c>
      <c r="X901" s="84"/>
      <c r="Y901" s="78">
        <f>SUM(E878:E901)</f>
        <v>24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24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120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0" t="s">
        <v>230</v>
      </c>
      <c r="H909" s="287"/>
      <c r="I909" s="33">
        <f>E910-I908</f>
        <v>24</v>
      </c>
      <c r="J909" s="301" t="s">
        <v>231</v>
      </c>
      <c r="K909" s="302"/>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09" t="s">
        <v>237</v>
      </c>
      <c r="H910" s="310"/>
      <c r="I910" s="35">
        <f>IF(E910=0,0,12-(MOD(I908,12)))</f>
        <v>12</v>
      </c>
      <c r="J910" s="301" t="s">
        <v>238</v>
      </c>
      <c r="K910" s="302"/>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24</v>
      </c>
      <c r="F911" s="88"/>
      <c r="G911" s="277" t="s">
        <v>242</v>
      </c>
      <c r="H911" s="43" t="s">
        <v>243</v>
      </c>
      <c r="I911" s="35">
        <f>IF(E911&lt;&gt;0,1,0)</f>
        <v>1</v>
      </c>
      <c r="J911" s="309" t="s">
        <v>244</v>
      </c>
      <c r="K911" s="310"/>
      <c r="L911" s="44">
        <f>'Cable Calculator'!DJ3</f>
        <v>1824</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278"/>
      <c r="H912" s="47" t="s">
        <v>248</v>
      </c>
      <c r="I912" s="35">
        <f>IF(E911&lt;&gt;0,E911,0)</f>
        <v>24</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1</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77" t="s">
        <v>251</v>
      </c>
      <c r="H913" s="51" t="s">
        <v>252</v>
      </c>
      <c r="I913" s="112">
        <f>E912</f>
        <v>361</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78"/>
      <c r="H914" s="47" t="s">
        <v>257</v>
      </c>
      <c r="I914" s="35">
        <f>IF(E912="","0",IF(AND(E909="EUC",E910=432), I913+(203-E911),IF(E912=0,0,(E912+(E910-E911)-1))))</f>
        <v>480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785</v>
      </c>
      <c r="E919" s="32">
        <v>2</v>
      </c>
      <c r="F919" s="32" t="s">
        <v>488</v>
      </c>
      <c r="G919" s="68" t="s">
        <v>277</v>
      </c>
      <c r="H919" s="69">
        <f>IF(I919=0,0,I919-(E919-1))</f>
        <v>479</v>
      </c>
      <c r="I919" s="70">
        <f>IF(E919=0,0,I914)</f>
        <v>480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479-480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2</v>
      </c>
    </row>
    <row r="920" spans="1:53" ht="15.75" thickBot="1" x14ac:dyDescent="0.3">
      <c r="A920" s="88"/>
      <c r="B920" s="66" t="s">
        <v>279</v>
      </c>
      <c r="C920" s="67" t="s">
        <v>484</v>
      </c>
      <c r="D920" s="102" t="s">
        <v>786</v>
      </c>
      <c r="E920" s="32">
        <v>8</v>
      </c>
      <c r="F920" s="32" t="s">
        <v>488</v>
      </c>
      <c r="G920" s="68" t="s">
        <v>277</v>
      </c>
      <c r="H920" s="69">
        <f t="shared" ref="H920:H943" si="383">IF(E920=0,0,I920-(E920-1))</f>
        <v>471</v>
      </c>
      <c r="I920" s="70">
        <f t="shared" ref="I920:I943" si="384">IF(E920=0,0,H919-1)</f>
        <v>478</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0</v>
      </c>
      <c r="AE920" s="109" t="str">
        <f t="shared" si="376"/>
        <v>471-478</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10</v>
      </c>
    </row>
    <row r="921" spans="1:53" ht="15.75" thickBot="1" x14ac:dyDescent="0.3">
      <c r="A921" s="88"/>
      <c r="B921" s="74" t="s">
        <v>280</v>
      </c>
      <c r="C921" s="67" t="s">
        <v>484</v>
      </c>
      <c r="D921" s="102" t="s">
        <v>827</v>
      </c>
      <c r="E921" s="32">
        <v>2</v>
      </c>
      <c r="F921" s="32" t="s">
        <v>488</v>
      </c>
      <c r="G921" s="75" t="s">
        <v>277</v>
      </c>
      <c r="H921" s="69">
        <f t="shared" si="383"/>
        <v>469</v>
      </c>
      <c r="I921" s="70">
        <f t="shared" si="384"/>
        <v>470</v>
      </c>
      <c r="J921" s="73" t="str">
        <f t="shared" ref="J921:J943" si="385">IF(C921="","--",IF(AND(C921&lt;&gt;"FST",C921&lt;&gt;"TCF",BA920&lt;&gt;0),BA920,"--"))</f>
        <v>--</v>
      </c>
      <c r="K921" s="32">
        <v>500</v>
      </c>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0</v>
      </c>
      <c r="AE921" s="109" t="str">
        <f t="shared" si="376"/>
        <v>469-470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t="s">
        <v>494</v>
      </c>
      <c r="D922" s="102"/>
      <c r="E922" s="32">
        <v>12</v>
      </c>
      <c r="F922" s="32"/>
      <c r="G922" s="68" t="s">
        <v>277</v>
      </c>
      <c r="H922" s="69">
        <f t="shared" si="383"/>
        <v>457</v>
      </c>
      <c r="I922" s="70">
        <f t="shared" si="384"/>
        <v>468</v>
      </c>
      <c r="J922" s="73" t="str">
        <f t="shared" si="385"/>
        <v>--</v>
      </c>
      <c r="K922" s="32"/>
      <c r="L922" s="233"/>
      <c r="M922" s="295" t="s">
        <v>426</v>
      </c>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457-468</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1</v>
      </c>
      <c r="AN922" s="109">
        <f t="shared" si="380"/>
        <v>0</v>
      </c>
      <c r="AO922" s="109" t="str">
        <f t="shared" si="381"/>
        <v/>
      </c>
      <c r="AQ922" s="109" t="str">
        <f t="shared" si="382"/>
        <v/>
      </c>
      <c r="BA922" s="229">
        <f>MOD(SUM(E919:E923),12)</f>
        <v>0</v>
      </c>
    </row>
    <row r="923" spans="1:53" ht="15.75" thickBot="1" x14ac:dyDescent="0.3">
      <c r="A923" s="88"/>
      <c r="B923" s="66" t="s">
        <v>282</v>
      </c>
      <c r="C923" s="67" t="s">
        <v>502</v>
      </c>
      <c r="D923" s="102"/>
      <c r="E923" s="32">
        <v>96</v>
      </c>
      <c r="F923" s="32"/>
      <c r="G923" s="68" t="s">
        <v>277</v>
      </c>
      <c r="H923" s="69">
        <f t="shared" si="383"/>
        <v>361</v>
      </c>
      <c r="I923" s="70">
        <f t="shared" si="384"/>
        <v>456</v>
      </c>
      <c r="J923" s="73" t="str">
        <f t="shared" si="385"/>
        <v>--</v>
      </c>
      <c r="K923" s="32"/>
      <c r="L923" s="233"/>
      <c r="M923" s="295" t="s">
        <v>427</v>
      </c>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361-456</v>
      </c>
      <c r="AF923" s="109" t="str">
        <f t="shared" si="377"/>
        <v>N</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121</v>
      </c>
      <c r="X930" s="84"/>
      <c r="Y930" s="78">
        <f>SUM(E919:E930)</f>
        <v>120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121</v>
      </c>
      <c r="X931" s="84"/>
      <c r="Y931" s="78">
        <f>SUM(E919:E931)</f>
        <v>120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121</v>
      </c>
      <c r="X932" s="84"/>
      <c r="Y932" s="78">
        <f>SUM(E919:E932)</f>
        <v>120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121</v>
      </c>
      <c r="X933" s="84"/>
      <c r="Y933" s="78">
        <f>SUM(E919:E933)</f>
        <v>120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121</v>
      </c>
      <c r="X934" s="84"/>
      <c r="Y934" s="78">
        <f>SUM(E919:E934)</f>
        <v>120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121</v>
      </c>
      <c r="X935" s="84"/>
      <c r="Y935" s="78">
        <f>SUM(E919:E935)</f>
        <v>120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121</v>
      </c>
      <c r="X936" s="84"/>
      <c r="Y936" s="78">
        <f>SUM(E919:E936)</f>
        <v>120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121</v>
      </c>
      <c r="X937" s="84"/>
      <c r="Y937" s="78">
        <f>SUM(E919:E937)</f>
        <v>120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121</v>
      </c>
      <c r="X938" s="84"/>
      <c r="Y938" s="78">
        <f>SUM(E919:E938)</f>
        <v>120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121</v>
      </c>
      <c r="X939" s="84"/>
      <c r="Y939" s="78">
        <f>SUM(E919:E939)</f>
        <v>120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121</v>
      </c>
      <c r="X940" s="84"/>
      <c r="Y940" s="78">
        <f>SUM(E919:E940)</f>
        <v>120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121</v>
      </c>
      <c r="X941" s="84"/>
      <c r="Y941" s="78">
        <f>SUM(E919:E941)</f>
        <v>120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121</v>
      </c>
      <c r="X942" s="84"/>
      <c r="Y942" s="78">
        <f>SUM(E919:E942)</f>
        <v>120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120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22</v>
      </c>
      <c r="AM944" s="109">
        <f>SUM(AM919:AM943)</f>
        <v>1</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12</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0" t="s">
        <v>230</v>
      </c>
      <c r="H950" s="287"/>
      <c r="I950" s="33">
        <f>E951-I949</f>
        <v>12</v>
      </c>
      <c r="J950" s="301" t="s">
        <v>231</v>
      </c>
      <c r="K950" s="302"/>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309" t="s">
        <v>237</v>
      </c>
      <c r="H951" s="310"/>
      <c r="I951" s="35">
        <f>IF(E951=0,0,12-(MOD(I949,12)))</f>
        <v>12</v>
      </c>
      <c r="J951" s="301" t="s">
        <v>238</v>
      </c>
      <c r="K951" s="302"/>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77" t="s">
        <v>242</v>
      </c>
      <c r="H952" s="43" t="s">
        <v>243</v>
      </c>
      <c r="I952" s="35">
        <f>IF(E952&lt;&gt;0,1,0)</f>
        <v>1</v>
      </c>
      <c r="J952" s="309" t="s">
        <v>244</v>
      </c>
      <c r="K952" s="310"/>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278"/>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277" t="s">
        <v>251</v>
      </c>
      <c r="H954" s="51" t="s">
        <v>252</v>
      </c>
      <c r="I954" s="112">
        <f>E953</f>
        <v>457</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278"/>
      <c r="H955" s="47" t="s">
        <v>257</v>
      </c>
      <c r="I955" s="35">
        <f>IF(E953="","0",IF(AND(E950="EUC",E951=432), I954+(203-E952),IF(E953=0,0,(E953+(E951-E952)-1))))</f>
        <v>468</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795</v>
      </c>
      <c r="E960" s="32">
        <v>4</v>
      </c>
      <c r="F960" s="32" t="s">
        <v>488</v>
      </c>
      <c r="G960" s="68" t="s">
        <v>277</v>
      </c>
      <c r="H960" s="69">
        <f>IF(I960=0,0,I960-(E960-1))</f>
        <v>465</v>
      </c>
      <c r="I960" s="70">
        <f>IF(E960=0,0,I955)</f>
        <v>468</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465-468</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824</v>
      </c>
      <c r="E961" s="32">
        <v>8</v>
      </c>
      <c r="F961" s="32" t="s">
        <v>488</v>
      </c>
      <c r="G961" s="68" t="s">
        <v>277</v>
      </c>
      <c r="H961" s="69">
        <f t="shared" ref="H961:H984" si="400">IF(E961=0,0,I961-(E961-1))</f>
        <v>457</v>
      </c>
      <c r="I961" s="70">
        <f t="shared" ref="I961:I984" si="401">IF(E961=0,0,H960-1)</f>
        <v>464</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0</v>
      </c>
      <c r="AE961" s="109" t="str">
        <f t="shared" si="393"/>
        <v>457-464</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96</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0" t="s">
        <v>230</v>
      </c>
      <c r="H991" s="287"/>
      <c r="I991" s="33">
        <f>E992-I990</f>
        <v>48</v>
      </c>
      <c r="J991" s="301" t="s">
        <v>231</v>
      </c>
      <c r="K991" s="302"/>
      <c r="L991" s="34">
        <f>I995</f>
        <v>361</v>
      </c>
      <c r="M991" s="196">
        <v>4</v>
      </c>
      <c r="N991" s="35">
        <f>SUM(AI991,AI1002)</f>
        <v>0</v>
      </c>
      <c r="O991" s="35">
        <v>0</v>
      </c>
      <c r="P991" s="35">
        <f>SUM(AJ991,AJ1002)</f>
        <v>4</v>
      </c>
      <c r="Q991" s="35">
        <v>0</v>
      </c>
      <c r="R991" s="35">
        <f>COUNTIFS($E1001:$E1025,"4",$F1001:$F1025,"Pole",$C1001:$C1025,"FST")</f>
        <v>4</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f>IF($E991="RPX",COUNTIFS($C1001:$C1025,"FST",$E1001:$E1025,"4"),"0")</f>
        <v>4</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309" t="s">
        <v>237</v>
      </c>
      <c r="H992" s="310"/>
      <c r="I992" s="35">
        <f>IF(E992=0,0,12-(MOD(I990,12)))</f>
        <v>12</v>
      </c>
      <c r="J992" s="301" t="s">
        <v>238</v>
      </c>
      <c r="K992" s="302"/>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277" t="s">
        <v>242</v>
      </c>
      <c r="H993" s="43" t="s">
        <v>243</v>
      </c>
      <c r="I993" s="35">
        <f>IF(E993&lt;&gt;0,1,0)</f>
        <v>1</v>
      </c>
      <c r="J993" s="309" t="s">
        <v>244</v>
      </c>
      <c r="K993" s="310"/>
      <c r="L993" s="44">
        <f>'Cable Calculator'!DT3</f>
        <v>2819</v>
      </c>
      <c r="M993" s="196">
        <v>8</v>
      </c>
      <c r="N993" s="35">
        <f>SUM(AI993,AI1004)</f>
        <v>0</v>
      </c>
      <c r="O993" s="35">
        <v>0</v>
      </c>
      <c r="P993" s="35">
        <f>SUM(AJ993,AJ1004)</f>
        <v>1</v>
      </c>
      <c r="Q993" s="35">
        <v>0</v>
      </c>
      <c r="R993" s="35">
        <f>COUNTIFS($E1001:$E1025,"8",$F1001:$F1025,"Pole",$C1001:$C1025,"FST")</f>
        <v>1</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1</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278"/>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277" t="s">
        <v>251</v>
      </c>
      <c r="H995" s="51" t="s">
        <v>252</v>
      </c>
      <c r="I995" s="112">
        <f>E994</f>
        <v>361</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78"/>
      <c r="H996" s="47" t="s">
        <v>257</v>
      </c>
      <c r="I996" s="35">
        <f>IF(E994="","0",IF(AND(E991="EUC",E992=432), I995+(203-E993),IF(E994=0,0,(E994+(E992-E993)-1))))</f>
        <v>456</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4</v>
      </c>
      <c r="F1001" s="32" t="s">
        <v>483</v>
      </c>
      <c r="G1001" s="68" t="s">
        <v>277</v>
      </c>
      <c r="H1001" s="69">
        <f>IF(I1001=0,0,I1001-(E1001-1))</f>
        <v>453</v>
      </c>
      <c r="I1001" s="70">
        <f>IF(E1001=0,0,I996)</f>
        <v>456</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453-456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810</v>
      </c>
      <c r="E1002" s="32">
        <v>4</v>
      </c>
      <c r="F1002" s="32" t="s">
        <v>483</v>
      </c>
      <c r="G1002" s="68" t="s">
        <v>277</v>
      </c>
      <c r="H1002" s="69">
        <f t="shared" ref="H1002:H1025" si="417">IF(E1002=0,0,I1002-(E1002-1))</f>
        <v>449</v>
      </c>
      <c r="I1002" s="70">
        <f t="shared" ref="I1002:I1025" si="418">IF(E1002=0,0,H1001-1)</f>
        <v>452</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0</v>
      </c>
      <c r="AE1002" s="109" t="str">
        <f t="shared" si="410"/>
        <v>449-452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811</v>
      </c>
      <c r="E1003" s="32">
        <v>4</v>
      </c>
      <c r="F1003" s="32" t="s">
        <v>483</v>
      </c>
      <c r="G1003" s="75" t="s">
        <v>277</v>
      </c>
      <c r="H1003" s="69">
        <f t="shared" si="417"/>
        <v>445</v>
      </c>
      <c r="I1003" s="70">
        <f t="shared" si="418"/>
        <v>448</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0</v>
      </c>
      <c r="AE1003" s="109" t="str">
        <f t="shared" si="410"/>
        <v>445-448</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4</v>
      </c>
    </row>
    <row r="1004" spans="1:53" ht="15.75" thickBot="1" x14ac:dyDescent="0.3">
      <c r="A1004" s="88"/>
      <c r="B1004" s="66" t="s">
        <v>281</v>
      </c>
      <c r="C1004" s="67" t="s">
        <v>484</v>
      </c>
      <c r="D1004" s="102" t="s">
        <v>812</v>
      </c>
      <c r="E1004" s="32">
        <v>4</v>
      </c>
      <c r="F1004" s="32" t="s">
        <v>483</v>
      </c>
      <c r="G1004" s="68" t="s">
        <v>277</v>
      </c>
      <c r="H1004" s="69">
        <f t="shared" si="417"/>
        <v>441</v>
      </c>
      <c r="I1004" s="70">
        <f t="shared" si="418"/>
        <v>444</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0</v>
      </c>
      <c r="AE1004" s="109" t="str">
        <f t="shared" si="410"/>
        <v>441-444</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813</v>
      </c>
      <c r="E1005" s="32">
        <v>8</v>
      </c>
      <c r="F1005" s="32" t="s">
        <v>483</v>
      </c>
      <c r="G1005" s="68" t="s">
        <v>277</v>
      </c>
      <c r="H1005" s="69">
        <f t="shared" si="417"/>
        <v>433</v>
      </c>
      <c r="I1005" s="70">
        <f t="shared" si="418"/>
        <v>440</v>
      </c>
      <c r="J1005" s="73" t="str">
        <f t="shared" si="419"/>
        <v>--</v>
      </c>
      <c r="K1005" s="32">
        <v>1000</v>
      </c>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433-440</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72</v>
      </c>
      <c r="F1006" s="32"/>
      <c r="G1006" s="68" t="s">
        <v>277</v>
      </c>
      <c r="H1006" s="69">
        <f t="shared" si="417"/>
        <v>361</v>
      </c>
      <c r="I1006" s="70">
        <f t="shared" si="418"/>
        <v>432</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361-432</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t="s">
        <v>428</v>
      </c>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20</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72</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0" t="s">
        <v>230</v>
      </c>
      <c r="H1032" s="287"/>
      <c r="I1032" s="33">
        <f>E1033-I1031</f>
        <v>0</v>
      </c>
      <c r="J1032" s="301" t="s">
        <v>231</v>
      </c>
      <c r="K1032" s="302"/>
      <c r="L1032" s="34">
        <f>I1036</f>
        <v>361</v>
      </c>
      <c r="M1032" s="196">
        <v>4</v>
      </c>
      <c r="N1032" s="35">
        <f>SUM(AI1032,AI1043)</f>
        <v>0</v>
      </c>
      <c r="O1032" s="35">
        <v>0</v>
      </c>
      <c r="P1032" s="35">
        <f>SUM(AJ1032,AJ1043)</f>
        <v>5</v>
      </c>
      <c r="Q1032" s="35">
        <v>0</v>
      </c>
      <c r="R1032" s="35">
        <f>COUNTIFS($E1042:$E1066,"4",$F1042:$F1066,"Pole",$C1042:$C1066,"FST")</f>
        <v>5</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f>IF($E1032="RPX",COUNTIFS($C1042:$C1066,"FST",$E1042:$E1066,"4"),"0")</f>
        <v>5</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309" t="s">
        <v>237</v>
      </c>
      <c r="H1033" s="310"/>
      <c r="I1033" s="35">
        <f>IF(E1033=0,0,12-(MOD(I1031,12)))</f>
        <v>12</v>
      </c>
      <c r="J1033" s="301" t="s">
        <v>238</v>
      </c>
      <c r="K1033" s="302"/>
      <c r="L1033" s="39">
        <f>I1037-I1031</f>
        <v>360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277" t="s">
        <v>242</v>
      </c>
      <c r="H1034" s="43" t="s">
        <v>243</v>
      </c>
      <c r="I1034" s="35">
        <f>IF(E1034&lt;&gt;0,1,0)</f>
        <v>0</v>
      </c>
      <c r="J1034" s="309" t="s">
        <v>244</v>
      </c>
      <c r="K1034" s="310"/>
      <c r="L1034" s="44">
        <f>'Cable Calculator'!DY3</f>
        <v>2861</v>
      </c>
      <c r="M1034" s="196">
        <v>8</v>
      </c>
      <c r="N1034" s="35">
        <f>SUM(AI1034,AI1045)</f>
        <v>0</v>
      </c>
      <c r="O1034" s="35">
        <v>0</v>
      </c>
      <c r="P1034" s="35">
        <f>SUM(AJ1034,AJ1045)</f>
        <v>2</v>
      </c>
      <c r="Q1034" s="35">
        <v>0</v>
      </c>
      <c r="R1034" s="35">
        <f>COUNTIFS($E1042:$E1066,"8",$F1042:$F1066,"Pole",$C1042:$C1066,"FST")</f>
        <v>2</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2</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361</v>
      </c>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277" t="s">
        <v>251</v>
      </c>
      <c r="H1036" s="51" t="s">
        <v>252</v>
      </c>
      <c r="I1036" s="112">
        <f>E1035</f>
        <v>361</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278"/>
      <c r="H1037" s="47" t="s">
        <v>257</v>
      </c>
      <c r="I1037" s="35">
        <f>IF(E1035="","0",IF(AND(E1032="EUC",E1033=432), I1036+(203-E1034),IF(E1035=0,0,(E1035+(E1033-E1034)-1))))</f>
        <v>432</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72</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802</v>
      </c>
      <c r="E1042" s="32">
        <v>8</v>
      </c>
      <c r="F1042" s="32" t="s">
        <v>483</v>
      </c>
      <c r="G1042" s="68" t="s">
        <v>277</v>
      </c>
      <c r="H1042" s="69">
        <f>IF(I1042=0,0,I1042-(E1042-1))</f>
        <v>425</v>
      </c>
      <c r="I1042" s="70">
        <f>IF(E1042=0,0,I1037)</f>
        <v>432</v>
      </c>
      <c r="J1042" s="71" t="s">
        <v>278</v>
      </c>
      <c r="K1042" s="32">
        <v>1000</v>
      </c>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425-432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8</v>
      </c>
    </row>
    <row r="1043" spans="1:53" ht="15.75" thickBot="1" x14ac:dyDescent="0.3">
      <c r="A1043" s="88"/>
      <c r="B1043" s="66" t="s">
        <v>279</v>
      </c>
      <c r="C1043" s="67" t="s">
        <v>484</v>
      </c>
      <c r="D1043" s="102" t="s">
        <v>803</v>
      </c>
      <c r="E1043" s="32">
        <v>4</v>
      </c>
      <c r="F1043" s="32" t="s">
        <v>483</v>
      </c>
      <c r="G1043" s="68" t="s">
        <v>277</v>
      </c>
      <c r="H1043" s="69">
        <f t="shared" ref="H1043:H1066" si="434">IF(E1043=0,0,I1043-(E1043-1))</f>
        <v>421</v>
      </c>
      <c r="I1043" s="70">
        <f t="shared" ref="I1043:I1066" si="435">IF(E1043=0,0,H1042-1)</f>
        <v>424</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0</v>
      </c>
      <c r="AE1043" s="109" t="str">
        <f t="shared" si="427"/>
        <v>421-424</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t="s">
        <v>484</v>
      </c>
      <c r="D1044" s="102" t="s">
        <v>804</v>
      </c>
      <c r="E1044" s="32">
        <v>4</v>
      </c>
      <c r="F1044" s="32" t="s">
        <v>483</v>
      </c>
      <c r="G1044" s="75" t="s">
        <v>277</v>
      </c>
      <c r="H1044" s="69">
        <f t="shared" si="434"/>
        <v>417</v>
      </c>
      <c r="I1044" s="70">
        <f t="shared" si="435"/>
        <v>420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0</v>
      </c>
      <c r="AE1044" s="109" t="str">
        <f t="shared" si="427"/>
        <v>417-420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8</v>
      </c>
    </row>
    <row r="1045" spans="1:53" ht="15.75" thickBot="1" x14ac:dyDescent="0.3">
      <c r="A1045" s="88"/>
      <c r="B1045" s="66" t="s">
        <v>281</v>
      </c>
      <c r="C1045" s="67" t="s">
        <v>484</v>
      </c>
      <c r="D1045" s="102" t="s">
        <v>805</v>
      </c>
      <c r="E1045" s="32">
        <v>4</v>
      </c>
      <c r="F1045" s="32" t="s">
        <v>483</v>
      </c>
      <c r="G1045" s="68" t="s">
        <v>277</v>
      </c>
      <c r="H1045" s="69">
        <f t="shared" si="434"/>
        <v>413</v>
      </c>
      <c r="I1045" s="70">
        <f t="shared" si="435"/>
        <v>416</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0</v>
      </c>
      <c r="AE1045" s="109" t="str">
        <f t="shared" si="427"/>
        <v>413-416</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806</v>
      </c>
      <c r="E1046" s="32">
        <v>4</v>
      </c>
      <c r="F1046" s="32" t="s">
        <v>483</v>
      </c>
      <c r="G1046" s="68" t="s">
        <v>277</v>
      </c>
      <c r="H1046" s="69">
        <f t="shared" si="434"/>
        <v>409</v>
      </c>
      <c r="I1046" s="70">
        <f t="shared" si="435"/>
        <v>412</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409-412</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4</v>
      </c>
    </row>
    <row r="1047" spans="1:53" ht="15.75" thickBot="1" x14ac:dyDescent="0.3">
      <c r="A1047" s="88"/>
      <c r="B1047" s="66" t="s">
        <v>283</v>
      </c>
      <c r="C1047" s="67" t="s">
        <v>484</v>
      </c>
      <c r="D1047" s="102" t="s">
        <v>807</v>
      </c>
      <c r="E1047" s="32">
        <v>4</v>
      </c>
      <c r="F1047" s="32" t="s">
        <v>483</v>
      </c>
      <c r="G1047" s="68" t="s">
        <v>277</v>
      </c>
      <c r="H1047" s="69">
        <f t="shared" si="434"/>
        <v>405</v>
      </c>
      <c r="I1047" s="70">
        <f t="shared" si="435"/>
        <v>408</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0</v>
      </c>
      <c r="AE1047" s="109" t="str">
        <f t="shared" si="427"/>
        <v>405-408</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t="s">
        <v>484</v>
      </c>
      <c r="D1048" s="102" t="s">
        <v>808</v>
      </c>
      <c r="E1048" s="32">
        <v>8</v>
      </c>
      <c r="F1048" s="32" t="s">
        <v>483</v>
      </c>
      <c r="G1048" s="68" t="s">
        <v>277</v>
      </c>
      <c r="H1048" s="69">
        <f t="shared" si="434"/>
        <v>397</v>
      </c>
      <c r="I1048" s="70">
        <f t="shared" si="435"/>
        <v>404</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0</v>
      </c>
      <c r="AE1048" s="109" t="str">
        <f t="shared" si="427"/>
        <v>397-404</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t="s">
        <v>500</v>
      </c>
      <c r="D1049" s="102"/>
      <c r="E1049" s="32">
        <v>12</v>
      </c>
      <c r="F1049" s="32"/>
      <c r="G1049" s="68" t="s">
        <v>277</v>
      </c>
      <c r="H1049" s="69">
        <f t="shared" si="434"/>
        <v>385</v>
      </c>
      <c r="I1049" s="70">
        <f t="shared" si="435"/>
        <v>396</v>
      </c>
      <c r="J1049" s="73" t="str">
        <f t="shared" si="436"/>
        <v>--</v>
      </c>
      <c r="K1049" s="32"/>
      <c r="L1049" s="233"/>
      <c r="M1049" s="330" t="s">
        <v>429</v>
      </c>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385-396</v>
      </c>
      <c r="AF1049" s="109" t="str">
        <f t="shared" si="428"/>
        <v>Y</v>
      </c>
      <c r="AG1049" s="109" t="str">
        <f t="shared" si="429"/>
        <v>A</v>
      </c>
      <c r="AM1049" s="109">
        <f t="shared" si="430"/>
        <v>0</v>
      </c>
      <c r="AN1049" s="109">
        <f t="shared" si="431"/>
        <v>0</v>
      </c>
      <c r="AO1049" s="109" t="str">
        <f t="shared" si="432"/>
        <v>Y</v>
      </c>
      <c r="AQ1049" s="109" t="str">
        <f t="shared" si="433"/>
        <v/>
      </c>
      <c r="BA1049" s="229">
        <f>MOD(SUM(E1042:E1050),12)</f>
        <v>0</v>
      </c>
    </row>
    <row r="1050" spans="1:53" ht="15.75" thickBot="1" x14ac:dyDescent="0.3">
      <c r="A1050" s="88"/>
      <c r="B1050" s="66" t="s">
        <v>286</v>
      </c>
      <c r="C1050" s="67" t="s">
        <v>500</v>
      </c>
      <c r="D1050" s="102"/>
      <c r="E1050" s="32">
        <v>12</v>
      </c>
      <c r="F1050" s="32"/>
      <c r="G1050" s="68" t="s">
        <v>277</v>
      </c>
      <c r="H1050" s="69">
        <f t="shared" si="434"/>
        <v>373</v>
      </c>
      <c r="I1050" s="70">
        <f t="shared" si="435"/>
        <v>384</v>
      </c>
      <c r="J1050" s="73" t="str">
        <f t="shared" si="436"/>
        <v>--</v>
      </c>
      <c r="K1050" s="32"/>
      <c r="L1050" s="233"/>
      <c r="M1050" s="330" t="s">
        <v>429</v>
      </c>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373-384</v>
      </c>
      <c r="AF1050" s="109" t="str">
        <f t="shared" si="428"/>
        <v>Y</v>
      </c>
      <c r="AG1050" s="109" t="str">
        <f t="shared" si="429"/>
        <v>A</v>
      </c>
      <c r="AM1050" s="109">
        <f t="shared" si="430"/>
        <v>0</v>
      </c>
      <c r="AN1050" s="109">
        <f t="shared" si="431"/>
        <v>0</v>
      </c>
      <c r="AO1050" s="109" t="str">
        <f t="shared" si="432"/>
        <v>Y</v>
      </c>
      <c r="AQ1050" s="109" t="str">
        <f t="shared" si="433"/>
        <v/>
      </c>
      <c r="BA1050" s="229">
        <f>MOD(SUM(E1042:E1051),12)</f>
        <v>0</v>
      </c>
    </row>
    <row r="1051" spans="1:53" ht="15.75" thickBot="1" x14ac:dyDescent="0.3">
      <c r="A1051" s="88"/>
      <c r="B1051" s="66" t="s">
        <v>287</v>
      </c>
      <c r="C1051" s="67" t="s">
        <v>500</v>
      </c>
      <c r="D1051" s="102"/>
      <c r="E1051" s="32">
        <v>12</v>
      </c>
      <c r="F1051" s="32"/>
      <c r="G1051" s="68" t="s">
        <v>277</v>
      </c>
      <c r="H1051" s="69">
        <f t="shared" si="434"/>
        <v>361</v>
      </c>
      <c r="I1051" s="70">
        <f t="shared" si="435"/>
        <v>372</v>
      </c>
      <c r="J1051" s="73" t="str">
        <f t="shared" si="436"/>
        <v>--</v>
      </c>
      <c r="K1051" s="32"/>
      <c r="L1051" s="233"/>
      <c r="M1051" s="330" t="s">
        <v>429</v>
      </c>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361-372</v>
      </c>
      <c r="AF1051" s="109" t="str">
        <f t="shared" si="428"/>
        <v>Y</v>
      </c>
      <c r="AG1051" s="109" t="str">
        <f t="shared" si="429"/>
        <v>A</v>
      </c>
      <c r="AM1051" s="109">
        <f t="shared" si="430"/>
        <v>0</v>
      </c>
      <c r="AN1051" s="109">
        <f t="shared" si="431"/>
        <v>0</v>
      </c>
      <c r="AO1051" s="109" t="str">
        <f t="shared" si="432"/>
        <v>Y</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73</v>
      </c>
      <c r="X1053" s="84"/>
      <c r="Y1053" s="78">
        <f>SUM(E1042:E1053)</f>
        <v>72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73</v>
      </c>
      <c r="X1054" s="84"/>
      <c r="Y1054" s="78">
        <f>SUM(E1042:E1054)</f>
        <v>72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73</v>
      </c>
      <c r="X1055" s="84"/>
      <c r="Y1055" s="78">
        <f>SUM(E1042:E1055)</f>
        <v>72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73</v>
      </c>
      <c r="X1056" s="84"/>
      <c r="Y1056" s="78">
        <f>SUM(E1042:E1056)</f>
        <v>72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73</v>
      </c>
      <c r="X1057" s="84"/>
      <c r="Y1057" s="78">
        <f>SUM(E1042:E1057)</f>
        <v>72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73</v>
      </c>
      <c r="X1058" s="84"/>
      <c r="Y1058" s="78">
        <f>SUM(E1042:E1058)</f>
        <v>72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73</v>
      </c>
      <c r="X1059" s="84"/>
      <c r="Y1059" s="78">
        <f>SUM(E1042:E1059)</f>
        <v>72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73</v>
      </c>
      <c r="X1060" s="84"/>
      <c r="Y1060" s="78">
        <f>SUM(E1042:E1060)</f>
        <v>72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73</v>
      </c>
      <c r="X1061" s="84"/>
      <c r="Y1061" s="78">
        <f>SUM(E1042:E1061)</f>
        <v>72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73</v>
      </c>
      <c r="X1062" s="84"/>
      <c r="Y1062" s="78">
        <f>SUM(E1042:E1062)</f>
        <v>72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73</v>
      </c>
      <c r="X1063" s="84"/>
      <c r="Y1063" s="78">
        <f>SUM(E1042:E1063)</f>
        <v>72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73</v>
      </c>
      <c r="X1064" s="84"/>
      <c r="Y1064" s="78">
        <f>SUM(E1042:E1064)</f>
        <v>72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73</v>
      </c>
      <c r="X1065" s="84"/>
      <c r="Y1065" s="78">
        <f>SUM(E1042:E1065)</f>
        <v>72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72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18</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36</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0" t="s">
        <v>230</v>
      </c>
      <c r="H1073" s="287"/>
      <c r="I1073" s="33">
        <f>E1074-I1072</f>
        <v>12</v>
      </c>
      <c r="J1073" s="301" t="s">
        <v>231</v>
      </c>
      <c r="K1073" s="302"/>
      <c r="L1073" s="34">
        <f>I1077</f>
        <v>361</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309" t="s">
        <v>237</v>
      </c>
      <c r="H1074" s="310"/>
      <c r="I1074" s="35">
        <f>IF(E1074=0,0,12-(MOD(I1072,12)))</f>
        <v>12</v>
      </c>
      <c r="J1074" s="301" t="s">
        <v>238</v>
      </c>
      <c r="K1074" s="302"/>
      <c r="L1074" s="39">
        <f>I1078-I1072</f>
        <v>360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277" t="s">
        <v>242</v>
      </c>
      <c r="H1075" s="43" t="s">
        <v>243</v>
      </c>
      <c r="I1075" s="35">
        <f>IF(E1075&lt;&gt;0,1,0)</f>
        <v>1</v>
      </c>
      <c r="J1075" s="309" t="s">
        <v>244</v>
      </c>
      <c r="K1075" s="310"/>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361</v>
      </c>
      <c r="F1076" s="88"/>
      <c r="G1076" s="278"/>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277" t="s">
        <v>251</v>
      </c>
      <c r="H1077" s="51" t="s">
        <v>252</v>
      </c>
      <c r="I1077" s="112">
        <f>E1076</f>
        <v>361</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278"/>
      <c r="H1078" s="47" t="s">
        <v>257</v>
      </c>
      <c r="I1078" s="35">
        <f>IF(E1076="","0",IF(AND(E1073="EUC",E1074=432), I1077+(203-E1075),IF(E1076=0,0,(E1076+(E1074-E1075)-1))))</f>
        <v>396</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385</v>
      </c>
      <c r="I1083" s="70">
        <f>IF(E1083=0,0,I1078)</f>
        <v>396</v>
      </c>
      <c r="J1083" s="71" t="s">
        <v>278</v>
      </c>
      <c r="K1083" s="32"/>
      <c r="L1083" s="233"/>
      <c r="M1083" s="295" t="s">
        <v>430</v>
      </c>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385-396</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0.5</v>
      </c>
      <c r="AN1083" s="109">
        <f t="shared" ref="AN1083:AN1107" si="448">VALUE(IF(C1083="FST","0",IF(C1083="REV T","0",IF(C1083="DBL REV",".5","0"))))</f>
        <v>0.5</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51">IF(E1084=0,0,I1084-(E1084-1))</f>
        <v>373</v>
      </c>
      <c r="I1084" s="70">
        <f t="shared" ref="I1084:I1107" si="452">IF(E1084=0,0,H1083-1)</f>
        <v>384</v>
      </c>
      <c r="J1084" s="73" t="str">
        <f>IF(C1084="","--",IF(AND(C1084&lt;&gt;"FST",C1084&lt;&gt;"TCF",BA1083&lt;&gt;0),BA1083,"--"))</f>
        <v>--</v>
      </c>
      <c r="K1084" s="32"/>
      <c r="L1084" s="233"/>
      <c r="M1084" s="295" t="s">
        <v>430</v>
      </c>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373-384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0.5</v>
      </c>
      <c r="AN1084" s="109">
        <f t="shared" si="448"/>
        <v>0.5</v>
      </c>
      <c r="AO1084" s="109" t="str">
        <f t="shared" si="449"/>
        <v/>
      </c>
      <c r="AQ1084" s="109" t="str">
        <f t="shared" si="450"/>
        <v/>
      </c>
      <c r="BA1084" s="229">
        <f>MOD(SUM(E1083:E1084),12)</f>
        <v>0</v>
      </c>
    </row>
    <row r="1085" spans="1:53" ht="15.75" thickBot="1" x14ac:dyDescent="0.3">
      <c r="A1085" s="88"/>
      <c r="B1085" s="74" t="s">
        <v>280</v>
      </c>
      <c r="C1085" s="67" t="s">
        <v>484</v>
      </c>
      <c r="D1085" s="102" t="s">
        <v>799</v>
      </c>
      <c r="E1085" s="32">
        <v>4</v>
      </c>
      <c r="F1085" s="32" t="s">
        <v>483</v>
      </c>
      <c r="G1085" s="75" t="s">
        <v>277</v>
      </c>
      <c r="H1085" s="69">
        <f t="shared" si="451"/>
        <v>369</v>
      </c>
      <c r="I1085" s="70">
        <f t="shared" si="452"/>
        <v>372</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0</v>
      </c>
      <c r="AE1085" s="109" t="str">
        <f t="shared" si="444"/>
        <v>369-372</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8</v>
      </c>
    </row>
    <row r="1086" spans="1:53" ht="15.75" thickBot="1" x14ac:dyDescent="0.3">
      <c r="A1086" s="88"/>
      <c r="B1086" s="66" t="s">
        <v>281</v>
      </c>
      <c r="C1086" s="67" t="s">
        <v>484</v>
      </c>
      <c r="D1086" s="102" t="s">
        <v>800</v>
      </c>
      <c r="E1086" s="32">
        <v>4</v>
      </c>
      <c r="F1086" s="32" t="s">
        <v>483</v>
      </c>
      <c r="G1086" s="68" t="s">
        <v>277</v>
      </c>
      <c r="H1086" s="69">
        <f t="shared" si="451"/>
        <v>365</v>
      </c>
      <c r="I1086" s="70">
        <f t="shared" si="452"/>
        <v>368</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0</v>
      </c>
      <c r="AE1086" s="109" t="str">
        <f t="shared" si="444"/>
        <v>365-368</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801</v>
      </c>
      <c r="E1087" s="32">
        <v>4</v>
      </c>
      <c r="F1087" s="32" t="s">
        <v>483</v>
      </c>
      <c r="G1087" s="68" t="s">
        <v>277</v>
      </c>
      <c r="H1087" s="69">
        <f t="shared" si="451"/>
        <v>361</v>
      </c>
      <c r="I1087" s="70">
        <f t="shared" si="452"/>
        <v>364</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361-364</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37</v>
      </c>
      <c r="X1094" s="84"/>
      <c r="Y1094" s="78">
        <f>SUM(E1083:E1094)</f>
        <v>36</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37</v>
      </c>
      <c r="X1095" s="84"/>
      <c r="Y1095" s="78">
        <f>SUM(E1083:E1095)</f>
        <v>36</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37</v>
      </c>
      <c r="X1096" s="84"/>
      <c r="Y1096" s="78">
        <f>SUM(E1083:E1096)</f>
        <v>36</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37</v>
      </c>
      <c r="X1097" s="84"/>
      <c r="Y1097" s="78">
        <f>SUM(E1083:E1097)</f>
        <v>36</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37</v>
      </c>
      <c r="X1098" s="84"/>
      <c r="Y1098" s="78">
        <f>SUM(E1083:E1098)</f>
        <v>36</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37</v>
      </c>
      <c r="X1099" s="84"/>
      <c r="Y1099" s="78">
        <f>SUM(E1083:E1099)</f>
        <v>36</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37</v>
      </c>
      <c r="X1100" s="84"/>
      <c r="Y1100" s="78">
        <f>SUM(E1083:E1100)</f>
        <v>36</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37</v>
      </c>
      <c r="X1101" s="84"/>
      <c r="Y1101" s="78">
        <f>SUM(E1083:E1101)</f>
        <v>36</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37</v>
      </c>
      <c r="X1102" s="84"/>
      <c r="Y1102" s="78">
        <f>SUM(E1083:E1102)</f>
        <v>36</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37</v>
      </c>
      <c r="X1103" s="84"/>
      <c r="Y1103" s="78">
        <f>SUM(E1083:E1103)</f>
        <v>36</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37</v>
      </c>
      <c r="X1104" s="84"/>
      <c r="Y1104" s="78">
        <f>SUM(E1083:E1104)</f>
        <v>36</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37</v>
      </c>
      <c r="X1105" s="84"/>
      <c r="Y1105" s="78">
        <f>SUM(E1083:E1105)</f>
        <v>36</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37</v>
      </c>
      <c r="X1106" s="84"/>
      <c r="Y1106" s="78">
        <f>SUM(E1083:E1106)</f>
        <v>36</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36</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24</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0" t="s">
        <v>230</v>
      </c>
      <c r="H1114" s="287"/>
      <c r="I1114" s="33">
        <f>E1115-I1113</f>
        <v>0</v>
      </c>
      <c r="J1114" s="301" t="s">
        <v>231</v>
      </c>
      <c r="K1114" s="302"/>
      <c r="L1114" s="34">
        <f>I1118</f>
        <v>373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309" t="s">
        <v>237</v>
      </c>
      <c r="H1115" s="310"/>
      <c r="I1115" s="35">
        <f>IF(E1115=0,0,12-(MOD(I1113,12)))</f>
        <v>12</v>
      </c>
      <c r="J1115" s="301" t="s">
        <v>238</v>
      </c>
      <c r="K1115" s="302"/>
      <c r="L1115" s="39">
        <f>I1119-I1113</f>
        <v>372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277" t="s">
        <v>242</v>
      </c>
      <c r="H1116" s="43" t="s">
        <v>243</v>
      </c>
      <c r="I1116" s="35">
        <f>IF(E1116&lt;&gt;0,1,0)</f>
        <v>0</v>
      </c>
      <c r="J1116" s="309" t="s">
        <v>244</v>
      </c>
      <c r="K1116" s="310"/>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373</v>
      </c>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277" t="s">
        <v>251</v>
      </c>
      <c r="H1118" s="51" t="s">
        <v>252</v>
      </c>
      <c r="I1118" s="112">
        <f>E1117</f>
        <v>373</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278"/>
      <c r="H1119" s="47" t="s">
        <v>257</v>
      </c>
      <c r="I1119" s="35">
        <f>IF(E1117="","0",IF(AND(E1114="EUC",E1115=432), I1118+(203-E1116),IF(E1117=0,0,(E1117+(E1115-E1116)-1))))</f>
        <v>396</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797</v>
      </c>
      <c r="E1124" s="32">
        <v>4</v>
      </c>
      <c r="F1124" s="32" t="s">
        <v>488</v>
      </c>
      <c r="G1124" s="68" t="s">
        <v>277</v>
      </c>
      <c r="H1124" s="69">
        <f>IF(I1124=0,0,I1124-(E1124-1))</f>
        <v>393</v>
      </c>
      <c r="I1124" s="70">
        <f>IF(E1124=0,0,I1119)</f>
        <v>396</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393-396</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796</v>
      </c>
      <c r="E1125" s="32">
        <v>8</v>
      </c>
      <c r="F1125" s="32" t="s">
        <v>488</v>
      </c>
      <c r="G1125" s="68" t="s">
        <v>277</v>
      </c>
      <c r="H1125" s="69">
        <f t="shared" ref="H1125:H1148" si="468">IF(E1125=0,0,I1125-(E1125-1))</f>
        <v>385</v>
      </c>
      <c r="I1125" s="70">
        <f t="shared" ref="I1125:I1148" si="469">IF(E1125=0,0,H1124-1)</f>
        <v>392</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0</v>
      </c>
      <c r="AE1125" s="109" t="str">
        <f t="shared" si="461"/>
        <v>385-392</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484</v>
      </c>
      <c r="D1126" s="102" t="s">
        <v>798</v>
      </c>
      <c r="E1126" s="32">
        <v>12</v>
      </c>
      <c r="F1126" s="32" t="s">
        <v>488</v>
      </c>
      <c r="G1126" s="75" t="s">
        <v>277</v>
      </c>
      <c r="H1126" s="69">
        <f t="shared" si="468"/>
        <v>373</v>
      </c>
      <c r="I1126" s="70">
        <f t="shared" si="469"/>
        <v>384</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0</v>
      </c>
      <c r="AE1126" s="109" t="str">
        <f t="shared" si="461"/>
        <v>373-384</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53077.19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8202.82</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3531.08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54</v>
      </c>
      <c r="F2" s="186">
        <f>PRODUCT(D2:E2)</f>
        <v>6056.1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14</v>
      </c>
      <c r="K2" s="180">
        <f>COUNTIFS('Assignment Tool'!$E$17:$E$2050, "4",'Assignment Tool'!$F$17:$F$2050,"PED", 'Assignment Tool'!$C$17:$C$2050, "FST",'Assignment Tool'!$K$17:$K$2050,"")</f>
        <v>0</v>
      </c>
      <c r="L2" s="180">
        <f>COUNTIFS('Assignment Tool'!$E$17:$E$2050, "4",'Assignment Tool'!$F$17:$F$2050,"HH", 'Assignment Tool'!$C$17:$C$2050, "FST",'Assignment Tool'!$K$17:$K$2050,"")</f>
        <v>36</v>
      </c>
      <c r="N2" s="181">
        <f>PRODUCT(SUM(G2,J2),D2)</f>
        <v>1570.1000000000001</v>
      </c>
      <c r="O2" s="180">
        <f>PRODUCT(SUM(H2:I2,K2:L2),D2)</f>
        <v>4486</v>
      </c>
      <c r="P2" s="183">
        <f>SUM(N2:N5,F11:F16,F27:F36,F43:F46,F51:F54,N88:N135)</f>
        <v>8202.82</v>
      </c>
      <c r="Q2" s="182">
        <f>SUM(O2:O5,F17:F26,F37:F42,F47:F50,F55:F58,F60:F67,O88:O135)</f>
        <v>53077.19</v>
      </c>
      <c r="R2" s="126">
        <f>SUM(F69:F71)</f>
        <v>3531.08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3</v>
      </c>
      <c r="H4" s="180">
        <f>COUNTIFS('Assignment Tool'!$E$17:$E$2050, "8", 'Assignment Tool'!$F$17:$F$2050, "PED", 'Assignment Tool'!$C$17:$C$2050, "FST",'Assignment Tool'!$K$17:$K$2050,"")</f>
        <v>0</v>
      </c>
      <c r="I4" s="180">
        <f>COUNTIFS('Assignment Tool'!$E$17:$E$2050, "8", 'Assignment Tool'!$F$17:$F$2050, "HH", 'Assignment Tool'!$C$17:$C$2050, "FST",'Assignment Tool'!$K$17:$K$2050,"")</f>
        <v>18</v>
      </c>
      <c r="N4" s="181">
        <f>PRODUCT(G4,D4)</f>
        <v>509.31000000000006</v>
      </c>
      <c r="O4" s="180">
        <f>PRODUCT(SUM(H4:I4),D4)</f>
        <v>3055.86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PRODUCT(G5,D5)</f>
        <v>0</v>
      </c>
      <c r="O5" s="180">
        <f>PRODUCT(SUM(H5:I5),D5)</f>
        <v>455.9</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3</v>
      </c>
      <c r="F12" s="181">
        <f t="shared" ref="F12:F58" si="1">E12*D12</f>
        <v>645.45000000000005</v>
      </c>
      <c r="Q12" s="21"/>
      <c r="R12" s="21"/>
      <c r="Y12" s="1">
        <v>72</v>
      </c>
      <c r="AA12" s="1">
        <f t="shared" si="0"/>
        <v>132</v>
      </c>
      <c r="AC12" s="1">
        <v>900</v>
      </c>
    </row>
    <row r="13" spans="1:29" x14ac:dyDescent="0.25">
      <c r="A13" s="181">
        <v>100083493</v>
      </c>
      <c r="B13" s="181"/>
      <c r="C13" s="181" t="s">
        <v>505</v>
      </c>
      <c r="D13" s="1">
        <v>183.1</v>
      </c>
      <c r="E13" s="162">
        <f>'Construction Exempt Material'!B19</f>
        <v>12</v>
      </c>
      <c r="F13" s="181">
        <f t="shared" si="1"/>
        <v>2197.1999999999998</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27</v>
      </c>
      <c r="F18" s="180">
        <f t="shared" si="1"/>
        <v>6316.92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38</v>
      </c>
      <c r="F20" s="180">
        <f t="shared" si="1"/>
        <v>7594.68</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3</v>
      </c>
      <c r="F47" s="180">
        <f t="shared" si="1"/>
        <v>800.31</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67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58</v>
      </c>
      <c r="F62" s="180">
        <f t="shared" si="2"/>
        <v>8348.52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2</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4282</v>
      </c>
      <c r="F70" s="126">
        <f>E70*D70</f>
        <v>2783.3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1</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1</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225.68</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1</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1</v>
      </c>
      <c r="N118" s="1">
        <f t="shared" si="9"/>
        <v>0</v>
      </c>
      <c r="O118" s="1">
        <f t="shared" si="10"/>
        <v>303.63</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6</v>
      </c>
      <c r="G123" s="181">
        <f>COUNTIFS('Assignment Tool'!$E$17:$E$2050, "8", 'Assignment Tool'!$F$17:$F$2050, "POLE", 'Assignment Tool'!$C$17:$C$2050, "FST",'Assignment Tool'!$K$17:$K$2050,"1000")</f>
        <v>2</v>
      </c>
      <c r="H123" s="180">
        <f>COUNTIFS('Assignment Tool'!$E$17:$E$2050, "8", 'Assignment Tool'!$F$17:$F$2050, "PED", 'Assignment Tool'!$C$17:$C$2050, "FST",'Assignment Tool'!$K$17:$K$2050,"1000")</f>
        <v>0</v>
      </c>
      <c r="I123" s="180">
        <f>COUNTIFS('Assignment Tool'!$E$17:$E$2050, "8", 'Assignment Tool'!$F$17:$F$2050, "HH", 'Assignment Tool'!$C$17:$C$2050, "FST",'Assignment Tool'!$K$17:$K$2050,"1000")</f>
        <v>4</v>
      </c>
      <c r="N123" s="1">
        <f t="shared" si="9"/>
        <v>744.86</v>
      </c>
      <c r="O123" s="1">
        <f t="shared" si="10"/>
        <v>1489.72</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58</v>
      </c>
      <c r="C11" s="158" t="s">
        <v>90</v>
      </c>
      <c r="D11" s="244">
        <v>200001922</v>
      </c>
      <c r="E11" s="244" t="s">
        <v>686</v>
      </c>
      <c r="F11" s="220"/>
      <c r="G11" s="235">
        <f>Data!E94</f>
        <v>1</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27</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38</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1</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6</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3</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4282</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2024-05-30T18:25:21Z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