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updateLinks="never" codeName="ThisWorkbook" defaultThemeVersion="124226"/>
  <mc:AlternateContent xmlns:mc="http://schemas.openxmlformats.org/markup-compatibility/2006">
    <mc:Choice Requires="x15">
      <x15ac:absPath xmlns:x15ac="http://schemas.microsoft.com/office/spreadsheetml/2010/11/ac" url="C:\Users\yb451g\Downloads\"/>
    </mc:Choice>
  </mc:AlternateContent>
  <xr:revisionPtr revIDLastSave="0" documentId="13_ncr:1_{ED9DC8AE-3700-4FC4-BD42-4D283914B402}" xr6:coauthVersionLast="47" xr6:coauthVersionMax="47" xr10:uidLastSave="{00000000-0000-0000-0000-000000000000}"/>
  <workbookProtection workbookAlgorithmName="SHA-512" workbookHashValue="YvcCqeFAAJn+biUV95k3b/eV3vZC9Xts0ROSCMv+1FXzdbMuEaWGt7BcFO7ofZckZDZzoTsB78H6C8jyR/VC3A==" workbookSaltValue="qzJQ5sesC1m7Mh7GwrS5sw==" workbookSpinCount="100000" lockStructure="1"/>
  <bookViews>
    <workbookView xWindow="-120" yWindow="-120" windowWidth="24240" windowHeight="13020" tabRatio="663" firstSheet="5"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33" i="29"/>
  <c r="J532" i="29"/>
  <c r="J525" i="29"/>
  <c r="J518" i="29"/>
  <c r="J517" i="29"/>
  <c r="J516" i="29"/>
  <c r="J515" i="29"/>
  <c r="J492" i="29"/>
  <c r="J491" i="29"/>
  <c r="J490" i="29"/>
  <c r="J489" i="29"/>
  <c r="J488" i="29"/>
  <c r="J487" i="29"/>
  <c r="J486" i="29"/>
  <c r="J479" i="29"/>
  <c r="J478" i="29"/>
  <c r="J477" i="29"/>
  <c r="J451" i="29"/>
  <c r="J450" i="29"/>
  <c r="J449" i="29"/>
  <c r="J448" i="29"/>
  <c r="J447" i="29"/>
  <c r="J446" i="29"/>
  <c r="J445" i="29"/>
  <c r="J444" i="29"/>
  <c r="J443" i="29"/>
  <c r="J442" i="29"/>
  <c r="J435" i="29"/>
  <c r="J433"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57" i="29"/>
  <c r="J356" i="29"/>
  <c r="J353" i="29"/>
  <c r="J352" i="29"/>
  <c r="J351" i="29"/>
  <c r="J350" i="29"/>
  <c r="J328" i="29"/>
  <c r="J327" i="29"/>
  <c r="J326" i="29"/>
  <c r="J325" i="29"/>
  <c r="J324" i="29"/>
  <c r="J323" i="29"/>
  <c r="J322" i="29"/>
  <c r="J321" i="29"/>
  <c r="J320" i="29"/>
  <c r="J313" i="29"/>
  <c r="J312" i="29"/>
  <c r="J287" i="29"/>
  <c r="J286" i="29"/>
  <c r="J285" i="29"/>
  <c r="J284" i="29"/>
  <c r="J283" i="29"/>
  <c r="J282" i="29"/>
  <c r="J281" i="29"/>
  <c r="J280" i="29"/>
  <c r="J279" i="29"/>
  <c r="J278" i="29"/>
  <c r="J277" i="29"/>
  <c r="J276" i="29"/>
  <c r="J275" i="29"/>
  <c r="J274" i="29"/>
  <c r="J273" i="29"/>
  <c r="J272" i="29"/>
  <c r="J271" i="29"/>
  <c r="J246" i="29"/>
  <c r="J245" i="29"/>
  <c r="J244" i="29"/>
  <c r="J243" i="29"/>
  <c r="J242" i="29"/>
  <c r="J241" i="29"/>
  <c r="J240" i="29"/>
  <c r="J239" i="29"/>
  <c r="J238" i="29"/>
  <c r="J237" i="29"/>
  <c r="J236" i="29"/>
  <c r="J235" i="29"/>
  <c r="J234" i="29"/>
  <c r="J205" i="29"/>
  <c r="J204" i="29"/>
  <c r="J203" i="29"/>
  <c r="J202" i="29"/>
  <c r="J201" i="29"/>
  <c r="J200" i="29"/>
  <c r="J199" i="29"/>
  <c r="J198" i="29"/>
  <c r="J197" i="29"/>
  <c r="J196" i="29"/>
  <c r="J195" i="29"/>
  <c r="J194" i="29"/>
  <c r="J193" i="29"/>
  <c r="J192" i="29"/>
  <c r="J164" i="29"/>
  <c r="J163" i="29"/>
  <c r="J162" i="29"/>
  <c r="J161" i="29"/>
  <c r="J160" i="29"/>
  <c r="J159" i="29"/>
  <c r="J158" i="29"/>
  <c r="J157" i="29"/>
  <c r="J156" i="29"/>
  <c r="J155" i="29"/>
  <c r="J154" i="29"/>
  <c r="J153" i="29"/>
  <c r="J152" i="29"/>
  <c r="J123" i="29"/>
  <c r="J122" i="29"/>
  <c r="J121" i="29"/>
  <c r="J120" i="29"/>
  <c r="J119" i="29"/>
  <c r="J118" i="29"/>
  <c r="J117" i="29"/>
  <c r="J116" i="29"/>
  <c r="J115" i="29"/>
  <c r="J114" i="29"/>
  <c r="J113" i="29"/>
  <c r="J112" i="29"/>
  <c r="J111" i="29"/>
  <c r="J110" i="29"/>
  <c r="J109" i="29"/>
  <c r="J82" i="29"/>
  <c r="J81" i="29"/>
  <c r="J80" i="29"/>
  <c r="J79" i="29"/>
  <c r="J78" i="29"/>
  <c r="J77"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I422" i="29" s="1"/>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I438" i="29" s="1"/>
  <c r="H438" i="29" s="1"/>
  <c r="I439" i="29" s="1"/>
  <c r="H439" i="29" s="1"/>
  <c r="I440" i="29" s="1"/>
  <c r="H440" i="29" s="1"/>
  <c r="I441" i="29" s="1"/>
  <c r="H441" i="29" s="1"/>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Y530" i="29"/>
  <c r="Y529" i="29"/>
  <c r="W529" i="29" s="1"/>
  <c r="Y528" i="29"/>
  <c r="W528" i="29" s="1"/>
  <c r="Y527" i="29"/>
  <c r="W527" i="29" s="1"/>
  <c r="Y526" i="29"/>
  <c r="W526" i="29" s="1"/>
  <c r="Y525" i="29"/>
  <c r="I525" i="29"/>
  <c r="H525" i="29"/>
  <c r="I526" i="29" s="1"/>
  <c r="H526" i="29" s="1"/>
  <c r="I527" i="29" s="1"/>
  <c r="H527" i="29" s="1"/>
  <c r="I528" i="29" s="1"/>
  <c r="H528" i="29" s="1"/>
  <c r="I529" i="29" s="1"/>
  <c r="H529" i="29" s="1"/>
  <c r="I530" i="29" s="1"/>
  <c r="H530" i="29" s="1"/>
  <c r="I531" i="29" s="1"/>
  <c r="H531" i="29" s="1"/>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Y484" i="29"/>
  <c r="Y483" i="29"/>
  <c r="Y482" i="29"/>
  <c r="W482" i="29" s="1"/>
  <c r="Y481" i="29"/>
  <c r="Y480" i="29"/>
  <c r="W480" i="29" s="1"/>
  <c r="Y479" i="29"/>
  <c r="W479" i="29" s="1"/>
  <c r="I479" i="29"/>
  <c r="H479" i="29"/>
  <c r="I480" i="29" s="1"/>
  <c r="H480" i="29" s="1"/>
  <c r="I481" i="29" s="1"/>
  <c r="H481" i="29" s="1"/>
  <c r="I482" i="29" s="1"/>
  <c r="H482" i="29" s="1"/>
  <c r="I483" i="29" s="1"/>
  <c r="H483" i="29" s="1"/>
  <c r="I484" i="29" s="1"/>
  <c r="H484" i="29" s="1"/>
  <c r="I485" i="29" s="1"/>
  <c r="H485" i="29" s="1"/>
  <c r="Z475" i="29"/>
  <c r="Z476" i="29" s="1"/>
  <c r="Z477" i="29" s="1"/>
  <c r="AB472" i="29"/>
  <c r="AB473" i="29" s="1"/>
  <c r="AA472"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Y440" i="29"/>
  <c r="Y439" i="29"/>
  <c r="Y438" i="29"/>
  <c r="W438" i="29" s="1"/>
  <c r="Z434" i="29"/>
  <c r="Z435" i="29" s="1"/>
  <c r="Z436" i="29" s="1"/>
  <c r="AB431" i="29"/>
  <c r="AA432" i="29" s="1"/>
  <c r="AA431" i="29"/>
  <c r="W422" i="29"/>
  <c r="M422" i="29"/>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Y318" i="29"/>
  <c r="W318" i="29" s="1"/>
  <c r="Y317" i="29"/>
  <c r="Y316" i="29"/>
  <c r="W316" i="29" s="1"/>
  <c r="Y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Y75" i="29"/>
  <c r="W75" i="29" s="1"/>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217" i="29" l="1"/>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L1484" i="29"/>
  <c r="I381" i="29"/>
  <c r="I500" i="29"/>
  <c r="Z400" i="29"/>
  <c r="I459" i="29"/>
  <c r="AA446" i="29"/>
  <c r="Z360" i="29"/>
  <c r="AA281" i="29"/>
  <c r="AA164" i="29"/>
  <c r="AA163" i="29"/>
  <c r="AA160" i="29"/>
  <c r="AA78" i="29"/>
  <c r="M464" i="29"/>
  <c r="AK471"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315" i="29" s="1"/>
  <c r="H315" i="29" s="1"/>
  <c r="I316" i="29" s="1"/>
  <c r="H316" i="29" s="1"/>
  <c r="I317" i="29" s="1"/>
  <c r="H317" i="29" s="1"/>
  <c r="I318" i="29" s="1"/>
  <c r="H318" i="29" s="1"/>
  <c r="I319" i="29" s="1"/>
  <c r="H319"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75" i="29" s="1"/>
  <c r="H75" i="29" s="1"/>
  <c r="I76" i="29" s="1"/>
  <c r="H76"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S3" i="34" l="1"/>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BM3" i="34"/>
  <c r="BH3" i="34"/>
  <c r="BG3" i="34" s="1"/>
  <c r="BG2" i="34" s="1"/>
  <c r="BR5" i="34"/>
  <c r="BQ3" i="34" s="1"/>
  <c r="L542" i="29" s="1"/>
  <c r="FC3" i="34"/>
  <c r="FC2" i="34" s="1"/>
  <c r="EN3" i="34"/>
  <c r="L1157" i="29" s="1"/>
  <c r="DY3" i="34"/>
  <c r="L1034" i="29" s="1"/>
  <c r="DT3" i="34"/>
  <c r="DT2" i="34" s="1"/>
  <c r="DE3" i="34"/>
  <c r="L870" i="29" s="1"/>
  <c r="CZ3" i="34"/>
  <c r="CZ2" i="34" s="1"/>
  <c r="CU3" i="34"/>
  <c r="L788" i="29" s="1"/>
  <c r="CP3" i="34"/>
  <c r="CP2" i="34" s="1"/>
  <c r="CK3" i="34"/>
  <c r="CK2" i="34" s="1"/>
  <c r="BV3" i="34"/>
  <c r="BV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AR3" i="34" l="1"/>
  <c r="L337" i="29" s="1"/>
  <c r="IO2" i="34"/>
  <c r="L2018" i="29"/>
  <c r="AW3" i="34"/>
  <c r="L378" i="29" s="1"/>
  <c r="BL3" i="34"/>
  <c r="L501" i="29" s="1"/>
  <c r="L1321" i="29"/>
  <c r="L1280" i="29"/>
  <c r="EN2" i="34"/>
  <c r="L1075" i="29"/>
  <c r="ED2" i="34"/>
  <c r="DY2" i="34"/>
  <c r="L993" i="29"/>
  <c r="DE2" i="34"/>
  <c r="L829" i="29"/>
  <c r="CU2" i="34"/>
  <c r="L747" i="29"/>
  <c r="L706" i="29"/>
  <c r="CA2" i="34"/>
  <c r="L624" i="29"/>
  <c r="L583" i="29"/>
  <c r="BQ2" i="34"/>
  <c r="N3" i="34"/>
  <c r="L91" i="29" s="1"/>
  <c r="L1403" i="29"/>
  <c r="FW2" i="34"/>
  <c r="L1444" i="29"/>
  <c r="L1239" i="29"/>
  <c r="ES2" i="34"/>
  <c r="L1116" i="29"/>
  <c r="L911" i="29"/>
  <c r="L665" i="29"/>
  <c r="L460" i="29"/>
  <c r="BB3" i="34"/>
  <c r="BB2" i="34" s="1"/>
  <c r="AH3" i="34"/>
  <c r="AH2" i="34" s="1"/>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W2" i="34" l="1"/>
  <c r="BL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43" i="29" l="1"/>
  <c r="V502" i="29"/>
  <c r="V461" i="29"/>
  <c r="V379" i="29"/>
  <c r="V338" i="29"/>
  <c r="V215"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J530" i="29" s="1"/>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J531" i="29" s="1"/>
  <c r="BA528" i="29"/>
  <c r="J529" i="29" s="1"/>
  <c r="BA527" i="29"/>
  <c r="J528" i="29" s="1"/>
  <c r="BA526" i="29"/>
  <c r="J527" i="29" s="1"/>
  <c r="BA525" i="29"/>
  <c r="J526" i="29" s="1"/>
  <c r="BA524" i="29"/>
  <c r="BA523" i="29"/>
  <c r="J524" i="29" s="1"/>
  <c r="BA522" i="29"/>
  <c r="J523" i="29" s="1"/>
  <c r="BA521" i="29"/>
  <c r="J522" i="29" s="1"/>
  <c r="BA520" i="29"/>
  <c r="J521" i="29" s="1"/>
  <c r="BA519" i="29"/>
  <c r="J520" i="29" s="1"/>
  <c r="BA518" i="29"/>
  <c r="J519" i="29" s="1"/>
  <c r="BA517" i="29"/>
  <c r="BA516" i="29"/>
  <c r="BA515" i="29"/>
  <c r="BA514" i="29"/>
  <c r="BA513" i="29"/>
  <c r="J514" i="29" s="1"/>
  <c r="BA512" i="29"/>
  <c r="J513" i="29" s="1"/>
  <c r="BA511" i="29"/>
  <c r="J512" i="29" s="1"/>
  <c r="BA510" i="29"/>
  <c r="J511" i="29" s="1"/>
  <c r="AE509" i="29"/>
  <c r="BA509" i="29"/>
  <c r="J510" i="29" s="1"/>
  <c r="BA491" i="29"/>
  <c r="BA490" i="29"/>
  <c r="BA489" i="29"/>
  <c r="BA487" i="29"/>
  <c r="BA486" i="29"/>
  <c r="BA485" i="29"/>
  <c r="BA484" i="29"/>
  <c r="J485" i="29" s="1"/>
  <c r="BA483" i="29"/>
  <c r="J484" i="29" s="1"/>
  <c r="BA482" i="29"/>
  <c r="J483" i="29" s="1"/>
  <c r="BA481" i="29"/>
  <c r="J482" i="29" s="1"/>
  <c r="BA480" i="29"/>
  <c r="J481" i="29" s="1"/>
  <c r="BA479" i="29"/>
  <c r="J480" i="29" s="1"/>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J441" i="29" s="1"/>
  <c r="BA439" i="29"/>
  <c r="J440" i="29" s="1"/>
  <c r="BA438" i="29"/>
  <c r="J439" i="29" s="1"/>
  <c r="BA437" i="29"/>
  <c r="J438" i="29" s="1"/>
  <c r="BA436" i="29"/>
  <c r="J437" i="29" s="1"/>
  <c r="BA435" i="29"/>
  <c r="J436" i="29" s="1"/>
  <c r="BA434" i="29"/>
  <c r="BA433" i="29"/>
  <c r="J434" i="29" s="1"/>
  <c r="BA432" i="29"/>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J355" i="29" s="1"/>
  <c r="BA353" i="29"/>
  <c r="J354" i="29" s="1"/>
  <c r="BA352" i="29"/>
  <c r="BA351" i="29"/>
  <c r="BA350" i="29"/>
  <c r="BA349" i="29"/>
  <c r="BA348" i="29"/>
  <c r="J349" i="29" s="1"/>
  <c r="BA347" i="29"/>
  <c r="J348" i="29" s="1"/>
  <c r="BA346" i="29"/>
  <c r="J347" i="29" s="1"/>
  <c r="AE345" i="29"/>
  <c r="BA345" i="29"/>
  <c r="J346" i="29" s="1"/>
  <c r="BA327" i="29"/>
  <c r="BA326" i="29"/>
  <c r="BA325" i="29"/>
  <c r="BA323" i="29"/>
  <c r="BA322" i="29"/>
  <c r="BA321" i="29"/>
  <c r="BA320" i="29"/>
  <c r="BA319" i="29"/>
  <c r="BA318" i="29"/>
  <c r="J319" i="29" s="1"/>
  <c r="BA317" i="29"/>
  <c r="J318" i="29" s="1"/>
  <c r="BA316" i="29"/>
  <c r="J317" i="29" s="1"/>
  <c r="BA315" i="29"/>
  <c r="J316" i="29" s="1"/>
  <c r="BA314" i="29"/>
  <c r="J315" i="29" s="1"/>
  <c r="BA313" i="29"/>
  <c r="J314" i="29" s="1"/>
  <c r="BA312" i="29"/>
  <c r="BA311" i="29"/>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J191" i="29" s="1"/>
  <c r="BA189" i="29"/>
  <c r="J190" i="29" s="1"/>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J76" i="29" s="1"/>
  <c r="BA74" i="29"/>
  <c r="J75" i="29" s="1"/>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542" i="29" l="1"/>
  <c r="AW542" i="29"/>
  <c r="AV541" i="29"/>
  <c r="AW541" i="29"/>
  <c r="AU460" i="29"/>
  <c r="AW460" i="29"/>
  <c r="AU459" i="29"/>
  <c r="AW459" i="29"/>
  <c r="AU458" i="29"/>
  <c r="AW458"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<sst xmlns="http://schemas.openxmlformats.org/spreadsheetml/2006/main" count="7943" uniqueCount="810">
  <si>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</si>
  <si>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</si>
  <si>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</si>
  <si>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</si>
  <si>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</si>
  <si>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</si>
  <si>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</si>
  <si>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</si>
  <si>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</si>
  <si>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</si>
  <si>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</si>
  <si>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</si>
  <si>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</si>
  <si>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</si>
  <si>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</si>
  <si>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</si>
  <si>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</si>
  <si>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</si>
  <si>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</si>
  <si>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</si>
  <si>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</si>
  <si>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</si>
  <si>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</si>
  <si>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</si>
  <si>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</si>
  <si>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</si>
  <si>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</si>
  <si>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</si>
  <si>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</si>
  <si>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</si>
  <si>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</si>
  <si>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</si>
  <si>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</si>
  <si>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</si>
  <si>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</si>
  <si>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</si>
  <si>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</si>
  <si>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</si>
  <si>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</si>
  <si>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</si>
  <si>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</si>
  <si>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</si>
  <si>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</si>
  <si>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</si>
  <si>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</si>
  <si>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</si>
  <si>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</si>
  <si>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</si>
  <si>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</si>
  <si>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</si>
  <si>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</si>
  <si>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</si>
  <si>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</si>
  <si>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</si>
  <si>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</si>
  <si>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</si>
  <si>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</si>
  <si>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</si>
  <si>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</si>
  <si>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</si>
  <si>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</si>
  <si>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</si>
  <si>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</si>
  <si>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</si>
  <si>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</si>
  <si>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</si>
  <si>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</si>
  <si>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</si>
  <si>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</si>
  <si>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</si>
  <si>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</si>
  <si>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</si>
  <si>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</si>
  <si>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</si>
  <si>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</si>
  <si>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</si>
  <si>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</si>
  <si>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</si>
  <si>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</si>
  <si>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</si>
  <si>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</si>
  <si>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</si>
  <si>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</si>
  <si>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</si>
  <si>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</si>
  <si>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</si>
  <si>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</si>
  <si>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</si>
  <si>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</si>
  <si>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</si>
  <si>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</si>
  <si>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</si>
  <si>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</si>
  <si>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</si>
  <si>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</si>
  <si>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</si>
  <si>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</si>
  <si>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</si>
  <si>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</si>
  <si>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</si>
  <si>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</si>
  <si>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</si>
  <si>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</si>
  <si>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</si>
  <si>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</si>
  <si>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</si>
  <si>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</si>
  <si>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</si>
  <si>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</si>
  <si>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</si>
  <si>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</si>
  <si>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</si>
  <si>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</si>
  <si>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</si>
  <si>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</si>
  <si>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</si>
  <si>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</si>
  <si>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</si>
  <si>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</si>
  <si>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</si>
  <si>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</si>
  <si>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</si>
  <si>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</si>
  <si>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</si>
  <si>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</si>
  <si>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</si>
  <si>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</si>
  <si>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</si>
  <si>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</si>
  <si>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</si>
  <si>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</si>
  <si>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</si>
  <si>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</si>
  <si>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</si>
  <si>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</si>
  <si>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</si>
  <si>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</si>
  <si>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</si>
  <si>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</si>
  <si>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</si>
  <si>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</si>
  <si>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</si>
  <si>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</si>
  <si>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</si>
  <si>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</si>
  <si>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</si>
  <si>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</si>
  <si>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</si>
  <si>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</si>
  <si>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</si>
  <si>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</si>
  <si>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</si>
  <si>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</si>
  <si>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</si>
  <si>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</si>
  <si>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</si>
  <si>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</si>
  <si>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</si>
  <si>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</si>
  <si>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</si>
  <si>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</si>
  <si>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</si>
  <si>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</si>
  <si>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</si>
  <si>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</si>
  <si>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</si>
  <si>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</si>
  <si>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</si>
  <si>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</si>
  <si>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</si>
  <si>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</si>
  <si>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</si>
  <si>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</si>
  <si>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</si>
  <si>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</si>
  <si>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</si>
  <si>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</si>
  <si>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</si>
  <si>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</si>
  <si>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</si>
  <si>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</si>
  <si>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</si>
  <si>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</si>
  <si>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</si>
  <si>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</si>
  <si>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</si>
  <si>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</si>
  <si>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</si>
  <si>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</si>
  <si>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</si>
  <si>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</si>
  <si>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</si>
  <si>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</si>
  <si>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</si>
  <si>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</si>
  <si>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</si>
  <si>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</si>
  <si>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</si>
  <si>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</si>
  <si>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</si>
  <si>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</si>
  <si>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</si>
  <si>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</si>
  <si>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</si>
  <si>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</si>
  <si>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</si>
  <si>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</si>
  <si>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</si>
  <si>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</si>
  <si>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</si>
  <si>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</si>
  <si>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</si>
  <si>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</si>
  <si>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</si>
  <si>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</si>
  <si>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</si>
  <si>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</si>
  <si>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</si>
  <si>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</si>
  <si>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</si>
  <si>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</si>
  <si>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</si>
  <si>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</si>
  <si>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</si>
  <si>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</si>
  <si>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</si>
  <si>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</si>
  <si>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</si>
  <si>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</si>
  <si>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</si>
  <si>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</si>
  <si>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</si>
  <si>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</si>
  <si>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</si>
  <si>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</si>
  <si>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</si>
  <si>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</si>
  <si>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</si>
  <si>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</si>
  <si>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</si>
  <si>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</si>
  <si>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</si>
  <si>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</si>
  <si>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</si>
  <si>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</si>
  <si>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</si>
  <si>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</si>
  <si>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</si>
  <si>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</si>
  <si>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</si>
  <si>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</si>
  <si>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</si>
  <si>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</si>
  <si>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</si>
  <si>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</si>
  <si>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</si>
  <si>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</si>
  <si>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</si>
  <si>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</si>
  <si>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</si>
  <si>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</si>
  <si>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</si>
  <si>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</si>
  <si>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</si>
  <si>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</si>
  <si>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</si>
  <si>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</si>
  <si>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</si>
  <si>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</si>
  <si>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</si>
  <si>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</si>
  <si>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</si>
  <si>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</si>
  <si>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</si>
  <si>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</si>
  <si>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</si>
  <si>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</si>
  <si>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</si>
  <si>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</si>
  <si>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</si>
  <si>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</si>
  <si>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</si>
  <si>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</si>
  <si>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</si>
  <si>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</si>
  <si>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</si>
  <si>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</si>
  <si>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</si>
  <si>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</si>
  <si>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</si>
  <si>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</si>
  <si>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</si>
  <si>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</si>
  <si>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</si>
  <si>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</si>
  <si>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</si>
  <si>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</si>
  <si>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</si>
  <si>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</si>
  <si>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</si>
  <si>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</si>
  <si>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</si>
  <si>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</si>
  <si>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</si>
  <si>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</si>
  <si>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</si>
  <si>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</si>
  <si>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</si>
  <si>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</si>
  <si>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</si>
  <si>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</si>
  <si>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</si>
  <si>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</si>
  <si>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</si>
  <si>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</si>
  <si>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</si>
  <si>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</si>
  <si>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</si>
  <si>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</si>
  <si>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</si>
  <si>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</si>
  <si>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</si>
  <si>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</si>
  <si>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</si>
  <si>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</si>
  <si>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</si>
  <si>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</si>
  <si>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</si>
  <si>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</si>
  <si>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</si>
  <si>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</si>
  <si>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</si>
  <si>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</si>
  <si>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</si>
  <si>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</si>
  <si>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</si>
  <si>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</si>
  <si>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</si>
  <si>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</si>
  <si>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</si>
  <si>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</si>
  <si>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</si>
  <si>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</si>
  <si>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</si>
  <si>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</si>
  <si>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</si>
  <si>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</si>
  <si>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</si>
  <si>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</si>
  <si>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</si>
  <si>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</si>
  <si>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</si>
  <si>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</si>
  <si>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</si>
  <si>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</si>
  <si>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</si>
  <si>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</si>
  <si>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</si>
  <si>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</si>
  <si>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</si>
  <si>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</si>
  <si>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</si>
  <si>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</si>
  <si>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</si>
  <si>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</si>
  <si>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</si>
  <si>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</si>
  <si>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</si>
  <si>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</si>
  <si>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</si>
  <si>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</si>
  <si>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</si>
  <si>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</si>
  <si>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</si>
  <si>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</si>
  <si>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</si>
  <si>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</si>
  <si>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</si>
  <si>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</si>
  <si>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</si>
  <si>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</si>
  <si>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</si>
  <si>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</si>
  <si>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</si>
  <si>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</si>
  <si>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</si>
  <si>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</si>
  <si>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</si>
  <si>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</si>
  <si>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</si>
  <si>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</si>
  <si>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</si>
  <si>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</si>
  <si>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</si>
  <si>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</si>
  <si>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</si>
  <si>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</si>
  <si>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</si>
  <si>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</si>
  <si>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</si>
  <si>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</si>
  <si>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</si>
  <si>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</si>
  <si>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</si>
  <si>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</si>
  <si>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</si>
  <si>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</si>
  <si>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</si>
  <si>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</si>
  <si>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</si>
  <si>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</si>
  <si>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</si>
  <si>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</si>
  <si>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</si>
  <si>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</si>
  <si>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</si>
  <si>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</si>
  <si>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</si>
  <si>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</si>
  <si>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</si>
  <si>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</si>
  <si>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</si>
  <si>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</si>
  <si>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</si>
  <si>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</si>
  <si>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</si>
  <si>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</si>
  <si>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</si>
  <si>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</si>
  <si>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</si>
  <si>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</si>
  <si>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</si>
  <si>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</si>
  <si>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</si>
  <si>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</si>
  <si>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</si>
  <si>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</si>
  <si>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</si>
  <si>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</si>
  <si>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</si>
  <si>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</si>
  <si>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</si>
  <si>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</si>
  <si>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</si>
  <si>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</si>
  <si>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</si>
  <si>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</si>
  <si>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</si>
  <si>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</si>
  <si>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</si>
  <si>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</si>
  <si>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</si>
  <si>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</si>
  <si>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</si>
  <si>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</si>
  <si>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</si>
  <si>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</si>
  <si>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</si>
  <si>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</si>
  <si>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</si>
  <si>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</si>
  <si>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</si>
  <si>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</si>
  <si>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</si>
  <si>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</si>
  <si>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</si>
  <si>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</si>
  <si>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</si>
  <si>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</si>
  <si>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</si>
  <si>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</si>
  <si>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</si>
  <si>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</si>
  <si>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</si>
  <si>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</si>
  <si>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</si>
  <si>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</si>
  <si>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</si>
  <si>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</si>
  <si>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</si>
  <si>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</si>
  <si>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</si>
  <si>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</si>
  <si>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</si>
  <si>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</si>
  <si>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</si>
  <si>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</si>
  <si>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</si>
  <si>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</si>
  <si>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</si>
  <si>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</si>
  <si>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</si>
  <si>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</si>
  <si>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</si>
  <si>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</si>
  <si>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</si>
  <si>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</si>
  <si>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</si>
  <si>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</si>
  <si>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</si>
  <si>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</si>
  <si>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</si>
  <si>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</si>
  <si>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</si>
  <si>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</si>
  <si>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</si>
  <si>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</si>
  <si>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</si>
  <si>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</si>
  <si>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</si>
  <si>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</si>
  <si>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</si>
  <si>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</si>
  <si>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</si>
  <si>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</si>
  <si>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</si>
  <si>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</si>
  <si>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</si>
  <si>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</si>
  <si>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</si>
  <si>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</si>
  <si>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</si>
  <si>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</si>
  <si>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</si>
  <si>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</si>
  <si>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</si>
  <si>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</si>
  <si>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</si>
  <si>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</si>
  <si>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</si>
  <si>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</si>
  <si>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</si>
  <si>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</si>
  <si>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</si>
  <si>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</si>
  <si>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</si>
  <si>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</si>
  <si>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</si>
  <si>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</si>
  <si>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</si>
  <si>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</si>
  <si>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</si>
  <si>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</si>
  <si>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</si>
  <si>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</si>
  <si>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</si>
  <si>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</si>
  <si>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</si>
  <si>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</si>
  <si>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</si>
  <si>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</si>
  <si>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</si>
  <si>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</si>
  <si>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</si>
  <si>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</si>
  <si>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</si>
  <si>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</si>
  <si>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</si>
  <si>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</si>
  <si>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</si>
  <si>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</si>
  <si>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</si>
  <si>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</si>
  <si>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</si>
  <si>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</si>
  <si>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</si>
  <si>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</si>
  <si>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</si>
  <si>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</si>
  <si>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</si>
  <si>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</si>
  <si>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</si>
  <si>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</si>
  <si>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</si>
  <si>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</si>
  <si>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</si>
  <si>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</si>
  <si>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</si>
  <si>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</si>
  <si>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</si>
  <si>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</si>
  <si>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</si>
  <si>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</si>
  <si>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</si>
  <si>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</si>
  <si>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</si>
  <si>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</si>
  <si>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</si>
  <si>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</si>
  <si>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</si>
  <si>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</si>
  <si>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</si>
  <si>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</si>
  <si>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</si>
  <si>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</si>
  <si>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</si>
  <si>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</si>
  <si>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</si>
  <si>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</si>
  <si>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</si>
  <si>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</si>
  <si>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</si>
  <si>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</si>
  <si>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</si>
  <si>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</si>
  <si>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</si>
  <si>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</si>
  <si>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</si>
  <si>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</si>
  <si>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</si>
  <si>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</si>
  <si>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</si>
  <si>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</si>
  <si>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</si>
  <si>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</si>
  <si>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</si>
  <si>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</si>
  <si>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</si>
  <si>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</si>
  <si>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</si>
  <si>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</si>
  <si>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</si>
  <si>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</si>
  <si>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</si>
  <si>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</si>
  <si>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</si>
  <si>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</si>
  <si>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</si>
  <si>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</si>
  <si>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</si>
  <si>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</si>
  <si>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</si>
  <si>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</si>
  <si>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</si>
  <si>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</si>
  <si>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</si>
  <si>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</si>
  <si>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</si>
  <si>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</si>
  <si>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</si>
  <si>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</si>
  <si>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</si>
  <si>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</si>
  <si>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</si>
  <si>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</si>
  <si>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</si>
  <si>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</si>
  <si>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</si>
  <si>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</si>
  <si>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</si>
  <si>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</si>
  <si>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</si>
  <si>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</si>
  <si>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</si>
  <si>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</si>
  <si>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</si>
  <si>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</si>
  <si>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</si>
  <si>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</si>
  <si>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</si>
  <si>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</si>
  <si>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</si>
  <si>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</si>
  <si>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</si>
  <si>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</si>
  <si>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</si>
  <si>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</si>
  <si>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</si>
  <si>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</si>
  <si>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</si>
  <si>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</si>
  <si>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</si>
  <si>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</si>
  <si>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</si>
  <si>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</si>
  <si>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</si>
  <si>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</si>
  <si>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</si>
  <si>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</si>
  <si>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</si>
  <si>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</si>
  <si>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</si>
  <si>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</si>
  <si>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</si>
  <si>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</si>
  <si>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</si>
  <si>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</si>
  <si>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</si>
  <si>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</si>
  <si>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</si>
  <si>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</si>
  <si>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</si>
  <si>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</si>
  <si>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</si>
  <si>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</si>
  <si>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</si>
  <si>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</si>
  <si>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</si>
  <si>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</si>
  <si>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</si>
  <si>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</si>
  <si>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</si>
  <si>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</si>
  <si>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</si>
  <si>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</si>
  <si>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</si>
  <si>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</si>
  <si>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</si>
  <si>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</si>
  <si>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</si>
  <si>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</si>
  <si>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</si>
  <si>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</si>
  <si>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</si>
  <si>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</si>
  <si>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</si>
  <si>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</si>
  <si>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</si>
  <si>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</si>
  <si>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</si>
  <si>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</si>
  <si>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</si>
  <si>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</si>
  <si>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</si>
  <si>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</si>
  <si>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</si>
  <si>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</si>
  <si>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</si>
  <si>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</si>
  <si>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</si>
  <si>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</si>
  <si>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CABLE 7</t>
  </si>
  <si>
    <t>CABLE 2</t>
  </si>
  <si>
    <t>F 610-1 COTTAGE DR</t>
  </si>
  <si>
    <t>F 614-2 COTTAGE DR</t>
  </si>
  <si>
    <t>F 624-1 COTTAGE DR</t>
  </si>
  <si>
    <t>F 4434-1 CANTERBURY ST</t>
  </si>
  <si>
    <t>F 4442-1 CANTERBURY ST</t>
  </si>
  <si>
    <t>F 4450-1 CANTERBURY ST</t>
  </si>
  <si>
    <t>F 4458-1 CANTERBURY ST</t>
  </si>
  <si>
    <t>F 4466-2 CANTERBURY ST</t>
  </si>
  <si>
    <t>F 4474-1 CANTERBURY ST</t>
  </si>
  <si>
    <t>F 4482-1 CANTERBURY ST</t>
  </si>
  <si>
    <t>F 4498-1 CANTERBURY ST</t>
  </si>
  <si>
    <t>F 4489-1 CANTERBURY ST</t>
  </si>
  <si>
    <t>FBT</t>
  </si>
  <si>
    <t>F 4412-2 CANTERBURY ST</t>
  </si>
  <si>
    <t>F 4404-1 CANTERBURY ST</t>
  </si>
  <si>
    <t>F 4396-1 CANTERBURY ST</t>
  </si>
  <si>
    <t>F 4388-2 CANTERBURY ST</t>
  </si>
  <si>
    <t>F 4380-2 CANTERBURY ST</t>
  </si>
  <si>
    <t>F 4372-2 CANTERBURY ST</t>
  </si>
  <si>
    <t>F 4364-2 CANTERBURY ST</t>
  </si>
  <si>
    <t>F 4356-1 CANTERBURY ST</t>
  </si>
  <si>
    <t>F 4344-1 CANTERBURY ST</t>
  </si>
  <si>
    <t>F 4338-1 CANTERBURY ST</t>
  </si>
  <si>
    <t>F 4334-1 CANTERBURY ST</t>
  </si>
  <si>
    <t>F 4330-2 CANTERBURY ST</t>
  </si>
  <si>
    <t>F 4265-1 HATHAWAY LN</t>
  </si>
  <si>
    <t>F 4273-1 HATHAWAY LN</t>
  </si>
  <si>
    <t>F 4281-1 HATHAWAY LN</t>
  </si>
  <si>
    <t>F 4289-1 HATHAWAY LN</t>
  </si>
  <si>
    <t>F 4297-1 HATHAWAY LN</t>
  </si>
  <si>
    <t>F 4305-1 HATHAWAY LN</t>
  </si>
  <si>
    <t>F 4313-1 HATHAWAY LN</t>
  </si>
  <si>
    <t>F 4321-1 HATHAWAY LN</t>
  </si>
  <si>
    <t>F 4329-1 HATHAWAY LN</t>
  </si>
  <si>
    <t>F 4330-1 HATHAWAY LN</t>
  </si>
  <si>
    <t>F 4249-1 HATHAWAY LN</t>
  </si>
  <si>
    <t>F 4241-1 HATHAWAY LN</t>
  </si>
  <si>
    <t>F 4233-1 HATHAWAY LN</t>
  </si>
  <si>
    <t>F 4225-2 HATHAWAY LN</t>
  </si>
  <si>
    <t>F 4215-2 HATHAWAY LN</t>
  </si>
  <si>
    <t>F 4205-2 HATHAWAY LN</t>
  </si>
  <si>
    <t>F 4197-1 HATHAWAY LN</t>
  </si>
  <si>
    <t>F 4189-1 HATHAWAY LN</t>
  </si>
  <si>
    <t>F 4181-1 HATHAWAY LN</t>
  </si>
  <si>
    <t>F 4173-2 HATHAWAY LN</t>
  </si>
  <si>
    <t>F 4169-1 HATHAWAY LN</t>
  </si>
  <si>
    <t>F 4162-1 HATHAWAY LN</t>
  </si>
  <si>
    <t>F 2110-1 FIELDSTOWN RD</t>
  </si>
  <si>
    <t>F 2150-1 FIELDSTOWN RD</t>
  </si>
  <si>
    <t xml:space="preserve">FBT </t>
  </si>
  <si>
    <t>OPP 2241-1 FIELDSTOWN RD</t>
  </si>
  <si>
    <t>F 2241-1 FIELDSTOWN RD</t>
  </si>
  <si>
    <t>F 4526-1 CROWN POINT LN</t>
  </si>
  <si>
    <t>F 4534-1 CROWN POINT LN</t>
  </si>
  <si>
    <t>F 4538-1 CROWN POINT LN</t>
  </si>
  <si>
    <t>F 4546-2 CROWN POINT LN</t>
  </si>
  <si>
    <t>A02R9VW</t>
  </si>
  <si>
    <t>F 2094 FIELDSTOWN RD</t>
  </si>
  <si>
    <t>4124PB</t>
  </si>
  <si>
    <t>S 2191-1 FIELDSTOWN RD</t>
  </si>
  <si>
    <t>F 1514-1 CROWN POINT DR</t>
  </si>
  <si>
    <t>F 1522-2 CROWN POINT DR</t>
  </si>
  <si>
    <t>F 1532-1 CROWN POINT DR</t>
  </si>
  <si>
    <t>F 1539-1 CROWN POINT DR</t>
  </si>
  <si>
    <t>F 4508-1 CROWN POINT LN</t>
  </si>
  <si>
    <t>F 4518-1 CROWN POINT LN</t>
  </si>
  <si>
    <t>F 4420-1 CANTERBURY ST</t>
  </si>
  <si>
    <t>F 4261-1 HATHAWAY LN</t>
  </si>
  <si>
    <t>OPP 1084-1 HODGES DR</t>
  </si>
  <si>
    <t>F 1109-2 HODGES DR</t>
  </si>
  <si>
    <t>REEL 8A</t>
  </si>
  <si>
    <t>F 1121-2 HODGES DR</t>
  </si>
  <si>
    <t>F 1510-1 CROWN POINT DR</t>
  </si>
  <si>
    <t>GRDLALNM</t>
  </si>
  <si>
    <t>S 2130-1 FIELDSTOWN RD</t>
  </si>
  <si>
    <t>PON4124PB</t>
  </si>
  <si>
    <t>OPP 1011-1 FIELDSTOWN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</si>
</sst>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8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88" dataDxfId="1686" headerRowBorderDxfId="1687" tableBorderDxfId="1685" totalsRowBorderDxfId="1684">
  <autoFilter ref="A1:AP499" xr:uid="{00000000-0009-0000-0100-000003000000}"/>
  <tableColumns count="42">
    <tableColumn id="1" xr3:uid="{00000000-0010-0000-0000-000001000000}" name="DWG#" dataDxfId="1683"/>
    <tableColumn id="61" xr3:uid="{00000000-0010-0000-0000-00003D000000}" name="10x15 HH" dataDxfId="1682"/>
    <tableColumn id="9" xr3:uid="{00000000-0010-0000-0000-000009000000}" name="IDUCT 1" dataDxfId="1681"/>
    <tableColumn id="10" xr3:uid="{00000000-0010-0000-0000-00000A000000}" name="IDUCT 2" dataDxfId="1680"/>
    <tableColumn id="11" xr3:uid="{00000000-0010-0000-0000-00000B000000}" name="IDUCT 3" dataDxfId="1679"/>
    <tableColumn id="12" xr3:uid="{00000000-0010-0000-0000-00000C000000}" name="IDUCT 4" dataDxfId="1678"/>
    <tableColumn id="13" xr3:uid="{00000000-0010-0000-0000-00000D000000}" name="IDUCT 5" dataDxfId="1677"/>
    <tableColumn id="14" xr3:uid="{00000000-0010-0000-0000-00000E000000}" name="IDUCT 6" dataDxfId="1676"/>
    <tableColumn id="15" xr3:uid="{00000000-0010-0000-0000-00000F000000}" name="IDUCT 7" dataDxfId="1675"/>
    <tableColumn id="16" xr3:uid="{00000000-0010-0000-0000-000010000000}" name="IDUCT 8" dataDxfId="1674"/>
    <tableColumn id="17" xr3:uid="{00000000-0010-0000-0000-000011000000}" name="IDUCT 9" dataDxfId="1673"/>
    <tableColumn id="18" xr3:uid="{00000000-0010-0000-0000-000012000000}" name="IDUCT 10" dataDxfId="1672"/>
    <tableColumn id="19" xr3:uid="{00000000-0010-0000-0000-000013000000}" name="IDUCT 11" dataDxfId="1671"/>
    <tableColumn id="20" xr3:uid="{00000000-0010-0000-0000-000014000000}" name="IDUCT 12" dataDxfId="1670"/>
    <tableColumn id="21" xr3:uid="{00000000-0010-0000-0000-000015000000}" name="IDUCT 13" dataDxfId="1669"/>
    <tableColumn id="22" xr3:uid="{00000000-0010-0000-0000-000016000000}" name="IDUCT 14" dataDxfId="1668"/>
    <tableColumn id="23" xr3:uid="{00000000-0010-0000-0000-000017000000}" name="IDUCT 15" dataDxfId="1667"/>
    <tableColumn id="24" xr3:uid="{00000000-0010-0000-0000-000018000000}" name="IDUCT 16" dataDxfId="1666"/>
    <tableColumn id="25" xr3:uid="{00000000-0010-0000-0000-000019000000}" name="IDUCT 17" dataDxfId="1665"/>
    <tableColumn id="26" xr3:uid="{00000000-0010-0000-0000-00001A000000}" name="IDUCT 18" dataDxfId="1664"/>
    <tableColumn id="27" xr3:uid="{00000000-0010-0000-0000-00001B000000}" name="IDUCT 19" dataDxfId="1663"/>
    <tableColumn id="28" xr3:uid="{00000000-0010-0000-0000-00001C000000}" name="IDUCT 20" dataDxfId="1662"/>
    <tableColumn id="29" xr3:uid="{00000000-0010-0000-0000-00001D000000}" name="Pullback IDUCT 1" dataDxfId="1661"/>
    <tableColumn id="30" xr3:uid="{00000000-0010-0000-0000-00001E000000}" name="Pullback IDUCT 2" dataDxfId="1660"/>
    <tableColumn id="31" xr3:uid="{00000000-0010-0000-0000-00001F000000}" name="Pullback IDUCT 3" dataDxfId="1659"/>
    <tableColumn id="32" xr3:uid="{00000000-0010-0000-0000-000020000000}" name="Pullback IDUCT 4" dataDxfId="1658"/>
    <tableColumn id="33" xr3:uid="{00000000-0010-0000-0000-000021000000}" name="Pullback IDUCT 5" dataDxfId="1657"/>
    <tableColumn id="34" xr3:uid="{00000000-0010-0000-0000-000022000000}" name="Pullback IDUCT 6" dataDxfId="1656"/>
    <tableColumn id="35" xr3:uid="{00000000-0010-0000-0000-000023000000}" name="Pullback IDUCT 7" dataDxfId="1655"/>
    <tableColumn id="36" xr3:uid="{00000000-0010-0000-0000-000024000000}" name="Pullback IDUCT 8" dataDxfId="1654"/>
    <tableColumn id="37" xr3:uid="{00000000-0010-0000-0000-000025000000}" name="Pullback IDUCT 9" dataDxfId="1653"/>
    <tableColumn id="38" xr3:uid="{00000000-0010-0000-0000-000026000000}" name="Pullback IDUCT 10" dataDxfId="1652"/>
    <tableColumn id="49" xr3:uid="{00000000-0010-0000-0000-000031000000}" name="ROD Duct 1" dataDxfId="1651"/>
    <tableColumn id="50" xr3:uid="{00000000-0010-0000-0000-000032000000}" name="ROD Duct 2" dataDxfId="1650"/>
    <tableColumn id="51" xr3:uid="{00000000-0010-0000-0000-000033000000}" name="ROD Duct 3" dataDxfId="1649"/>
    <tableColumn id="52" xr3:uid="{00000000-0010-0000-0000-000034000000}" name="ROD Duct 4" dataDxfId="1648"/>
    <tableColumn id="53" xr3:uid="{00000000-0010-0000-0000-000035000000}" name="ROD Duct 5" dataDxfId="1647"/>
    <tableColumn id="54" xr3:uid="{00000000-0010-0000-0000-000036000000}" name="ROD Duct 6" dataDxfId="1646"/>
    <tableColumn id="55" xr3:uid="{00000000-0010-0000-0000-000037000000}" name="ROD Duct 7" dataDxfId="1645"/>
    <tableColumn id="56" xr3:uid="{00000000-0010-0000-0000-000038000000}" name="ROD Duct 8" dataDxfId="1644"/>
    <tableColumn id="57" xr3:uid="{00000000-0010-0000-0000-000039000000}" name="ROD Duct 9" dataDxfId="1643"/>
    <tableColumn id="58" xr3:uid="{00000000-0010-0000-0000-00003A000000}" name="ROD Duct 10" dataDxfId="164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topLeftCell="A7"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610-1 COTTAGE DR</v>
      </c>
      <c r="B1" s="118"/>
      <c r="C1" s="118"/>
      <c r="D1" s="118"/>
      <c r="E1" s="118"/>
      <c r="G1" t="str">
        <f>IF('Assignment Tool'!C1="","",IF('Assignment Tool'!C1="FST",'Assignment Tool'!D1,""))</f>
        <v/>
      </c>
      <c r="H1">
        <v>1</v>
      </c>
      <c r="I1">
        <v>1</v>
      </c>
      <c r="J1" t="str">
        <f t="array" ref="J1">IFERROR(INDEX($G$2:$G$2050,_xlfn.AGGREGATE(15,6,(ROW($G$2:$G$2050)-ROW($G$2)+1)/($G$2:$G$2050&lt;&gt;""),ROWS(J$1:J1))),"")</f>
        <v>F 610-1 COTTAGE DR</v>
      </c>
      <c r="K1">
        <f>IF(J1="","",INDEX('Assignment Tool'!E17:E2050,MATCH(FA_DATA!J1,'Assignment Tool'!D17:D2050,0)))</f>
        <v>4</v>
      </c>
    </row>
    <row r="2" spans="1:11" x14ac:dyDescent="0.25">
      <c r="A2" s="118" t="str">
        <f t="shared" ref="A2:A65" si="0">VLOOKUP(H2,$I$1:$J$1000,2)</f>
        <v>F 610-1 COTTAGE DR</v>
      </c>
      <c r="G2" t="str">
        <f>IF('Assignment Tool'!C2="","",IF('Assignment Tool'!C2="FST",'Assignment Tool'!D2,""))</f>
        <v/>
      </c>
      <c r="H2">
        <v>2</v>
      </c>
      <c r="I2">
        <f>IFERROR((I1+K1),"")</f>
        <v>5</v>
      </c>
      <c r="J2" t="str">
        <f t="array" ref="J2">IFERROR(INDEX($G$2:$G$2050,_xlfn.AGGREGATE(15,6,(ROW($G$2:$G$2050)-ROW($G$2)+1)/($G$2:$G$2050&lt;&gt;""),ROWS(J$1:J2))),"")</f>
        <v>F 614-2 COTTAGE DR</v>
      </c>
      <c r="K2">
        <f>IF(J2="","",INDEX('Assignment Tool'!E18:E2051,MATCH(FA_DATA!J2,'Assignment Tool'!D18:D2051,0)))</f>
        <v>4</v>
      </c>
    </row>
    <row r="3" spans="1:11" x14ac:dyDescent="0.25">
      <c r="A3" s="118" t="str">
        <f t="shared" si="0"/>
        <v>F 610-1 COTTAGE DR</v>
      </c>
      <c r="G3" t="str">
        <f>IF('Assignment Tool'!C3="","",IF('Assignment Tool'!C3="FST",'Assignment Tool'!D3,""))</f>
        <v/>
      </c>
      <c r="H3">
        <v>3</v>
      </c>
      <c r="I3">
        <f t="shared" ref="I3:I66" si="1">IFERROR((I2+K2),"")</f>
        <v>9</v>
      </c>
      <c r="J3" t="str">
        <f t="array" ref="J3">IFERROR(INDEX($G$2:$G$2050,_xlfn.AGGREGATE(15,6,(ROW($G$2:$G$2050)-ROW($G$2)+1)/($G$2:$G$2050&lt;&gt;""),ROWS(J$1:J3))),"")</f>
        <v>F 624-1 COTTAGE DR</v>
      </c>
      <c r="K3">
        <f>IF(J3="","",INDEX('Assignment Tool'!E19:E2052,MATCH(FA_DATA!J3,'Assignment Tool'!D19:D2052,0)))</f>
        <v>4</v>
      </c>
    </row>
    <row r="4" spans="1:11" x14ac:dyDescent="0.25">
      <c r="A4" s="118" t="str">
        <f t="shared" si="0"/>
        <v>F 610-1 COTTAGE DR</v>
      </c>
      <c r="G4" t="str">
        <f>IF('Assignment Tool'!C4="","",IF('Assignment Tool'!C4="FST",'Assignment Tool'!D4,""))</f>
        <v/>
      </c>
      <c r="H4">
        <v>4</v>
      </c>
      <c r="I4">
        <f t="shared" si="1"/>
        <v>13</v>
      </c>
      <c r="J4" t="str">
        <f t="array" ref="J4">IFERROR(INDEX($G$2:$G$2050,_xlfn.AGGREGATE(15,6,(ROW($G$2:$G$2050)-ROW($G$2)+1)/($G$2:$G$2050&lt;&gt;""),ROWS(J$1:J4))),"")</f>
        <v>F 4420-1 CANTERBURY ST</v>
      </c>
      <c r="K4">
        <f>IF(J4="","",INDEX('Assignment Tool'!E20:E2053,MATCH(FA_DATA!J4,'Assignment Tool'!D20:D2053,0)))</f>
        <v>8</v>
      </c>
    </row>
    <row r="5" spans="1:11" x14ac:dyDescent="0.25">
      <c r="A5" s="118" t="str">
        <f t="shared" si="0"/>
        <v>F 614-2 COTTAGE DR</v>
      </c>
      <c r="G5" t="str">
        <f>IF('Assignment Tool'!C5="","",IF('Assignment Tool'!C5="FST",'Assignment Tool'!D5,""))</f>
        <v/>
      </c>
      <c r="H5">
        <v>5</v>
      </c>
      <c r="I5">
        <f t="shared" si="1"/>
        <v>21</v>
      </c>
      <c r="J5" t="str">
        <f t="array" ref="J5">IFERROR(INDEX($G$2:$G$2050,_xlfn.AGGREGATE(15,6,(ROW($G$2:$G$2050)-ROW($G$2)+1)/($G$2:$G$2050&lt;&gt;""),ROWS(J$1:J5))),"")</f>
        <v>F 4434-1 CANTERBURY ST</v>
      </c>
      <c r="K5">
        <f>IF(J5="","",INDEX('Assignment Tool'!E21:E2054,MATCH(FA_DATA!J5,'Assignment Tool'!D21:D2054,0)))</f>
        <v>4</v>
      </c>
    </row>
    <row r="6" spans="1:11" x14ac:dyDescent="0.25">
      <c r="A6" s="118" t="str">
        <f t="shared" si="0"/>
        <v>F 614-2 COTTAGE DR</v>
      </c>
      <c r="G6" t="str">
        <f>IF('Assignment Tool'!C6="","",IF('Assignment Tool'!C6="FST",'Assignment Tool'!D6,""))</f>
        <v/>
      </c>
      <c r="H6">
        <v>6</v>
      </c>
      <c r="I6">
        <f t="shared" si="1"/>
        <v>25</v>
      </c>
      <c r="J6" t="str">
        <f t="array" ref="J6">IFERROR(INDEX($G$2:$G$2050,_xlfn.AGGREGATE(15,6,(ROW($G$2:$G$2050)-ROW($G$2)+1)/($G$2:$G$2050&lt;&gt;""),ROWS(J$1:J6))),"")</f>
        <v>F 4442-1 CANTERBURY ST</v>
      </c>
      <c r="K6">
        <f>IF(J6="","",INDEX('Assignment Tool'!E22:E2055,MATCH(FA_DATA!J6,'Assignment Tool'!D22:D2055,0)))</f>
        <v>4</v>
      </c>
    </row>
    <row r="7" spans="1:11" x14ac:dyDescent="0.25">
      <c r="A7" s="118" t="str">
        <f t="shared" si="0"/>
        <v>F 614-2 COTTAGE DR</v>
      </c>
      <c r="G7" t="str">
        <f>IF('Assignment Tool'!C7="","",IF('Assignment Tool'!C7="FST",'Assignment Tool'!D7,""))</f>
        <v/>
      </c>
      <c r="H7">
        <v>7</v>
      </c>
      <c r="I7">
        <f t="shared" si="1"/>
        <v>29</v>
      </c>
      <c r="J7" t="str">
        <f t="array" ref="J7">IFERROR(INDEX($G$2:$G$2050,_xlfn.AGGREGATE(15,6,(ROW($G$2:$G$2050)-ROW($G$2)+1)/($G$2:$G$2050&lt;&gt;""),ROWS(J$1:J7))),"")</f>
        <v>F 4450-1 CANTERBURY ST</v>
      </c>
      <c r="K7">
        <f>IF(J7="","",INDEX('Assignment Tool'!E23:E2056,MATCH(FA_DATA!J7,'Assignment Tool'!D23:D2056,0)))</f>
        <v>4</v>
      </c>
    </row>
    <row r="8" spans="1:11" x14ac:dyDescent="0.25">
      <c r="A8" s="118" t="str">
        <f t="shared" si="0"/>
        <v>F 614-2 COTTAGE DR</v>
      </c>
      <c r="G8" t="str">
        <f>IF('Assignment Tool'!C8="","",IF('Assignment Tool'!C8="FST",'Assignment Tool'!D8,""))</f>
        <v/>
      </c>
      <c r="H8">
        <v>8</v>
      </c>
      <c r="I8">
        <f t="shared" si="1"/>
        <v>33</v>
      </c>
      <c r="J8" t="str">
        <f t="array" ref="J8">IFERROR(INDEX($G$2:$G$2050,_xlfn.AGGREGATE(15,6,(ROW($G$2:$G$2050)-ROW($G$2)+1)/($G$2:$G$2050&lt;&gt;""),ROWS(J$1:J8))),"")</f>
        <v>F 4458-1 CANTERBURY ST</v>
      </c>
      <c r="K8">
        <f>IF(J8="","",INDEX('Assignment Tool'!E24:E2057,MATCH(FA_DATA!J8,'Assignment Tool'!D24:D2057,0)))</f>
        <v>4</v>
      </c>
    </row>
    <row r="9" spans="1:11" x14ac:dyDescent="0.25">
      <c r="A9" s="118" t="str">
        <f t="shared" si="0"/>
        <v>F 624-1 COTTAGE DR</v>
      </c>
      <c r="G9" t="str">
        <f>IF('Assignment Tool'!C9="","",IF('Assignment Tool'!C9="FST",'Assignment Tool'!D9,""))</f>
        <v/>
      </c>
      <c r="H9">
        <v>9</v>
      </c>
      <c r="I9">
        <f t="shared" si="1"/>
        <v>37</v>
      </c>
      <c r="J9" t="str">
        <f t="array" ref="J9">IFERROR(INDEX($G$2:$G$2050,_xlfn.AGGREGATE(15,6,(ROW($G$2:$G$2050)-ROW($G$2)+1)/($G$2:$G$2050&lt;&gt;""),ROWS(J$1:J9))),"")</f>
        <v>F 4466-2 CANTERBURY ST</v>
      </c>
      <c r="K9">
        <f>IF(J9="","",INDEX('Assignment Tool'!E25:E2058,MATCH(FA_DATA!J9,'Assignment Tool'!D25:D2058,0)))</f>
        <v>4</v>
      </c>
    </row>
    <row r="10" spans="1:11" x14ac:dyDescent="0.25">
      <c r="A10" s="118" t="str">
        <f t="shared" si="0"/>
        <v>F 624-1 COTTAGE DR</v>
      </c>
      <c r="G10" t="str">
        <f>IF('Assignment Tool'!C10="","",IF('Assignment Tool'!C10="FST",'Assignment Tool'!D10,""))</f>
        <v/>
      </c>
      <c r="H10">
        <v>10</v>
      </c>
      <c r="I10">
        <f t="shared" si="1"/>
        <v>41</v>
      </c>
      <c r="J10" t="str">
        <f t="array" ref="J10">IFERROR(INDEX($G$2:$G$2050,_xlfn.AGGREGATE(15,6,(ROW($G$2:$G$2050)-ROW($G$2)+1)/($G$2:$G$2050&lt;&gt;""),ROWS(J$1:J10))),"")</f>
        <v>F 4474-1 CANTERBURY ST</v>
      </c>
      <c r="K10">
        <f>IF(J10="","",INDEX('Assignment Tool'!E26:E2059,MATCH(FA_DATA!J10,'Assignment Tool'!D26:D2059,0)))</f>
        <v>4</v>
      </c>
    </row>
    <row r="11" spans="1:11" x14ac:dyDescent="0.25">
      <c r="A11" s="118" t="str">
        <f t="shared" si="0"/>
        <v>F 624-1 COTTAGE DR</v>
      </c>
      <c r="G11" t="str">
        <f>IF('Assignment Tool'!C11="","",IF('Assignment Tool'!C11="FST",'Assignment Tool'!D11,""))</f>
        <v/>
      </c>
      <c r="H11">
        <v>11</v>
      </c>
      <c r="I11">
        <f t="shared" si="1"/>
        <v>45</v>
      </c>
      <c r="J11" t="str">
        <f t="array" ref="J11">IFERROR(INDEX($G$2:$G$2050,_xlfn.AGGREGATE(15,6,(ROW($G$2:$G$2050)-ROW($G$2)+1)/($G$2:$G$2050&lt;&gt;""),ROWS(J$1:J11))),"")</f>
        <v>F 4482-1 CANTERBURY ST</v>
      </c>
      <c r="K11">
        <f>IF(J11="","",INDEX('Assignment Tool'!E27:E2060,MATCH(FA_DATA!J11,'Assignment Tool'!D27:D2060,0)))</f>
        <v>4</v>
      </c>
    </row>
    <row r="12" spans="1:11" x14ac:dyDescent="0.25">
      <c r="A12" s="118" t="str">
        <f t="shared" si="0"/>
        <v>F 624-1 COTTAGE DR</v>
      </c>
      <c r="G12" t="str">
        <f>IF('Assignment Tool'!C12="","",IF('Assignment Tool'!C12="FST",'Assignment Tool'!D12,""))</f>
        <v/>
      </c>
      <c r="H12">
        <v>12</v>
      </c>
      <c r="I12">
        <f t="shared" si="1"/>
        <v>49</v>
      </c>
      <c r="J12" t="str">
        <f t="array" ref="J12">IFERROR(INDEX($G$2:$G$2050,_xlfn.AGGREGATE(15,6,(ROW($G$2:$G$2050)-ROW($G$2)+1)/($G$2:$G$2050&lt;&gt;""),ROWS(J$1:J12))),"")</f>
        <v>F 4498-1 CANTERBURY ST</v>
      </c>
      <c r="K12">
        <f>IF(J12="","",INDEX('Assignment Tool'!E28:E2061,MATCH(FA_DATA!J12,'Assignment Tool'!D28:D2061,0)))</f>
        <v>4</v>
      </c>
    </row>
    <row r="13" spans="1:11" x14ac:dyDescent="0.25">
      <c r="A13" s="118" t="str">
        <f t="shared" si="0"/>
        <v>F 4420-1 CANTERBURY ST</v>
      </c>
      <c r="G13" t="str">
        <f>IF('Assignment Tool'!C13="","",IF('Assignment Tool'!C13="FST",'Assignment Tool'!D13,""))</f>
        <v/>
      </c>
      <c r="H13">
        <v>13</v>
      </c>
      <c r="I13">
        <f t="shared" si="1"/>
        <v>53</v>
      </c>
      <c r="J13" t="str">
        <f t="array" ref="J13">IFERROR(INDEX($G$2:$G$2050,_xlfn.AGGREGATE(15,6,(ROW($G$2:$G$2050)-ROW($G$2)+1)/($G$2:$G$2050&lt;&gt;""),ROWS(J$1:J13))),"")</f>
        <v>F 4489-1 CANTERBURY ST</v>
      </c>
      <c r="K13">
        <f>IF(J13="","",INDEX('Assignment Tool'!E29:E2062,MATCH(FA_DATA!J13,'Assignment Tool'!D29:D2062,0)))</f>
        <v>8</v>
      </c>
    </row>
    <row r="14" spans="1:11" x14ac:dyDescent="0.25">
      <c r="A14" s="118" t="str">
        <f t="shared" si="0"/>
        <v>F 4420-1 CANTERBURY ST</v>
      </c>
      <c r="G14" t="str">
        <f>IF('Assignment Tool'!C14="","",IF('Assignment Tool'!C14="FST",'Assignment Tool'!D14,""))</f>
        <v/>
      </c>
      <c r="H14">
        <v>14</v>
      </c>
      <c r="I14">
        <f t="shared" si="1"/>
        <v>61</v>
      </c>
      <c r="J14" t="str">
        <f t="array" ref="J14">IFERROR(INDEX($G$2:$G$2050,_xlfn.AGGREGATE(15,6,(ROW($G$2:$G$2050)-ROW($G$2)+1)/($G$2:$G$2050&lt;&gt;""),ROWS(J$1:J14))),"")</f>
        <v>F 4412-2 CANTERBURY ST</v>
      </c>
      <c r="K14">
        <f>IF(J14="","",INDEX('Assignment Tool'!E30:E2063,MATCH(FA_DATA!J14,'Assignment Tool'!D30:D2063,0)))</f>
        <v>4</v>
      </c>
    </row>
    <row r="15" spans="1:11" x14ac:dyDescent="0.25">
      <c r="A15" s="118" t="str">
        <f t="shared" si="0"/>
        <v>F 4420-1 CANTERBURY ST</v>
      </c>
      <c r="G15" t="str">
        <f>IF('Assignment Tool'!C15="","",IF('Assignment Tool'!C15="FST",'Assignment Tool'!D15,""))</f>
        <v/>
      </c>
      <c r="H15">
        <v>15</v>
      </c>
      <c r="I15">
        <f t="shared" si="1"/>
        <v>65</v>
      </c>
      <c r="J15" t="str">
        <f t="array" ref="J15">IFERROR(INDEX($G$2:$G$2050,_xlfn.AGGREGATE(15,6,(ROW($G$2:$G$2050)-ROW($G$2)+1)/($G$2:$G$2050&lt;&gt;""),ROWS(J$1:J15))),"")</f>
        <v>F 4404-1 CANTERBURY ST</v>
      </c>
      <c r="K15">
        <f>IF(J15="","",INDEX('Assignment Tool'!E31:E2064,MATCH(FA_DATA!J15,'Assignment Tool'!D31:D2064,0)))</f>
        <v>4</v>
      </c>
    </row>
    <row r="16" spans="1:11" x14ac:dyDescent="0.25">
      <c r="A16" s="118" t="str">
        <f t="shared" si="0"/>
        <v>F 4420-1 CANTERBURY ST</v>
      </c>
      <c r="G16" t="str">
        <f>IF('Assignment Tool'!C16="","",IF('Assignment Tool'!C16="FST",'Assignment Tool'!D16,""))</f>
        <v/>
      </c>
      <c r="H16">
        <v>16</v>
      </c>
      <c r="I16">
        <f t="shared" si="1"/>
        <v>69</v>
      </c>
      <c r="J16" t="str">
        <f t="array" ref="J16">IFERROR(INDEX($G$2:$G$2050,_xlfn.AGGREGATE(15,6,(ROW($G$2:$G$2050)-ROW($G$2)+1)/($G$2:$G$2050&lt;&gt;""),ROWS(J$1:J16))),"")</f>
        <v>F 4396-1 CANTERBURY ST</v>
      </c>
      <c r="K16">
        <f>IF(J16="","",INDEX('Assignment Tool'!E32:E2065,MATCH(FA_DATA!J16,'Assignment Tool'!D32:D2065,0)))</f>
        <v>4</v>
      </c>
    </row>
    <row r="17" spans="1:11" x14ac:dyDescent="0.25">
      <c r="A17" s="118" t="str">
        <f t="shared" si="0"/>
        <v>F 4420-1 CANTERBURY ST</v>
      </c>
      <c r="G17" t="str">
        <f>IF('Assignment Tool'!C17="","",IF('Assignment Tool'!C17="FST",'Assignment Tool'!D17,""))</f>
        <v/>
      </c>
      <c r="H17">
        <v>17</v>
      </c>
      <c r="I17">
        <f t="shared" si="1"/>
        <v>73</v>
      </c>
      <c r="J17" t="str">
        <f t="array" ref="J17">IFERROR(INDEX($G$2:$G$2050,_xlfn.AGGREGATE(15,6,(ROW($G$2:$G$2050)-ROW($G$2)+1)/($G$2:$G$2050&lt;&gt;""),ROWS(J$1:J17))),"")</f>
        <v>F 4388-2 CANTERBURY ST</v>
      </c>
      <c r="K17">
        <f>IF(J17="","",INDEX('Assignment Tool'!E33:E2066,MATCH(FA_DATA!J17,'Assignment Tool'!D33:D2066,0)))</f>
        <v>4</v>
      </c>
    </row>
    <row r="18" spans="1:11" x14ac:dyDescent="0.25">
      <c r="A18" s="118" t="str">
        <f t="shared" si="0"/>
        <v>F 4420-1 CANTERBURY ST</v>
      </c>
      <c r="G18" t="str">
        <f>IF('Assignment Tool'!C18="","",IF('Assignment Tool'!C18="FST",'Assignment Tool'!D18,""))</f>
        <v/>
      </c>
      <c r="H18">
        <v>18</v>
      </c>
      <c r="I18">
        <f t="shared" si="1"/>
        <v>77</v>
      </c>
      <c r="J18" t="str">
        <f t="array" ref="J18">IFERROR(INDEX($G$2:$G$2050,_xlfn.AGGREGATE(15,6,(ROW($G$2:$G$2050)-ROW($G$2)+1)/($G$2:$G$2050&lt;&gt;""),ROWS(J$1:J18))),"")</f>
        <v>F 4380-2 CANTERBURY ST</v>
      </c>
      <c r="K18">
        <f>IF(J18="","",INDEX('Assignment Tool'!E34:E2067,MATCH(FA_DATA!J18,'Assignment Tool'!D34:D2067,0)))</f>
        <v>4</v>
      </c>
    </row>
    <row r="19" spans="1:11" x14ac:dyDescent="0.25">
      <c r="A19" s="118" t="str">
        <f t="shared" si="0"/>
        <v>F 4420-1 CANTERBURY ST</v>
      </c>
      <c r="G19" t="str">
        <f>IF('Assignment Tool'!C19="","",IF('Assignment Tool'!C19="FST",'Assignment Tool'!D19,""))</f>
        <v/>
      </c>
      <c r="H19">
        <v>19</v>
      </c>
      <c r="I19">
        <f t="shared" si="1"/>
        <v>81</v>
      </c>
      <c r="J19" t="str">
        <f t="array" ref="J19">IFERROR(INDEX($G$2:$G$2050,_xlfn.AGGREGATE(15,6,(ROW($G$2:$G$2050)-ROW($G$2)+1)/($G$2:$G$2050&lt;&gt;""),ROWS(J$1:J19))),"")</f>
        <v>F 4372-2 CANTERBURY ST</v>
      </c>
      <c r="K19">
        <f>IF(J19="","",INDEX('Assignment Tool'!E35:E2068,MATCH(FA_DATA!J19,'Assignment Tool'!D35:D2068,0)))</f>
        <v>4</v>
      </c>
    </row>
    <row r="20" spans="1:11" x14ac:dyDescent="0.25">
      <c r="A20" s="118" t="str">
        <f t="shared" si="0"/>
        <v>F 4420-1 CANTERBURY ST</v>
      </c>
      <c r="G20" t="str">
        <f>IF('Assignment Tool'!C20="","",IF('Assignment Tool'!C20="FST",'Assignment Tool'!D20,""))</f>
        <v/>
      </c>
      <c r="H20">
        <v>20</v>
      </c>
      <c r="I20">
        <f t="shared" si="1"/>
        <v>85</v>
      </c>
      <c r="J20" t="str">
        <f t="array" ref="J20">IFERROR(INDEX($G$2:$G$2050,_xlfn.AGGREGATE(15,6,(ROW($G$2:$G$2050)-ROW($G$2)+1)/($G$2:$G$2050&lt;&gt;""),ROWS(J$1:J20))),"")</f>
        <v>F 4364-2 CANTERBURY ST</v>
      </c>
      <c r="K20">
        <f>IF(J20="","",INDEX('Assignment Tool'!E36:E2069,MATCH(FA_DATA!J20,'Assignment Tool'!D36:D2069,0)))</f>
        <v>4</v>
      </c>
    </row>
    <row r="21" spans="1:11" x14ac:dyDescent="0.25">
      <c r="A21" s="118" t="str">
        <f t="shared" si="0"/>
        <v>F 4434-1 CANTERBURY ST</v>
      </c>
      <c r="G21" t="str">
        <f>IF('Assignment Tool'!C21="","",IF('Assignment Tool'!C21="FST",'Assignment Tool'!D21,""))</f>
        <v/>
      </c>
      <c r="H21">
        <v>21</v>
      </c>
      <c r="I21">
        <f t="shared" si="1"/>
        <v>89</v>
      </c>
      <c r="J21" t="str">
        <f t="array" ref="J21">IFERROR(INDEX($G$2:$G$2050,_xlfn.AGGREGATE(15,6,(ROW($G$2:$G$2050)-ROW($G$2)+1)/($G$2:$G$2050&lt;&gt;""),ROWS(J$1:J21))),"")</f>
        <v>F 4356-1 CANTERBURY ST</v>
      </c>
      <c r="K21">
        <f>IF(J21="","",INDEX('Assignment Tool'!E37:E2070,MATCH(FA_DATA!J21,'Assignment Tool'!D37:D2070,0)))</f>
        <v>4</v>
      </c>
    </row>
    <row r="22" spans="1:11" x14ac:dyDescent="0.25">
      <c r="A22" s="118" t="str">
        <f t="shared" si="0"/>
        <v>F 4434-1 CANTERBURY ST</v>
      </c>
      <c r="G22" t="str">
        <f>IF('Assignment Tool'!C22="","",IF('Assignment Tool'!C22="FST",'Assignment Tool'!D22,""))</f>
        <v/>
      </c>
      <c r="H22">
        <v>22</v>
      </c>
      <c r="I22">
        <f t="shared" si="1"/>
        <v>93</v>
      </c>
      <c r="J22" t="str">
        <f t="array" ref="J22">IFERROR(INDEX($G$2:$G$2050,_xlfn.AGGREGATE(15,6,(ROW($G$2:$G$2050)-ROW($G$2)+1)/($G$2:$G$2050&lt;&gt;""),ROWS(J$1:J22))),"")</f>
        <v>F 4344-1 CANTERBURY ST</v>
      </c>
      <c r="K22">
        <f>IF(J22="","",INDEX('Assignment Tool'!E38:E2071,MATCH(FA_DATA!J22,'Assignment Tool'!D38:D2071,0)))</f>
        <v>4</v>
      </c>
    </row>
    <row r="23" spans="1:11" x14ac:dyDescent="0.25">
      <c r="A23" s="118" t="str">
        <f t="shared" si="0"/>
        <v>F 4434-1 CANTERBURY ST</v>
      </c>
      <c r="G23" t="str">
        <f>IF('Assignment Tool'!C23="","",IF('Assignment Tool'!C23="FST",'Assignment Tool'!D23,""))</f>
        <v/>
      </c>
      <c r="H23">
        <v>23</v>
      </c>
      <c r="I23">
        <f t="shared" si="1"/>
        <v>97</v>
      </c>
      <c r="J23" t="str">
        <f t="array" ref="J23">IFERROR(INDEX($G$2:$G$2050,_xlfn.AGGREGATE(15,6,(ROW($G$2:$G$2050)-ROW($G$2)+1)/($G$2:$G$2050&lt;&gt;""),ROWS(J$1:J23))),"")</f>
        <v>F 4338-1 CANTERBURY ST</v>
      </c>
      <c r="K23">
        <f>IF(J23="","",INDEX('Assignment Tool'!E39:E2072,MATCH(FA_DATA!J23,'Assignment Tool'!D39:D2072,0)))</f>
        <v>4</v>
      </c>
    </row>
    <row r="24" spans="1:11" x14ac:dyDescent="0.25">
      <c r="A24" s="118" t="str">
        <f t="shared" si="0"/>
        <v>F 4434-1 CANTERBURY ST</v>
      </c>
      <c r="G24" t="str">
        <f>IF('Assignment Tool'!C24="","",IF('Assignment Tool'!C24="FST",'Assignment Tool'!D24,""))</f>
        <v/>
      </c>
      <c r="H24">
        <v>24</v>
      </c>
      <c r="I24">
        <f t="shared" si="1"/>
        <v>101</v>
      </c>
      <c r="J24" t="str">
        <f t="array" ref="J24">IFERROR(INDEX($G$2:$G$2050,_xlfn.AGGREGATE(15,6,(ROW($G$2:$G$2050)-ROW($G$2)+1)/($G$2:$G$2050&lt;&gt;""),ROWS(J$1:J24))),"")</f>
        <v>F 4334-1 CANTERBURY ST</v>
      </c>
      <c r="K24">
        <f>IF(J24="","",INDEX('Assignment Tool'!E40:E2073,MATCH(FA_DATA!J24,'Assignment Tool'!D40:D2073,0)))</f>
        <v>4</v>
      </c>
    </row>
    <row r="25" spans="1:11" x14ac:dyDescent="0.25">
      <c r="A25" s="118" t="str">
        <f t="shared" si="0"/>
        <v>F 4442-1 CANTERBURY ST</v>
      </c>
      <c r="G25" t="str">
        <f>IF('Assignment Tool'!C25="","",IF('Assignment Tool'!C25="FST",'Assignment Tool'!D25,""))</f>
        <v/>
      </c>
      <c r="H25">
        <v>25</v>
      </c>
      <c r="I25">
        <f t="shared" si="1"/>
        <v>105</v>
      </c>
      <c r="J25" t="str">
        <f t="array" ref="J25">IFERROR(INDEX($G$2:$G$2050,_xlfn.AGGREGATE(15,6,(ROW($G$2:$G$2050)-ROW($G$2)+1)/($G$2:$G$2050&lt;&gt;""),ROWS(J$1:J25))),"")</f>
        <v>F 4330-2 CANTERBURY ST</v>
      </c>
      <c r="K25">
        <f>IF(J25="","",INDEX('Assignment Tool'!E41:E2074,MATCH(FA_DATA!J25,'Assignment Tool'!D41:D2074,0)))</f>
        <v>4</v>
      </c>
    </row>
    <row r="26" spans="1:11" x14ac:dyDescent="0.25">
      <c r="A26" s="118" t="str">
        <f t="shared" si="0"/>
        <v>F 4442-1 CANTERBURY ST</v>
      </c>
      <c r="G26" t="str">
        <f>IF('Assignment Tool'!C26="","",IF('Assignment Tool'!C26="FST",'Assignment Tool'!D26,""))</f>
        <v/>
      </c>
      <c r="H26">
        <v>26</v>
      </c>
      <c r="I26">
        <f t="shared" si="1"/>
        <v>109</v>
      </c>
      <c r="J26" t="str">
        <f t="array" ref="J26">IFERROR(INDEX($G$2:$G$2050,_xlfn.AGGREGATE(15,6,(ROW($G$2:$G$2050)-ROW($G$2)+1)/($G$2:$G$2050&lt;&gt;""),ROWS(J$1:J26))),"")</f>
        <v>F 4261-1 HATHAWAY LN</v>
      </c>
      <c r="K26">
        <f>IF(J26="","",INDEX('Assignment Tool'!E42:E2075,MATCH(FA_DATA!J26,'Assignment Tool'!D42:D2075,0)))</f>
        <v>4</v>
      </c>
    </row>
    <row r="27" spans="1:11" x14ac:dyDescent="0.25">
      <c r="A27" s="118" t="str">
        <f t="shared" si="0"/>
        <v>F 4442-1 CANTERBURY ST</v>
      </c>
      <c r="G27" t="str">
        <f>IF('Assignment Tool'!C27="","",IF('Assignment Tool'!C27="FST",'Assignment Tool'!D27,""))</f>
        <v/>
      </c>
      <c r="H27">
        <v>27</v>
      </c>
      <c r="I27">
        <f t="shared" si="1"/>
        <v>113</v>
      </c>
      <c r="J27" t="str">
        <f t="array" ref="J27">IFERROR(INDEX($G$2:$G$2050,_xlfn.AGGREGATE(15,6,(ROW($G$2:$G$2050)-ROW($G$2)+1)/($G$2:$G$2050&lt;&gt;""),ROWS(J$1:J27))),"")</f>
        <v>F 4265-1 HATHAWAY LN</v>
      </c>
      <c r="K27">
        <f>IF(J27="","",INDEX('Assignment Tool'!E43:E2076,MATCH(FA_DATA!J27,'Assignment Tool'!D43:D2076,0)))</f>
        <v>4</v>
      </c>
    </row>
    <row r="28" spans="1:11" x14ac:dyDescent="0.25">
      <c r="A28" s="118" t="str">
        <f t="shared" si="0"/>
        <v>F 4442-1 CANTERBURY ST</v>
      </c>
      <c r="G28" t="str">
        <f>IF('Assignment Tool'!C28="","",IF('Assignment Tool'!C28="FST",'Assignment Tool'!D28,""))</f>
        <v/>
      </c>
      <c r="H28">
        <v>28</v>
      </c>
      <c r="I28">
        <f t="shared" si="1"/>
        <v>117</v>
      </c>
      <c r="J28" t="str">
        <f t="array" ref="J28">IFERROR(INDEX($G$2:$G$2050,_xlfn.AGGREGATE(15,6,(ROW($G$2:$G$2050)-ROW($G$2)+1)/($G$2:$G$2050&lt;&gt;""),ROWS(J$1:J28))),"")</f>
        <v>F 4273-1 HATHAWAY LN</v>
      </c>
      <c r="K28">
        <f>IF(J28="","",INDEX('Assignment Tool'!E44:E2077,MATCH(FA_DATA!J28,'Assignment Tool'!D44:D2077,0)))</f>
        <v>4</v>
      </c>
    </row>
    <row r="29" spans="1:11" x14ac:dyDescent="0.25">
      <c r="A29" s="118" t="str">
        <f t="shared" si="0"/>
        <v>F 4450-1 CANTERBURY ST</v>
      </c>
      <c r="G29" t="str">
        <f>IF('Assignment Tool'!C29="","",IF('Assignment Tool'!C29="FST",'Assignment Tool'!D29,""))</f>
        <v/>
      </c>
      <c r="H29">
        <v>29</v>
      </c>
      <c r="I29">
        <f t="shared" si="1"/>
        <v>121</v>
      </c>
      <c r="J29" t="str">
        <f t="array" ref="J29">IFERROR(INDEX($G$2:$G$2050,_xlfn.AGGREGATE(15,6,(ROW($G$2:$G$2050)-ROW($G$2)+1)/($G$2:$G$2050&lt;&gt;""),ROWS(J$1:J29))),"")</f>
        <v>F 4281-1 HATHAWAY LN</v>
      </c>
      <c r="K29">
        <f>IF(J29="","",INDEX('Assignment Tool'!E45:E2078,MATCH(FA_DATA!J29,'Assignment Tool'!D45:D2078,0)))</f>
        <v>4</v>
      </c>
    </row>
    <row r="30" spans="1:11" x14ac:dyDescent="0.25">
      <c r="A30" s="118" t="str">
        <f t="shared" si="0"/>
        <v>F 4450-1 CANTERBURY ST</v>
      </c>
      <c r="G30" t="str">
        <f>IF('Assignment Tool'!C30="","",IF('Assignment Tool'!C30="FST",'Assignment Tool'!D30,""))</f>
        <v/>
      </c>
      <c r="H30">
        <v>30</v>
      </c>
      <c r="I30">
        <f t="shared" si="1"/>
        <v>125</v>
      </c>
      <c r="J30" t="str">
        <f t="array" ref="J30">IFERROR(INDEX($G$2:$G$2050,_xlfn.AGGREGATE(15,6,(ROW($G$2:$G$2050)-ROW($G$2)+1)/($G$2:$G$2050&lt;&gt;""),ROWS(J$1:J30))),"")</f>
        <v>F 4289-1 HATHAWAY LN</v>
      </c>
      <c r="K30">
        <f>IF(J30="","",INDEX('Assignment Tool'!E46:E2079,MATCH(FA_DATA!J30,'Assignment Tool'!D46:D2079,0)))</f>
        <v>4</v>
      </c>
    </row>
    <row r="31" spans="1:11" x14ac:dyDescent="0.25">
      <c r="A31" s="118" t="str">
        <f t="shared" si="0"/>
        <v>F 4450-1 CANTERBURY ST</v>
      </c>
      <c r="G31" t="str">
        <f>IF('Assignment Tool'!C31="","",IF('Assignment Tool'!C31="FST",'Assignment Tool'!D31,""))</f>
        <v/>
      </c>
      <c r="H31">
        <v>31</v>
      </c>
      <c r="I31">
        <f t="shared" si="1"/>
        <v>129</v>
      </c>
      <c r="J31" t="str">
        <f t="array" ref="J31">IFERROR(INDEX($G$2:$G$2050,_xlfn.AGGREGATE(15,6,(ROW($G$2:$G$2050)-ROW($G$2)+1)/($G$2:$G$2050&lt;&gt;""),ROWS(J$1:J31))),"")</f>
        <v>F 4297-1 HATHAWAY LN</v>
      </c>
      <c r="K31">
        <f>IF(J31="","",INDEX('Assignment Tool'!E47:E2080,MATCH(FA_DATA!J31,'Assignment Tool'!D47:D2080,0)))</f>
        <v>4</v>
      </c>
    </row>
    <row r="32" spans="1:11" x14ac:dyDescent="0.25">
      <c r="A32" s="118" t="str">
        <f t="shared" si="0"/>
        <v>F 4450-1 CANTERBURY ST</v>
      </c>
      <c r="G32" t="str">
        <f>IF('Assignment Tool'!C32="","",IF('Assignment Tool'!C32="FST",'Assignment Tool'!D32,""))</f>
        <v/>
      </c>
      <c r="H32">
        <v>32</v>
      </c>
      <c r="I32">
        <f t="shared" si="1"/>
        <v>133</v>
      </c>
      <c r="J32" t="str">
        <f t="array" ref="J32">IFERROR(INDEX($G$2:$G$2050,_xlfn.AGGREGATE(15,6,(ROW($G$2:$G$2050)-ROW($G$2)+1)/($G$2:$G$2050&lt;&gt;""),ROWS(J$1:J32))),"")</f>
        <v>F 4305-1 HATHAWAY LN</v>
      </c>
      <c r="K32">
        <f>IF(J32="","",INDEX('Assignment Tool'!E48:E2081,MATCH(FA_DATA!J32,'Assignment Tool'!D48:D2081,0)))</f>
        <v>4</v>
      </c>
    </row>
    <row r="33" spans="1:11" x14ac:dyDescent="0.25">
      <c r="A33" s="118" t="str">
        <f t="shared" si="0"/>
        <v>F 4458-1 CANTERBURY ST</v>
      </c>
      <c r="G33" t="str">
        <f>IF('Assignment Tool'!C33="","",IF('Assignment Tool'!C33="FST",'Assignment Tool'!D33,""))</f>
        <v/>
      </c>
      <c r="H33">
        <v>33</v>
      </c>
      <c r="I33">
        <f t="shared" si="1"/>
        <v>137</v>
      </c>
      <c r="J33" t="str">
        <f t="array" ref="J33">IFERROR(INDEX($G$2:$G$2050,_xlfn.AGGREGATE(15,6,(ROW($G$2:$G$2050)-ROW($G$2)+1)/($G$2:$G$2050&lt;&gt;""),ROWS(J$1:J33))),"")</f>
        <v>F 4313-1 HATHAWAY LN</v>
      </c>
      <c r="K33">
        <f>IF(J33="","",INDEX('Assignment Tool'!E49:E2082,MATCH(FA_DATA!J33,'Assignment Tool'!D49:D2082,0)))</f>
        <v>4</v>
      </c>
    </row>
    <row r="34" spans="1:11" x14ac:dyDescent="0.25">
      <c r="A34" s="118" t="str">
        <f t="shared" si="0"/>
        <v>F 4458-1 CANTERBURY ST</v>
      </c>
      <c r="G34" t="str">
        <f>IF('Assignment Tool'!C34="","",IF('Assignment Tool'!C34="FST",'Assignment Tool'!D34,""))</f>
        <v/>
      </c>
      <c r="H34">
        <v>34</v>
      </c>
      <c r="I34">
        <f t="shared" si="1"/>
        <v>141</v>
      </c>
      <c r="J34" t="str">
        <f t="array" ref="J34">IFERROR(INDEX($G$2:$G$2050,_xlfn.AGGREGATE(15,6,(ROW($G$2:$G$2050)-ROW($G$2)+1)/($G$2:$G$2050&lt;&gt;""),ROWS(J$1:J34))),"")</f>
        <v>F 4321-1 HATHAWAY LN</v>
      </c>
      <c r="K34">
        <f>IF(J34="","",INDEX('Assignment Tool'!E50:E2083,MATCH(FA_DATA!J34,'Assignment Tool'!D50:D2083,0)))</f>
        <v>4</v>
      </c>
    </row>
    <row r="35" spans="1:11" x14ac:dyDescent="0.25">
      <c r="A35" s="118" t="str">
        <f t="shared" si="0"/>
        <v>F 4458-1 CANTERBURY ST</v>
      </c>
      <c r="G35" t="str">
        <f>IF('Assignment Tool'!C35="","",IF('Assignment Tool'!C35="FST",'Assignment Tool'!D35,""))</f>
        <v/>
      </c>
      <c r="H35">
        <v>35</v>
      </c>
      <c r="I35">
        <f t="shared" si="1"/>
        <v>145</v>
      </c>
      <c r="J35" t="str">
        <f t="array" ref="J35">IFERROR(INDEX($G$2:$G$2050,_xlfn.AGGREGATE(15,6,(ROW($G$2:$G$2050)-ROW($G$2)+1)/($G$2:$G$2050&lt;&gt;""),ROWS(J$1:J35))),"")</f>
        <v>F 4329-1 HATHAWAY LN</v>
      </c>
      <c r="K35">
        <f>IF(J35="","",INDEX('Assignment Tool'!E51:E2084,MATCH(FA_DATA!J35,'Assignment Tool'!D51:D2084,0)))</f>
        <v>4</v>
      </c>
    </row>
    <row r="36" spans="1:11" x14ac:dyDescent="0.25">
      <c r="A36" s="118" t="str">
        <f t="shared" si="0"/>
        <v>F 4458-1 CANTERBURY ST</v>
      </c>
      <c r="G36" t="str">
        <f>IF('Assignment Tool'!C36="","",IF('Assignment Tool'!C36="FST",'Assignment Tool'!D36,""))</f>
        <v/>
      </c>
      <c r="H36">
        <v>36</v>
      </c>
      <c r="I36">
        <f t="shared" si="1"/>
        <v>149</v>
      </c>
      <c r="J36" t="str">
        <f t="array" ref="J36">IFERROR(INDEX($G$2:$G$2050,_xlfn.AGGREGATE(15,6,(ROW($G$2:$G$2050)-ROW($G$2)+1)/($G$2:$G$2050&lt;&gt;""),ROWS(J$1:J36))),"")</f>
        <v>F 4330-1 HATHAWAY LN</v>
      </c>
      <c r="K36">
        <f>IF(J36="","",INDEX('Assignment Tool'!E52:E2085,MATCH(FA_DATA!J36,'Assignment Tool'!D52:D2085,0)))</f>
        <v>8</v>
      </c>
    </row>
    <row r="37" spans="1:11" x14ac:dyDescent="0.25">
      <c r="A37" s="118" t="str">
        <f t="shared" si="0"/>
        <v>F 4466-2 CANTERBURY ST</v>
      </c>
      <c r="G37" t="str">
        <f>IF('Assignment Tool'!C37="","",IF('Assignment Tool'!C37="FST",'Assignment Tool'!D37,""))</f>
        <v/>
      </c>
      <c r="H37">
        <v>37</v>
      </c>
      <c r="I37">
        <f t="shared" si="1"/>
        <v>157</v>
      </c>
      <c r="J37" t="str">
        <f t="array" ref="J37">IFERROR(INDEX($G$2:$G$2050,_xlfn.AGGREGATE(15,6,(ROW($G$2:$G$2050)-ROW($G$2)+1)/($G$2:$G$2050&lt;&gt;""),ROWS(J$1:J37))),"")</f>
        <v>F 4249-1 HATHAWAY LN</v>
      </c>
      <c r="K37">
        <f>IF(J37="","",INDEX('Assignment Tool'!E53:E2086,MATCH(FA_DATA!J37,'Assignment Tool'!D53:D2086,0)))</f>
        <v>4</v>
      </c>
    </row>
    <row r="38" spans="1:11" x14ac:dyDescent="0.25">
      <c r="A38" s="118" t="str">
        <f t="shared" si="0"/>
        <v>F 4466-2 CANTERBURY ST</v>
      </c>
      <c r="G38" t="str">
        <f>IF('Assignment Tool'!C38="","",IF('Assignment Tool'!C38="FST",'Assignment Tool'!D38,""))</f>
        <v/>
      </c>
      <c r="H38">
        <v>38</v>
      </c>
      <c r="I38">
        <f t="shared" si="1"/>
        <v>161</v>
      </c>
      <c r="J38" t="str">
        <f t="array" ref="J38">IFERROR(INDEX($G$2:$G$2050,_xlfn.AGGREGATE(15,6,(ROW($G$2:$G$2050)-ROW($G$2)+1)/($G$2:$G$2050&lt;&gt;""),ROWS(J$1:J38))),"")</f>
        <v>F 4241-1 HATHAWAY LN</v>
      </c>
      <c r="K38">
        <f>IF(J38="","",INDEX('Assignment Tool'!E54:E2087,MATCH(FA_DATA!J38,'Assignment Tool'!D54:D2087,0)))</f>
        <v>4</v>
      </c>
    </row>
    <row r="39" spans="1:11" x14ac:dyDescent="0.25">
      <c r="A39" s="118" t="str">
        <f t="shared" si="0"/>
        <v>F 4466-2 CANTERBURY ST</v>
      </c>
      <c r="G39" t="str">
        <f>IF('Assignment Tool'!C39="","",IF('Assignment Tool'!C39="FST",'Assignment Tool'!D39,""))</f>
        <v/>
      </c>
      <c r="H39">
        <v>39</v>
      </c>
      <c r="I39">
        <f t="shared" si="1"/>
        <v>165</v>
      </c>
      <c r="J39" t="str">
        <f t="array" ref="J39">IFERROR(INDEX($G$2:$G$2050,_xlfn.AGGREGATE(15,6,(ROW($G$2:$G$2050)-ROW($G$2)+1)/($G$2:$G$2050&lt;&gt;""),ROWS(J$1:J39))),"")</f>
        <v>F 4233-1 HATHAWAY LN</v>
      </c>
      <c r="K39">
        <f>IF(J39="","",INDEX('Assignment Tool'!E55:E2088,MATCH(FA_DATA!J39,'Assignment Tool'!D55:D2088,0)))</f>
        <v>4</v>
      </c>
    </row>
    <row r="40" spans="1:11" x14ac:dyDescent="0.25">
      <c r="A40" s="118" t="str">
        <f t="shared" si="0"/>
        <v>F 4466-2 CANTERBURY ST</v>
      </c>
      <c r="G40" t="str">
        <f>IF('Assignment Tool'!C40="","",IF('Assignment Tool'!C40="FST",'Assignment Tool'!D40,""))</f>
        <v/>
      </c>
      <c r="H40">
        <v>40</v>
      </c>
      <c r="I40">
        <f t="shared" si="1"/>
        <v>169</v>
      </c>
      <c r="J40" t="str">
        <f t="array" ref="J40">IFERROR(INDEX($G$2:$G$2050,_xlfn.AGGREGATE(15,6,(ROW($G$2:$G$2050)-ROW($G$2)+1)/($G$2:$G$2050&lt;&gt;""),ROWS(J$1:J40))),"")</f>
        <v>F 4225-2 HATHAWAY LN</v>
      </c>
      <c r="K40">
        <f>IF(J40="","",INDEX('Assignment Tool'!E56:E2089,MATCH(FA_DATA!J40,'Assignment Tool'!D56:D2089,0)))</f>
        <v>4</v>
      </c>
    </row>
    <row r="41" spans="1:11" x14ac:dyDescent="0.25">
      <c r="A41" s="118" t="str">
        <f t="shared" si="0"/>
        <v>F 4474-1 CANTERBURY ST</v>
      </c>
      <c r="G41" t="str">
        <f>IF('Assignment Tool'!C41="","",IF('Assignment Tool'!C41="FST",'Assignment Tool'!D41,""))</f>
        <v/>
      </c>
      <c r="H41">
        <v>41</v>
      </c>
      <c r="I41">
        <f t="shared" si="1"/>
        <v>173</v>
      </c>
      <c r="J41" t="str">
        <f t="array" ref="J41">IFERROR(INDEX($G$2:$G$2050,_xlfn.AGGREGATE(15,6,(ROW($G$2:$G$2050)-ROW($G$2)+1)/($G$2:$G$2050&lt;&gt;""),ROWS(J$1:J41))),"")</f>
        <v>F 4215-2 HATHAWAY LN</v>
      </c>
      <c r="K41">
        <f>IF(J41="","",INDEX('Assignment Tool'!E57:E2090,MATCH(FA_DATA!J41,'Assignment Tool'!D57:D2090,0)))</f>
        <v>4</v>
      </c>
    </row>
    <row r="42" spans="1:11" x14ac:dyDescent="0.25">
      <c r="A42" s="118" t="str">
        <f t="shared" si="0"/>
        <v>F 4474-1 CANTERBURY ST</v>
      </c>
      <c r="G42" t="str">
        <f>IF('Assignment Tool'!C42="","",IF('Assignment Tool'!C42="FST",'Assignment Tool'!D42,""))</f>
        <v/>
      </c>
      <c r="H42">
        <v>42</v>
      </c>
      <c r="I42">
        <f t="shared" si="1"/>
        <v>177</v>
      </c>
      <c r="J42" t="str">
        <f t="array" ref="J42">IFERROR(INDEX($G$2:$G$2050,_xlfn.AGGREGATE(15,6,(ROW($G$2:$G$2050)-ROW($G$2)+1)/($G$2:$G$2050&lt;&gt;""),ROWS(J$1:J42))),"")</f>
        <v>F 4205-2 HATHAWAY LN</v>
      </c>
      <c r="K42">
        <f>IF(J42="","",INDEX('Assignment Tool'!E58:E2091,MATCH(FA_DATA!J42,'Assignment Tool'!D58:D2091,0)))</f>
        <v>4</v>
      </c>
    </row>
    <row r="43" spans="1:11" x14ac:dyDescent="0.25">
      <c r="A43" s="118" t="str">
        <f t="shared" si="0"/>
        <v>F 4474-1 CANTERBURY ST</v>
      </c>
      <c r="G43" t="str">
        <f>IF('Assignment Tool'!C43="","",IF('Assignment Tool'!C43="FST",'Assignment Tool'!D43,""))</f>
        <v/>
      </c>
      <c r="H43">
        <v>43</v>
      </c>
      <c r="I43">
        <f t="shared" si="1"/>
        <v>181</v>
      </c>
      <c r="J43" t="str">
        <f t="array" ref="J43">IFERROR(INDEX($G$2:$G$2050,_xlfn.AGGREGATE(15,6,(ROW($G$2:$G$2050)-ROW($G$2)+1)/($G$2:$G$2050&lt;&gt;""),ROWS(J$1:J43))),"")</f>
        <v>F 4197-1 HATHAWAY LN</v>
      </c>
      <c r="K43">
        <f>IF(J43="","",INDEX('Assignment Tool'!E59:E2092,MATCH(FA_DATA!J43,'Assignment Tool'!D59:D2092,0)))</f>
        <v>4</v>
      </c>
    </row>
    <row r="44" spans="1:11" x14ac:dyDescent="0.25">
      <c r="A44" s="118" t="str">
        <f t="shared" si="0"/>
        <v>F 4474-1 CANTERBURY ST</v>
      </c>
      <c r="G44" t="str">
        <f>IF('Assignment Tool'!C44="","",IF('Assignment Tool'!C44="FST",'Assignment Tool'!D44,""))</f>
        <v/>
      </c>
      <c r="H44">
        <v>44</v>
      </c>
      <c r="I44">
        <f t="shared" si="1"/>
        <v>185</v>
      </c>
      <c r="J44" t="str">
        <f t="array" ref="J44">IFERROR(INDEX($G$2:$G$2050,_xlfn.AGGREGATE(15,6,(ROW($G$2:$G$2050)-ROW($G$2)+1)/($G$2:$G$2050&lt;&gt;""),ROWS(J$1:J44))),"")</f>
        <v>F 4189-1 HATHAWAY LN</v>
      </c>
      <c r="K44">
        <f>IF(J44="","",INDEX('Assignment Tool'!E60:E2093,MATCH(FA_DATA!J44,'Assignment Tool'!D60:D2093,0)))</f>
        <v>4</v>
      </c>
    </row>
    <row r="45" spans="1:11" x14ac:dyDescent="0.25">
      <c r="A45" s="118" t="str">
        <f t="shared" si="0"/>
        <v>F 4482-1 CANTERBURY ST</v>
      </c>
      <c r="G45" t="str">
        <f>IF('Assignment Tool'!C45="","",IF('Assignment Tool'!C45="FST",'Assignment Tool'!D45,""))</f>
        <v/>
      </c>
      <c r="H45">
        <v>45</v>
      </c>
      <c r="I45">
        <f t="shared" si="1"/>
        <v>189</v>
      </c>
      <c r="J45" t="str">
        <f t="array" ref="J45">IFERROR(INDEX($G$2:$G$2050,_xlfn.AGGREGATE(15,6,(ROW($G$2:$G$2050)-ROW($G$2)+1)/($G$2:$G$2050&lt;&gt;""),ROWS(J$1:J45))),"")</f>
        <v>F 4181-1 HATHAWAY LN</v>
      </c>
      <c r="K45">
        <f>IF(J45="","",INDEX('Assignment Tool'!E61:E2094,MATCH(FA_DATA!J45,'Assignment Tool'!D61:D2094,0)))</f>
        <v>4</v>
      </c>
    </row>
    <row r="46" spans="1:11" x14ac:dyDescent="0.25">
      <c r="A46" s="118" t="str">
        <f t="shared" si="0"/>
        <v>F 4482-1 CANTERBURY ST</v>
      </c>
      <c r="G46" t="str">
        <f>IF('Assignment Tool'!C46="","",IF('Assignment Tool'!C46="FST",'Assignment Tool'!D46,""))</f>
        <v/>
      </c>
      <c r="H46">
        <v>46</v>
      </c>
      <c r="I46">
        <f t="shared" si="1"/>
        <v>193</v>
      </c>
      <c r="J46" t="str">
        <f t="array" ref="J46">IFERROR(INDEX($G$2:$G$2050,_xlfn.AGGREGATE(15,6,(ROW($G$2:$G$2050)-ROW($G$2)+1)/($G$2:$G$2050&lt;&gt;""),ROWS(J$1:J46))),"")</f>
        <v>F 4173-2 HATHAWAY LN</v>
      </c>
      <c r="K46">
        <f>IF(J46="","",INDEX('Assignment Tool'!E62:E2095,MATCH(FA_DATA!J46,'Assignment Tool'!D62:D2095,0)))</f>
        <v>4</v>
      </c>
    </row>
    <row r="47" spans="1:11" x14ac:dyDescent="0.25">
      <c r="A47" s="118" t="str">
        <f t="shared" si="0"/>
        <v>F 4482-1 CANTERBURY ST</v>
      </c>
      <c r="G47" t="str">
        <f>IF('Assignment Tool'!C47="","",IF('Assignment Tool'!C47="FST",'Assignment Tool'!D47,""))</f>
        <v/>
      </c>
      <c r="H47">
        <v>47</v>
      </c>
      <c r="I47">
        <f t="shared" si="1"/>
        <v>197</v>
      </c>
      <c r="J47" t="str">
        <f t="array" ref="J47">IFERROR(INDEX($G$2:$G$2050,_xlfn.AGGREGATE(15,6,(ROW($G$2:$G$2050)-ROW($G$2)+1)/($G$2:$G$2050&lt;&gt;""),ROWS(J$1:J47))),"")</f>
        <v>F 4169-1 HATHAWAY LN</v>
      </c>
      <c r="K47">
        <f>IF(J47="","",INDEX('Assignment Tool'!E63:E2096,MATCH(FA_DATA!J47,'Assignment Tool'!D63:D2096,0)))</f>
        <v>4</v>
      </c>
    </row>
    <row r="48" spans="1:11" x14ac:dyDescent="0.25">
      <c r="A48" s="118" t="str">
        <f t="shared" si="0"/>
        <v>F 4482-1 CANTERBURY ST</v>
      </c>
      <c r="G48" t="str">
        <f>IF('Assignment Tool'!C48="","",IF('Assignment Tool'!C48="FST",'Assignment Tool'!D48,""))</f>
        <v/>
      </c>
      <c r="H48">
        <v>48</v>
      </c>
      <c r="I48">
        <f t="shared" si="1"/>
        <v>201</v>
      </c>
      <c r="J48" t="str">
        <f t="array" ref="J48">IFERROR(INDEX($G$2:$G$2050,_xlfn.AGGREGATE(15,6,(ROW($G$2:$G$2050)-ROW($G$2)+1)/($G$2:$G$2050&lt;&gt;""),ROWS(J$1:J48))),"")</f>
        <v>F 4162-1 HATHAWAY LN</v>
      </c>
      <c r="K48">
        <f>IF(J48="","",INDEX('Assignment Tool'!E64:E2097,MATCH(FA_DATA!J48,'Assignment Tool'!D64:D2097,0)))</f>
        <v>4</v>
      </c>
    </row>
    <row r="49" spans="1:11" x14ac:dyDescent="0.25">
      <c r="A49" s="118" t="str">
        <f t="shared" si="0"/>
        <v>F 4498-1 CANTERBURY ST</v>
      </c>
      <c r="G49" t="str">
        <f>IF('Assignment Tool'!C49="","",IF('Assignment Tool'!C49="FST",'Assignment Tool'!D49,""))</f>
        <v/>
      </c>
      <c r="H49">
        <v>49</v>
      </c>
      <c r="I49">
        <f t="shared" si="1"/>
        <v>205</v>
      </c>
      <c r="J49" t="str">
        <f t="array" ref="J49">IFERROR(INDEX($G$2:$G$2050,_xlfn.AGGREGATE(15,6,(ROW($G$2:$G$2050)-ROW($G$2)+1)/($G$2:$G$2050&lt;&gt;""),ROWS(J$1:J49))),"")</f>
        <v>F 2110-1 FIELDSTOWN RD</v>
      </c>
      <c r="K49">
        <f>IF(J49="","",INDEX('Assignment Tool'!E65:E2098,MATCH(FA_DATA!J49,'Assignment Tool'!D65:D2098,0)))</f>
        <v>12</v>
      </c>
    </row>
    <row r="50" spans="1:11" x14ac:dyDescent="0.25">
      <c r="A50" s="118" t="str">
        <f t="shared" si="0"/>
        <v>F 4498-1 CANTERBURY ST</v>
      </c>
      <c r="G50" t="str">
        <f>IF('Assignment Tool'!C50="","",IF('Assignment Tool'!C50="FST",'Assignment Tool'!D50,""))</f>
        <v/>
      </c>
      <c r="H50">
        <v>50</v>
      </c>
      <c r="I50">
        <f t="shared" si="1"/>
        <v>217</v>
      </c>
      <c r="J50" t="str">
        <f t="array" ref="J50">IFERROR(INDEX($G$2:$G$2050,_xlfn.AGGREGATE(15,6,(ROW($G$2:$G$2050)-ROW($G$2)+1)/($G$2:$G$2050&lt;&gt;""),ROWS(J$1:J50))),"")</f>
        <v>F 2150-1 FIELDSTOWN RD</v>
      </c>
      <c r="K50">
        <f>IF(J50="","",INDEX('Assignment Tool'!E66:E2099,MATCH(FA_DATA!J50,'Assignment Tool'!D66:D2099,0)))</f>
        <v>12</v>
      </c>
    </row>
    <row r="51" spans="1:11" x14ac:dyDescent="0.25">
      <c r="A51" s="118" t="str">
        <f t="shared" si="0"/>
        <v>F 4498-1 CANTERBURY ST</v>
      </c>
      <c r="G51" t="str">
        <f>IF('Assignment Tool'!C51="","",IF('Assignment Tool'!C51="FST",'Assignment Tool'!D51,""))</f>
        <v/>
      </c>
      <c r="H51">
        <v>51</v>
      </c>
      <c r="I51">
        <f t="shared" si="1"/>
        <v>229</v>
      </c>
      <c r="J51" t="str">
        <f t="array" ref="J51">IFERROR(INDEX($G$2:$G$2050,_xlfn.AGGREGATE(15,6,(ROW($G$2:$G$2050)-ROW($G$2)+1)/($G$2:$G$2050&lt;&gt;""),ROWS(J$1:J51))),"")</f>
        <v>OPP 1011-1 FIELDSTOWN RD</v>
      </c>
      <c r="K51">
        <f>IF(J51="","",INDEX('Assignment Tool'!E67:E2100,MATCH(FA_DATA!J51,'Assignment Tool'!D67:D2100,0)))</f>
        <v>4</v>
      </c>
    </row>
    <row r="52" spans="1:11" x14ac:dyDescent="0.25">
      <c r="A52" s="118" t="str">
        <f t="shared" si="0"/>
        <v>F 4498-1 CANTERBURY ST</v>
      </c>
      <c r="G52" t="str">
        <f>IF('Assignment Tool'!C52="","",IF('Assignment Tool'!C52="FST",'Assignment Tool'!D52,""))</f>
        <v/>
      </c>
      <c r="H52">
        <v>52</v>
      </c>
      <c r="I52">
        <f t="shared" si="1"/>
        <v>233</v>
      </c>
      <c r="J52" t="str">
        <f t="array" ref="J52">IFERROR(INDEX($G$2:$G$2050,_xlfn.AGGREGATE(15,6,(ROW($G$2:$G$2050)-ROW($G$2)+1)/($G$2:$G$2050&lt;&gt;""),ROWS(J$1:J52))),"")</f>
        <v>S 2130-1 FIELDSTOWN RD</v>
      </c>
      <c r="K52">
        <f>IF(J52="","",INDEX('Assignment Tool'!E68:E2101,MATCH(FA_DATA!J52,'Assignment Tool'!D68:D2101,0)))</f>
        <v>4</v>
      </c>
    </row>
    <row r="53" spans="1:11" x14ac:dyDescent="0.25">
      <c r="A53" s="118" t="str">
        <f t="shared" si="0"/>
        <v>F 4489-1 CANTERBURY ST</v>
      </c>
      <c r="G53" t="str">
        <f>IF('Assignment Tool'!C53="","",IF('Assignment Tool'!C53="FST",'Assignment Tool'!D53,""))</f>
        <v/>
      </c>
      <c r="H53">
        <v>53</v>
      </c>
      <c r="I53">
        <f t="shared" si="1"/>
        <v>237</v>
      </c>
      <c r="J53" t="str">
        <f t="array" ref="J53">IFERROR(INDEX($G$2:$G$2050,_xlfn.AGGREGATE(15,6,(ROW($G$2:$G$2050)-ROW($G$2)+1)/($G$2:$G$2050&lt;&gt;""),ROWS(J$1:J53))),"")</f>
        <v>OPP 1084-1 HODGES DR</v>
      </c>
      <c r="K53">
        <f>IF(J53="","",INDEX('Assignment Tool'!E69:E2102,MATCH(FA_DATA!J53,'Assignment Tool'!D69:D2102,0)))</f>
        <v>8</v>
      </c>
    </row>
    <row r="54" spans="1:11" x14ac:dyDescent="0.25">
      <c r="A54" s="118" t="str">
        <f t="shared" si="0"/>
        <v>F 4489-1 CANTERBURY ST</v>
      </c>
      <c r="G54" t="str">
        <f>IF('Assignment Tool'!C54="","",IF('Assignment Tool'!C54="FST",'Assignment Tool'!D54,""))</f>
        <v/>
      </c>
      <c r="H54">
        <v>54</v>
      </c>
      <c r="I54">
        <f t="shared" si="1"/>
        <v>245</v>
      </c>
      <c r="J54" t="str">
        <f t="array" ref="J54">IFERROR(INDEX($G$2:$G$2050,_xlfn.AGGREGATE(15,6,(ROW($G$2:$G$2050)-ROW($G$2)+1)/($G$2:$G$2050&lt;&gt;""),ROWS(J$1:J54))),"")</f>
        <v>F 1109-2 HODGES DR</v>
      </c>
      <c r="K54">
        <f>IF(J54="","",INDEX('Assignment Tool'!E70:E2103,MATCH(FA_DATA!J54,'Assignment Tool'!D70:D2103,0)))</f>
        <v>8</v>
      </c>
    </row>
    <row r="55" spans="1:11" x14ac:dyDescent="0.25">
      <c r="A55" s="118" t="str">
        <f t="shared" si="0"/>
        <v>F 4489-1 CANTERBURY ST</v>
      </c>
      <c r="G55" t="str">
        <f>IF('Assignment Tool'!C55="","",IF('Assignment Tool'!C55="FST",'Assignment Tool'!D55,""))</f>
        <v/>
      </c>
      <c r="H55">
        <v>55</v>
      </c>
      <c r="I55">
        <f t="shared" si="1"/>
        <v>253</v>
      </c>
      <c r="J55" t="str">
        <f t="array" ref="J55">IFERROR(INDEX($G$2:$G$2050,_xlfn.AGGREGATE(15,6,(ROW($G$2:$G$2050)-ROW($G$2)+1)/($G$2:$G$2050&lt;&gt;""),ROWS(J$1:J55))),"")</f>
        <v>F 1121-2 HODGES DR</v>
      </c>
      <c r="K55">
        <f>IF(J55="","",INDEX('Assignment Tool'!E71:E2104,MATCH(FA_DATA!J55,'Assignment Tool'!D71:D2104,0)))</f>
        <v>12</v>
      </c>
    </row>
    <row r="56" spans="1:11" x14ac:dyDescent="0.25">
      <c r="A56" s="118" t="str">
        <f t="shared" si="0"/>
        <v>F 4489-1 CANTERBURY ST</v>
      </c>
      <c r="G56" t="str">
        <f>IF('Assignment Tool'!C56="","",IF('Assignment Tool'!C56="FST",'Assignment Tool'!D56,""))</f>
        <v/>
      </c>
      <c r="H56">
        <v>56</v>
      </c>
      <c r="I56">
        <f t="shared" si="1"/>
        <v>265</v>
      </c>
      <c r="J56" t="str">
        <f t="array" ref="J56">IFERROR(INDEX($G$2:$G$2050,_xlfn.AGGREGATE(15,6,(ROW($G$2:$G$2050)-ROW($G$2)+1)/($G$2:$G$2050&lt;&gt;""),ROWS(J$1:J56))),"")</f>
        <v>OPP 2241-1 FIELDSTOWN RD</v>
      </c>
      <c r="K56">
        <f>IF(J56="","",INDEX('Assignment Tool'!E72:E2105,MATCH(FA_DATA!J56,'Assignment Tool'!D72:D2105,0)))</f>
        <v>4</v>
      </c>
    </row>
    <row r="57" spans="1:11" x14ac:dyDescent="0.25">
      <c r="A57" s="118" t="str">
        <f t="shared" si="0"/>
        <v>F 4489-1 CANTERBURY ST</v>
      </c>
      <c r="G57" t="str">
        <f>IF('Assignment Tool'!C57="","",IF('Assignment Tool'!C57="FST",'Assignment Tool'!D57,""))</f>
        <v/>
      </c>
      <c r="H57">
        <v>57</v>
      </c>
      <c r="I57">
        <f t="shared" si="1"/>
        <v>269</v>
      </c>
      <c r="J57" t="str">
        <f t="array" ref="J57">IFERROR(INDEX($G$2:$G$2050,_xlfn.AGGREGATE(15,6,(ROW($G$2:$G$2050)-ROW($G$2)+1)/($G$2:$G$2050&lt;&gt;""),ROWS(J$1:J57))),"")</f>
        <v>F 2241-1 FIELDSTOWN RD</v>
      </c>
      <c r="K57">
        <f>IF(J57="","",INDEX('Assignment Tool'!E73:E2106,MATCH(FA_DATA!J57,'Assignment Tool'!D73:D2106,0)))</f>
        <v>8</v>
      </c>
    </row>
    <row r="58" spans="1:11" x14ac:dyDescent="0.25">
      <c r="A58" s="118" t="str">
        <f t="shared" si="0"/>
        <v>F 4489-1 CANTERBURY ST</v>
      </c>
      <c r="G58" t="str">
        <f>IF('Assignment Tool'!C58="","",IF('Assignment Tool'!C58="FST",'Assignment Tool'!D58,""))</f>
        <v/>
      </c>
      <c r="H58">
        <v>58</v>
      </c>
      <c r="I58">
        <f t="shared" si="1"/>
        <v>277</v>
      </c>
      <c r="J58" t="str">
        <f t="array" ref="J58">IFERROR(INDEX($G$2:$G$2050,_xlfn.AGGREGATE(15,6,(ROW($G$2:$G$2050)-ROW($G$2)+1)/($G$2:$G$2050&lt;&gt;""),ROWS(J$1:J58))),"")</f>
        <v>F 1514-1 CROWN POINT DR</v>
      </c>
      <c r="K58">
        <f>IF(J58="","",INDEX('Assignment Tool'!E74:E2107,MATCH(FA_DATA!J58,'Assignment Tool'!D74:D2107,0)))</f>
        <v>4</v>
      </c>
    </row>
    <row r="59" spans="1:11" x14ac:dyDescent="0.25">
      <c r="A59" s="118" t="str">
        <f t="shared" si="0"/>
        <v>F 4489-1 CANTERBURY ST</v>
      </c>
      <c r="G59" t="str">
        <f>IF('Assignment Tool'!C59="","",IF('Assignment Tool'!C59="FST",'Assignment Tool'!D59,""))</f>
        <v/>
      </c>
      <c r="H59">
        <v>59</v>
      </c>
      <c r="I59">
        <f t="shared" si="1"/>
        <v>281</v>
      </c>
      <c r="J59" t="str">
        <f t="array" ref="J59">IFERROR(INDEX($G$2:$G$2050,_xlfn.AGGREGATE(15,6,(ROW($G$2:$G$2050)-ROW($G$2)+1)/($G$2:$G$2050&lt;&gt;""),ROWS(J$1:J59))),"")</f>
        <v>F 1522-2 CROWN POINT DR</v>
      </c>
      <c r="K59">
        <f>IF(J59="","",INDEX('Assignment Tool'!E75:E2108,MATCH(FA_DATA!J59,'Assignment Tool'!D75:D2108,0)))</f>
        <v>4</v>
      </c>
    </row>
    <row r="60" spans="1:11" x14ac:dyDescent="0.25">
      <c r="A60" s="118" t="str">
        <f t="shared" si="0"/>
        <v>F 4489-1 CANTERBURY ST</v>
      </c>
      <c r="G60" t="str">
        <f>IF('Assignment Tool'!C60="","",IF('Assignment Tool'!C60="FST",'Assignment Tool'!D60,""))</f>
        <v/>
      </c>
      <c r="H60">
        <v>60</v>
      </c>
      <c r="I60">
        <f t="shared" si="1"/>
        <v>285</v>
      </c>
      <c r="J60" t="str">
        <f t="array" ref="J60">IFERROR(INDEX($G$2:$G$2050,_xlfn.AGGREGATE(15,6,(ROW($G$2:$G$2050)-ROW($G$2)+1)/($G$2:$G$2050&lt;&gt;""),ROWS(J$1:J60))),"")</f>
        <v>F 1532-1 CROWN POINT DR</v>
      </c>
      <c r="K60">
        <f>IF(J60="","",INDEX('Assignment Tool'!E76:E2109,MATCH(FA_DATA!J60,'Assignment Tool'!D76:D2109,0)))</f>
        <v>2</v>
      </c>
    </row>
    <row r="61" spans="1:11" x14ac:dyDescent="0.25">
      <c r="A61" s="118" t="str">
        <f t="shared" si="0"/>
        <v>F 4412-2 CANTERBURY ST</v>
      </c>
      <c r="G61" t="str">
        <f>IF('Assignment Tool'!C61="","",IF('Assignment Tool'!C61="FST",'Assignment Tool'!D61,""))</f>
        <v/>
      </c>
      <c r="H61">
        <v>61</v>
      </c>
      <c r="I61">
        <f t="shared" si="1"/>
        <v>287</v>
      </c>
      <c r="J61" t="str">
        <f t="array" ref="J61">IFERROR(INDEX($G$2:$G$2050,_xlfn.AGGREGATE(15,6,(ROW($G$2:$G$2050)-ROW($G$2)+1)/($G$2:$G$2050&lt;&gt;""),ROWS(J$1:J61))),"")</f>
        <v>F 1539-1 CROWN POINT DR</v>
      </c>
      <c r="K61">
        <f>IF(J61="","",INDEX('Assignment Tool'!E77:E2110,MATCH(FA_DATA!J61,'Assignment Tool'!D77:D2110,0)))</f>
        <v>2</v>
      </c>
    </row>
    <row r="62" spans="1:11" x14ac:dyDescent="0.25">
      <c r="A62" s="118" t="str">
        <f t="shared" si="0"/>
        <v>F 4412-2 CANTERBURY ST</v>
      </c>
      <c r="G62" t="str">
        <f>IF('Assignment Tool'!C62="","",IF('Assignment Tool'!C62="FST",'Assignment Tool'!D62,""))</f>
        <v/>
      </c>
      <c r="H62">
        <v>62</v>
      </c>
      <c r="I62">
        <f t="shared" si="1"/>
        <v>289</v>
      </c>
      <c r="J62" t="str">
        <f t="array" ref="J62">IFERROR(INDEX($G$2:$G$2050,_xlfn.AGGREGATE(15,6,(ROW($G$2:$G$2050)-ROW($G$2)+1)/($G$2:$G$2050&lt;&gt;""),ROWS(J$1:J62))),"")</f>
        <v>F 1510-1 CROWN POINT DR</v>
      </c>
      <c r="K62">
        <f>IF(J62="","",INDEX('Assignment Tool'!E78:E2111,MATCH(FA_DATA!J62,'Assignment Tool'!D78:D2111,0)))</f>
        <v>2</v>
      </c>
    </row>
    <row r="63" spans="1:11" x14ac:dyDescent="0.25">
      <c r="A63" s="118" t="str">
        <f t="shared" si="0"/>
        <v>F 4412-2 CANTERBURY ST</v>
      </c>
      <c r="G63" t="str">
        <f>IF('Assignment Tool'!C63="","",IF('Assignment Tool'!C63="FST",'Assignment Tool'!D63,""))</f>
        <v/>
      </c>
      <c r="H63">
        <v>63</v>
      </c>
      <c r="I63">
        <f t="shared" si="1"/>
        <v>291</v>
      </c>
      <c r="J63" t="str">
        <f t="array" ref="J63">IFERROR(INDEX($G$2:$G$2050,_xlfn.AGGREGATE(15,6,(ROW($G$2:$G$2050)-ROW($G$2)+1)/($G$2:$G$2050&lt;&gt;""),ROWS(J$1:J63))),"")</f>
        <v>F 4508-1 CROWN POINT LN</v>
      </c>
      <c r="K63">
        <f>IF(J63="","",INDEX('Assignment Tool'!E79:E2112,MATCH(FA_DATA!J63,'Assignment Tool'!D79:D2112,0)))</f>
        <v>4</v>
      </c>
    </row>
    <row r="64" spans="1:11" x14ac:dyDescent="0.25">
      <c r="A64" s="118" t="str">
        <f t="shared" si="0"/>
        <v>F 4412-2 CANTERBURY ST</v>
      </c>
      <c r="G64" t="str">
        <f>IF('Assignment Tool'!C64="","",IF('Assignment Tool'!C64="FST",'Assignment Tool'!D64,""))</f>
        <v/>
      </c>
      <c r="H64">
        <v>64</v>
      </c>
      <c r="I64">
        <f t="shared" si="1"/>
        <v>295</v>
      </c>
      <c r="J64" t="str">
        <f t="array" ref="J64">IFERROR(INDEX($G$2:$G$2050,_xlfn.AGGREGATE(15,6,(ROW($G$2:$G$2050)-ROW($G$2)+1)/($G$2:$G$2050&lt;&gt;""),ROWS(J$1:J64))),"")</f>
        <v>F 4518-1 CROWN POINT LN</v>
      </c>
      <c r="K64">
        <f>IF(J64="","",INDEX('Assignment Tool'!E80:E2113,MATCH(FA_DATA!J64,'Assignment Tool'!D80:D2113,0)))</f>
        <v>4</v>
      </c>
    </row>
    <row r="65" spans="1:11" x14ac:dyDescent="0.25">
      <c r="A65" s="118" t="str">
        <f t="shared" si="0"/>
        <v>F 4404-1 CANTERBURY ST</v>
      </c>
      <c r="G65" t="str">
        <f>IF('Assignment Tool'!C65="","",IF('Assignment Tool'!C65="FST",'Assignment Tool'!D65,""))</f>
        <v/>
      </c>
      <c r="H65">
        <v>65</v>
      </c>
      <c r="I65">
        <f t="shared" si="1"/>
        <v>299</v>
      </c>
      <c r="J65" t="str">
        <f t="array" ref="J65">IFERROR(INDEX($G$2:$G$2050,_xlfn.AGGREGATE(15,6,(ROW($G$2:$G$2050)-ROW($G$2)+1)/($G$2:$G$2050&lt;&gt;""),ROWS(J$1:J65))),"")</f>
        <v>F 4526-1 CROWN POINT LN</v>
      </c>
      <c r="K65">
        <f>IF(J65="","",INDEX('Assignment Tool'!E81:E2114,MATCH(FA_DATA!J65,'Assignment Tool'!D81:D2114,0)))</f>
        <v>4</v>
      </c>
    </row>
    <row r="66" spans="1:11" x14ac:dyDescent="0.25">
      <c r="A66" s="118" t="str">
        <f t="shared" ref="A66:A129" si="2">VLOOKUP(H66,$I$1:$J$1000,2)</f>
        <v>F 4404-1 CANTERBURY ST</v>
      </c>
      <c r="G66" t="str">
        <f>IF('Assignment Tool'!C66="","",IF('Assignment Tool'!C66="FST",'Assignment Tool'!D66,""))</f>
        <v>F 610-1 COTTAGE DR</v>
      </c>
      <c r="H66">
        <v>66</v>
      </c>
      <c r="I66">
        <f t="shared" si="1"/>
        <v>303</v>
      </c>
      <c r="J66" t="str">
        <f t="array" ref="J66">IFERROR(INDEX($G$2:$G$2050,_xlfn.AGGREGATE(15,6,(ROW($G$2:$G$2050)-ROW($G$2)+1)/($G$2:$G$2050&lt;&gt;""),ROWS(J$1:J66))),"")</f>
        <v>F 4534-1 CROWN POINT LN</v>
      </c>
      <c r="K66">
        <f>IF(J66="","",INDEX('Assignment Tool'!E82:E2115,MATCH(FA_DATA!J66,'Assignment Tool'!D82:D2115,0)))</f>
        <v>4</v>
      </c>
    </row>
    <row r="67" spans="1:11" x14ac:dyDescent="0.25">
      <c r="A67" s="118" t="str">
        <f t="shared" si="2"/>
        <v>F 4404-1 CANTERBURY ST</v>
      </c>
      <c r="G67" t="str">
        <f>IF('Assignment Tool'!C67="","",IF('Assignment Tool'!C67="FST",'Assignment Tool'!D67,""))</f>
        <v>F 614-2 COTTAGE DR</v>
      </c>
      <c r="H67">
        <v>67</v>
      </c>
      <c r="I67">
        <f t="shared" ref="I67:I130" si="3">IFERROR((I66+K66),"")</f>
        <v>307</v>
      </c>
      <c r="J67" t="str">
        <f t="array" ref="J67">IFERROR(INDEX($G$2:$G$2050,_xlfn.AGGREGATE(15,6,(ROW($G$2:$G$2050)-ROW($G$2)+1)/($G$2:$G$2050&lt;&gt;""),ROWS(J$1:J67))),"")</f>
        <v>F 4538-1 CROWN POINT LN</v>
      </c>
      <c r="K67">
        <f>IF(J67="","",INDEX('Assignment Tool'!E83:E2116,MATCH(FA_DATA!J67,'Assignment Tool'!D83:D2116,0)))</f>
        <v>4</v>
      </c>
    </row>
    <row r="68" spans="1:11" x14ac:dyDescent="0.25">
      <c r="A68" s="118" t="str">
        <f t="shared" si="2"/>
        <v>F 4404-1 CANTERBURY ST</v>
      </c>
      <c r="G68" t="str">
        <f>IF('Assignment Tool'!C68="","",IF('Assignment Tool'!C68="FST",'Assignment Tool'!D68,""))</f>
        <v>F 624-1 COTTAGE DR</v>
      </c>
      <c r="H68">
        <v>68</v>
      </c>
      <c r="I68">
        <f t="shared" si="3"/>
        <v>311</v>
      </c>
      <c r="J68" t="str">
        <f t="array" ref="J68">IFERROR(INDEX($G$2:$G$2050,_xlfn.AGGREGATE(15,6,(ROW($G$2:$G$2050)-ROW($G$2)+1)/($G$2:$G$2050&lt;&gt;""),ROWS(J$1:J68))),"")</f>
        <v>F 4546-2 CROWN POINT LN</v>
      </c>
      <c r="K68">
        <f>IF(J68="","",INDEX('Assignment Tool'!E84:E2117,MATCH(FA_DATA!J68,'Assignment Tool'!D84:D2117,0)))</f>
        <v>2</v>
      </c>
    </row>
    <row r="69" spans="1:11" x14ac:dyDescent="0.25">
      <c r="A69" s="118" t="str">
        <f t="shared" si="2"/>
        <v>F 4396-1 CANTERBURY ST</v>
      </c>
      <c r="G69" t="str">
        <f>IF('Assignment Tool'!C69="","",IF('Assignment Tool'!C69="FST",'Assignment Tool'!D69,""))</f>
        <v/>
      </c>
      <c r="H69">
        <v>69</v>
      </c>
      <c r="I69">
        <f t="shared" si="3"/>
        <v>313</v>
      </c>
      <c r="J69" t="str">
        <f t="array" ref="J69">IFERROR(INDEX($G$2:$G$2050,_xlfn.AGGREGATE(15,6,(ROW($G$2:$G$2050)-ROW($G$2)+1)/($G$2:$G$2050&lt;&gt;""),ROWS(J$1:J69))),"")</f>
        <v>S 2191-1 FIELDSTOWN RD</v>
      </c>
      <c r="K69">
        <f>IF(J69="","",INDEX('Assignment Tool'!E85:E2118,MATCH(FA_DATA!J69,'Assignment Tool'!D85:D2118,0)))</f>
        <v>12</v>
      </c>
    </row>
    <row r="70" spans="1:11" x14ac:dyDescent="0.25">
      <c r="A70" s="118" t="str">
        <f t="shared" si="2"/>
        <v>F 4396-1 CANTERBURY ST</v>
      </c>
      <c r="G70" t="str">
        <f>IF('Assignment Tool'!C70="","",IF('Assignment Tool'!C70="FST",'Assignment Tool'!D70,""))</f>
        <v/>
      </c>
      <c r="H70">
        <v>70</v>
      </c>
      <c r="I70">
        <f t="shared" si="3"/>
        <v>325</v>
      </c>
      <c r="J70" t="str">
        <f t="array" ref="J70">IFERROR(INDEX($G$2:$G$2050,_xlfn.AGGREGATE(15,6,(ROW($G$2:$G$2050)-ROW($G$2)+1)/($G$2:$G$2050&lt;&gt;""),ROWS(J$1:J70))),"")</f>
        <v/>
      </c>
      <c r="K70" t="str">
        <f>IF(J70="","",INDEX('Assignment Tool'!E86:E2119,MATCH(FA_DATA!J70,'Assignment Tool'!D86:D2119,0)))</f>
        <v/>
      </c>
    </row>
    <row r="71" spans="1:11" x14ac:dyDescent="0.25">
      <c r="A71" s="118" t="str">
        <f t="shared" si="2"/>
        <v>F 4396-1 CANTERBURY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4396-1 CANTERBURY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4388-2 CANTERBURY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4388-2 CANTERBURY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4388-2 CANTERBURY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4388-2 CANTERBURY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4380-2 CANTERBURY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4380-2 CANTERBURY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4380-2 CANTERBURY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4380-2 CANTERBURY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4372-2 CANTERBURY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4372-2 CANTERBURY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4372-2 CANTERBURY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4372-2 CANTERBURY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4364-2 CANTERBURY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4364-2 CANTERBURY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4364-2 CANTERBURY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4364-2 CANTERBURY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4356-1 CANTERBURY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4356-1 CANTERBURY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4356-1 CANTERBURY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4356-1 CANTERBURY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4344-1 CANTERBURY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4344-1 CANTERBURY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4344-1 CANTERBURY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4344-1 CANTERBURY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4338-1 CANTERBURY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4338-1 CANTERBURY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4338-1 CANTERBURY ST</v>
      </c>
      <c r="G99" t="str">
        <f>IF('Assignment Tool'!C99="","",IF('Assignment Tool'!C99="FST",'Assignment Tool'!D99,""))</f>
        <v>F 4420-1 CANTERBURY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4338-1 CANTERBURY ST</v>
      </c>
      <c r="G100" t="str">
        <f>IF('Assignment Tool'!C100="","",IF('Assignment Tool'!C100="FST",'Assignment Tool'!D100,""))</f>
        <v>F 4434-1 CANTERBURY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4334-1 CANTERBURY ST</v>
      </c>
      <c r="G101" t="str">
        <f>IF('Assignment Tool'!C101="","",IF('Assignment Tool'!C101="FST",'Assignment Tool'!D101,""))</f>
        <v>F 4442-1 CANTERBURY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4334-1 CANTERBURY ST</v>
      </c>
      <c r="G102" t="str">
        <f>IF('Assignment Tool'!C102="","",IF('Assignment Tool'!C102="FST",'Assignment Tool'!D102,""))</f>
        <v>F 4450-1 CANTERBURY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4334-1 CANTERBURY ST</v>
      </c>
      <c r="G103" t="str">
        <f>IF('Assignment Tool'!C103="","",IF('Assignment Tool'!C103="FST",'Assignment Tool'!D103,""))</f>
        <v>F 4458-1 CANTERBURY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4334-1 CANTERBURY ST</v>
      </c>
      <c r="G104" t="str">
        <f>IF('Assignment Tool'!C104="","",IF('Assignment Tool'!C104="FST",'Assignment Tool'!D104,""))</f>
        <v>F 4466-2 CANTERBURY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4330-2 CANTERBURY ST</v>
      </c>
      <c r="G105" t="str">
        <f>IF('Assignment Tool'!C105="","",IF('Assignment Tool'!C105="FST",'Assignment Tool'!D105,""))</f>
        <v>F 4474-1 CANTERBURY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4330-2 CANTERBURY ST</v>
      </c>
      <c r="G106" t="str">
        <f>IF('Assignment Tool'!C106="","",IF('Assignment Tool'!C106="FST",'Assignment Tool'!D106,""))</f>
        <v>F 4482-1 CANTERBURY ST</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4330-2 CANTERBURY ST</v>
      </c>
      <c r="G107" t="str">
        <f>IF('Assignment Tool'!C107="","",IF('Assignment Tool'!C107="FST",'Assignment Tool'!D107,""))</f>
        <v>F 4498-1 CANTERBURY ST</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4330-2 CANTERBURY ST</v>
      </c>
      <c r="G108" t="str">
        <f>IF('Assignment Tool'!C108="","",IF('Assignment Tool'!C108="FST",'Assignment Tool'!D108,""))</f>
        <v>F 4489-1 CANTERBURY ST</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4261-1 HATHAWAY LN</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4261-1 HATHAWAY LN</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4261-1 HATHAWAY LN</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4261-1 HATHAWAY LN</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4265-1 HATHAWAY LN</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4265-1 HATHAWAY LN</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4265-1 HATHAWAY LN</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4265-1 HATHAWAY LN</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4273-1 HATHAWAY LN</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4273-1 HATHAWAY LN</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4273-1 HATHAWAY LN</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4273-1 HATHAWAY LN</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4281-1 HATHAWAY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4281-1 HATHAWAY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4281-1 HATHAWAY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4281-1 HATHAWAY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4289-1 HATHAWAY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4289-1 HATHAWAY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4289-1 HATHAWAY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4289-1 HATHAWAY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4297-1 HATHAWAY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4297-1 HATHAWAY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4297-1 HATHAWAY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4297-1 HATHAWAY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4305-1 HATHAWAY LN</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4305-1 HATHAWAY LN</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4305-1 HATHAWAY LN</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4305-1 HATHAWAY LN</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4313-1 HATHAWAY LN</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4313-1 HATHAWAY LN</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4313-1 HATHAWAY LN</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4313-1 HATHAWAY LN</v>
      </c>
      <c r="G140" t="str">
        <f>IF('Assignment Tool'!C140="","",IF('Assignment Tool'!C140="FST",'Assignment Tool'!D140,""))</f>
        <v>F 4412-2 CANTERBURY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4321-1 HATHAWAY LN</v>
      </c>
      <c r="G141" t="str">
        <f>IF('Assignment Tool'!C141="","",IF('Assignment Tool'!C141="FST",'Assignment Tool'!D141,""))</f>
        <v>F 4404-1 CANTERBURY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4321-1 HATHAWAY LN</v>
      </c>
      <c r="G142" t="str">
        <f>IF('Assignment Tool'!C142="","",IF('Assignment Tool'!C142="FST",'Assignment Tool'!D142,""))</f>
        <v>F 4396-1 CANTERBURY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4321-1 HATHAWAY LN</v>
      </c>
      <c r="G143" t="str">
        <f>IF('Assignment Tool'!C143="","",IF('Assignment Tool'!C143="FST",'Assignment Tool'!D143,""))</f>
        <v>F 4388-2 CANTERBURY ST</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4321-1 HATHAWAY LN</v>
      </c>
      <c r="G144" t="str">
        <f>IF('Assignment Tool'!C144="","",IF('Assignment Tool'!C144="FST",'Assignment Tool'!D144,""))</f>
        <v>F 4380-2 CANTERBURY ST</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4329-1 HATHAWAY LN</v>
      </c>
      <c r="G145" t="str">
        <f>IF('Assignment Tool'!C145="","",IF('Assignment Tool'!C145="FST",'Assignment Tool'!D145,""))</f>
        <v>F 4372-2 CANTERBURY ST</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4329-1 HATHAWAY LN</v>
      </c>
      <c r="G146" t="str">
        <f>IF('Assignment Tool'!C146="","",IF('Assignment Tool'!C146="FST",'Assignment Tool'!D146,""))</f>
        <v>F 4364-2 CANTERBURY ST</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4329-1 HATHAWAY LN</v>
      </c>
      <c r="G147" t="str">
        <f>IF('Assignment Tool'!C147="","",IF('Assignment Tool'!C147="FST",'Assignment Tool'!D147,""))</f>
        <v>F 4356-1 CANTERBURY ST</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4329-1 HATHAWAY LN</v>
      </c>
      <c r="G148" t="str">
        <f>IF('Assignment Tool'!C148="","",IF('Assignment Tool'!C148="FST",'Assignment Tool'!D148,""))</f>
        <v>F 4344-1 CANTERBURY ST</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4330-1 HATHAWAY LN</v>
      </c>
      <c r="G149" t="str">
        <f>IF('Assignment Tool'!C149="","",IF('Assignment Tool'!C149="FST",'Assignment Tool'!D149,""))</f>
        <v>F 4338-1 CANTERBURY ST</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4330-1 HATHAWAY LN</v>
      </c>
      <c r="G150" t="str">
        <f>IF('Assignment Tool'!C150="","",IF('Assignment Tool'!C150="FST",'Assignment Tool'!D150,""))</f>
        <v>F 4334-1 CANTERBURY ST</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4330-1 HATHAWAY LN</v>
      </c>
      <c r="G151" t="str">
        <f>IF('Assignment Tool'!C151="","",IF('Assignment Tool'!C151="FST",'Assignment Tool'!D151,""))</f>
        <v>F 4330-2 CANTERBURY ST</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4330-1 HATHAWAY LN</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4330-1 HATHAWAY LN</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4330-1 HATHAWAY LN</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4330-1 HATHAWAY LN</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4330-1 HATHAWAY LN</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4249-1 HATHAWAY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4249-1 HATHAWAY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4249-1 HATHAWAY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4249-1 HATHAWAY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4241-1 HATHAWAY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4241-1 HATHAWAY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4241-1 HATHAWAY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4241-1 HATHAWAY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4233-1 HATHAWAY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4233-1 HATHAWAY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4233-1 HATHAWAY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4233-1 HATHAWAY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4225-2 HATHAWAY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4225-2 HATHAWAY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4225-2 HATHAWAY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4225-2 HATHAWAY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4215-2 HATHAWAY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4215-2 HATHAWAY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4215-2 HATHAWAY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4215-2 HATHAWAY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4205-2 HATHAWAY LN</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4205-2 HATHAWAY LN</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4205-2 HATHAWAY LN</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4205-2 HATHAWAY LN</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4197-1 HATHAWAY LN</v>
      </c>
      <c r="G181" t="str">
        <f>IF('Assignment Tool'!C181="","",IF('Assignment Tool'!C181="FST",'Assignment Tool'!D181,""))</f>
        <v>F 4261-1 HATHAWAY LN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4197-1 HATHAWAY LN</v>
      </c>
      <c r="G182" t="str">
        <f>IF('Assignment Tool'!C182="","",IF('Assignment Tool'!C182="FST",'Assignment Tool'!D182,""))</f>
        <v>F 4265-1 HATHAWAY LN</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4197-1 HATHAWAY LN</v>
      </c>
      <c r="G183" t="str">
        <f>IF('Assignment Tool'!C183="","",IF('Assignment Tool'!C183="FST",'Assignment Tool'!D183,""))</f>
        <v>F 4273-1 HATHAWAY LN</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4197-1 HATHAWAY LN</v>
      </c>
      <c r="G184" t="str">
        <f>IF('Assignment Tool'!C184="","",IF('Assignment Tool'!C184="FST",'Assignment Tool'!D184,""))</f>
        <v>F 4281-1 HATHAWAY LN</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4189-1 HATHAWAY LN</v>
      </c>
      <c r="G185" t="str">
        <f>IF('Assignment Tool'!C185="","",IF('Assignment Tool'!C185="FST",'Assignment Tool'!D185,""))</f>
        <v>F 4289-1 HATHAWAY LN</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4189-1 HATHAWAY LN</v>
      </c>
      <c r="G186" t="str">
        <f>IF('Assignment Tool'!C186="","",IF('Assignment Tool'!C186="FST",'Assignment Tool'!D186,""))</f>
        <v>F 4297-1 HATHAWAY LN</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4189-1 HATHAWAY LN</v>
      </c>
      <c r="G187" t="str">
        <f>IF('Assignment Tool'!C187="","",IF('Assignment Tool'!C187="FST",'Assignment Tool'!D187,""))</f>
        <v>F 4305-1 HATHAWAY LN</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4189-1 HATHAWAY LN</v>
      </c>
      <c r="G188" t="str">
        <f>IF('Assignment Tool'!C188="","",IF('Assignment Tool'!C188="FST",'Assignment Tool'!D188,""))</f>
        <v>F 4313-1 HATHAWAY LN</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4181-1 HATHAWAY LN</v>
      </c>
      <c r="G189" t="str">
        <f>IF('Assignment Tool'!C189="","",IF('Assignment Tool'!C189="FST",'Assignment Tool'!D189,""))</f>
        <v>F 4321-1 HATHAWAY LN</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4181-1 HATHAWAY LN</v>
      </c>
      <c r="G190" t="str">
        <f>IF('Assignment Tool'!C190="","",IF('Assignment Tool'!C190="FST",'Assignment Tool'!D190,""))</f>
        <v>F 4329-1 HATHAWAY LN</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4181-1 HATHAWAY LN</v>
      </c>
      <c r="G191" t="str">
        <f>IF('Assignment Tool'!C191="","",IF('Assignment Tool'!C191="FST",'Assignment Tool'!D191,""))</f>
        <v>F 4330-1 HATHAWAY LN</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4181-1 HATHAWAY LN</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4173-2 HATHAWAY LN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4173-2 HATHAWAY LN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4173-2 HATHAWAY LN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4173-2 HATHAWAY LN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4169-1 HATHAWAY LN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4169-1 HATHAWAY LN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4169-1 HATHAWAY LN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4169-1 HATHAWAY LN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4162-1 HATHAWAY LN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4162-1 HATHAWAY LN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4162-1 HATHAWAY LN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4162-1 HATHAWAY LN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2110-1 FIELDSTOWN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2110-1 FIELDSTOWN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2110-1 FIELDSTOWN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2110-1 FIELDSTOWN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2110-1 FIELDSTOWN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2110-1 FIELDSTOWN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2110-1 FIELDSTOWN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2110-1 FIELDSTOWN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2110-1 FIELDSTOWN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2110-1 FIELDSTOWN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2110-1 FIELDSTOWN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2110-1 FIELDSTOWN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2150-1 FIELDSTOWN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2150-1 FIELDSTOWN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2150-1 FIELDSTOWN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2150-1 FIELDSTOWN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2150-1 FIELDSTOWN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2150-1 FIELDSTOWN RD</v>
      </c>
      <c r="G222" t="str">
        <f>IF('Assignment Tool'!C222="","",IF('Assignment Tool'!C222="FST",'Assignment Tool'!D222,""))</f>
        <v>F 4249-1 HATHAWAY LN</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2150-1 FIELDSTOWN RD</v>
      </c>
      <c r="G223" t="str">
        <f>IF('Assignment Tool'!C223="","",IF('Assignment Tool'!C223="FST",'Assignment Tool'!D223,""))</f>
        <v>F 4241-1 HATHAWAY LN</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2150-1 FIELDSTOWN RD</v>
      </c>
      <c r="G224" t="str">
        <f>IF('Assignment Tool'!C224="","",IF('Assignment Tool'!C224="FST",'Assignment Tool'!D224,""))</f>
        <v>F 4233-1 HATHAWAY LN</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2150-1 FIELDSTOWN RD</v>
      </c>
      <c r="G225" t="str">
        <f>IF('Assignment Tool'!C225="","",IF('Assignment Tool'!C225="FST",'Assignment Tool'!D225,""))</f>
        <v>F 4225-2 HATHAWAY LN</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2150-1 FIELDSTOWN RD</v>
      </c>
      <c r="G226" t="str">
        <f>IF('Assignment Tool'!C226="","",IF('Assignment Tool'!C226="FST",'Assignment Tool'!D226,""))</f>
        <v>F 4215-2 HATHAWAY LN</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2150-1 FIELDSTOWN RD</v>
      </c>
      <c r="G227" t="str">
        <f>IF('Assignment Tool'!C227="","",IF('Assignment Tool'!C227="FST",'Assignment Tool'!D227,""))</f>
        <v>F 4205-2 HATHAWAY LN</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2150-1 FIELDSTOWN RD</v>
      </c>
      <c r="G228" t="str">
        <f>IF('Assignment Tool'!C228="","",IF('Assignment Tool'!C228="FST",'Assignment Tool'!D228,""))</f>
        <v>F 4197-1 HATHAWAY LN</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OPP 1011-1 FIELDSTOWN RD</v>
      </c>
      <c r="G229" t="str">
        <f>IF('Assignment Tool'!C229="","",IF('Assignment Tool'!C229="FST",'Assignment Tool'!D229,""))</f>
        <v>F 4189-1 HATHAWAY LN</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OPP 1011-1 FIELDSTOWN RD</v>
      </c>
      <c r="G230" t="str">
        <f>IF('Assignment Tool'!C230="","",IF('Assignment Tool'!C230="FST",'Assignment Tool'!D230,""))</f>
        <v>F 4181-1 HATHAWAY LN</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OPP 1011-1 FIELDSTOWN RD</v>
      </c>
      <c r="G231" t="str">
        <f>IF('Assignment Tool'!C231="","",IF('Assignment Tool'!C231="FST",'Assignment Tool'!D231,""))</f>
        <v>F 4173-2 HATHAWAY LN</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OPP 1011-1 FIELDSTOWN RD</v>
      </c>
      <c r="G232" t="str">
        <f>IF('Assignment Tool'!C232="","",IF('Assignment Tool'!C232="FST",'Assignment Tool'!D232,""))</f>
        <v>F 4169-1 HATHAWAY LN</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S 2130-1 FIELDSTOWN RD</v>
      </c>
      <c r="G233" t="str">
        <f>IF('Assignment Tool'!C233="","",IF('Assignment Tool'!C233="FST",'Assignment Tool'!D233,""))</f>
        <v>F 4162-1 HATHAWAY LN</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S 2130-1 FIELDSTOWN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S 2130-1 FIELDSTOWN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S 2130-1 FIELDSTOWN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OPP 1084-1 HODGES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OPP 1084-1 HODGES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OPP 1084-1 HODGES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OPP 1084-1 HODGES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OPP 1084-1 HODGES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OPP 1084-1 HODGES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OPP 1084-1 HODGES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OPP 1084-1 HODGES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1109-2 HODGES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1109-2 HODGES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1109-2 HODGES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1109-2 HODGES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1109-2 HODGES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1109-2 HODGES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1109-2 HODGES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1109-2 HODGES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1121-2 HODGES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1121-2 HODGES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1121-2 HODGES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1121-2 HODGES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1121-2 HODGES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1121-2 HODGES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1121-2 HODGES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1121-2 HODGES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1121-2 HODGES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1121-2 HODGES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1121-2 HODGES DR</v>
      </c>
      <c r="G263" t="str">
        <f>IF('Assignment Tool'!C263="","",IF('Assignment Tool'!C263="FST",'Assignment Tool'!D263,""))</f>
        <v>F 2110-1 FIELDSTOWN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1121-2 HODGES DR</v>
      </c>
      <c r="G264" t="str">
        <f>IF('Assignment Tool'!C264="","",IF('Assignment Tool'!C264="FST",'Assignment Tool'!D264,""))</f>
        <v>F 2150-1 FIELDSTOWN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OPP 2241-1 FIELDSTOWN RD</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OPP 2241-1 FIELDSTOWN RD</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OPP 2241-1 FIELDSTOWN RD</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OPP 2241-1 FIELDSTOWN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2241-1 FIELDSTOWN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2241-1 FIELDSTOWN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2241-1 FIELDSTOWN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2241-1 FIELDSTOWN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2241-1 FIELDSTOWN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2241-1 FIELDSTOWN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2241-1 FIELDSTOWN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2241-1 FIELDSTOWN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1514-1 CROWN POINT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1514-1 CROWN POINT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1514-1 CROWN POINT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1514-1 CROWN POINT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1522-2 CROWN POINT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1522-2 CROWN POINT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1522-2 CROWN POINT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1522-2 CROWN POINT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1532-1 CROWN POINT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1532-1 CROWN POINT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1539-1 CROWN POINT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1539-1 CROWN POINT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1510-1 CROWN POINT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1510-1 CROWN POINT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4508-1 CROWN POINT LN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4508-1 CROWN POINT LN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4508-1 CROWN POINT LN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4508-1 CROWN POINT LN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4518-1 CROWN POINT LN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4518-1 CROWN POINT LN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4518-1 CROWN POINT LN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4518-1 CROWN POINT LN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4526-1 CROWN POINT LN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4526-1 CROWN POINT LN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4526-1 CROWN POINT LN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4526-1 CROWN POINT LN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4534-1 CROWN POINT LN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4534-1 CROWN POINT LN</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4534-1 CROWN POINT LN</v>
      </c>
      <c r="G305" t="str">
        <f>IF('Assignment Tool'!C305="","",IF('Assignment Tool'!C305="FST",'Assignment Tool'!D305,""))</f>
        <v>OPP 1011-1 FIELDSTOWN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4534-1 CROWN POINT LN</v>
      </c>
      <c r="G306" t="str">
        <f>IF('Assignment Tool'!C306="","",IF('Assignment Tool'!C306="FST",'Assignment Tool'!D306,""))</f>
        <v>S 2130-1 FIELDSTOWN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4538-1 CROWN POINT LN</v>
      </c>
      <c r="G307" t="str">
        <f>IF('Assignment Tool'!C307="","",IF('Assignment Tool'!C307="FST",'Assignment Tool'!D307,""))</f>
        <v>OPP 1084-1 HODGES DR</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4538-1 CROWN POINT LN</v>
      </c>
      <c r="G308" t="str">
        <f>IF('Assignment Tool'!C308="","",IF('Assignment Tool'!C308="FST",'Assignment Tool'!D308,""))</f>
        <v>F 1109-2 HODGES DR</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4538-1 CROWN POINT LN</v>
      </c>
      <c r="G309" t="str">
        <f>IF('Assignment Tool'!C309="","",IF('Assignment Tool'!C309="FST",'Assignment Tool'!D309,""))</f>
        <v>F 1121-2 HODGES DR</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4538-1 CROWN POINT LN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4546-2 CROWN POINT LN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4546-2 CROWN POINT LN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S 2191-1 FIELDSTOWN RD</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S 2191-1 FIELDSTOWN RD</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S 2191-1 FIELDSTOWN RD</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S 2191-1 FIELDSTOWN RD</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S 2191-1 FIELDSTOWN RD</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S 2191-1 FIELDSTOWN RD</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S 2191-1 FIELDSTOWN RD</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S 2191-1 FIELDSTOWN RD</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S 2191-1 FIELDSTOWN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S 2191-1 FIELDSTOWN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S 2191-1 FIELDSTOWN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S 2191-1 FIELDSTOWN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2241-1 FIELDSTOWN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2241-1 FIELDSTOWN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1514-1 CROWN POINT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F 1522-2 CROWN POINT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1532-1 CROWN POINT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F 1539-1 CROWN POINT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1510-1 CROWN POINT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4508-1 CROWN POINT LN</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4518-1 CROWN POINT LN</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4526-1 CROWN POINT LN</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4534-1 CROWN POINT LN</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4538-1 CROWN POINT LN</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4546-2 CROWN POINT LN</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S 2191-1 FIELDSTOWN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U17" activePane="bottomRight" state="frozen"/>
      <selection pane="topRight" activeCell="A9" sqref="A9"/>
      <selection pane="bottomLeft" activeCell="A9" sqref="A9"/>
      <selection pane="bottomRight" activeCell="W31" sqref="W3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44</v>
      </c>
      <c r="D6" s="4">
        <v>44</v>
      </c>
      <c r="E6" s="4"/>
      <c r="F6" s="4"/>
      <c r="G6" s="4"/>
      <c r="H6" s="4"/>
      <c r="I6" s="4"/>
      <c r="J6" s="4"/>
      <c r="K6" s="4"/>
      <c r="L6" s="4"/>
      <c r="M6" s="4"/>
      <c r="N6" s="4"/>
      <c r="O6" s="4"/>
      <c r="P6" s="4"/>
      <c r="Q6" s="4"/>
      <c r="R6" s="4"/>
      <c r="S6" s="4"/>
      <c r="T6" s="4"/>
      <c r="U6" s="4"/>
      <c r="V6" s="4"/>
      <c r="W6" s="4">
        <v>24</v>
      </c>
      <c r="X6" s="4">
        <v>22</v>
      </c>
      <c r="Y6" s="4"/>
      <c r="Z6" s="4"/>
      <c r="AA6" s="4"/>
      <c r="AB6" s="4"/>
      <c r="AC6" s="4"/>
      <c r="AD6" s="4"/>
      <c r="AE6" s="4"/>
      <c r="AF6" s="4"/>
      <c r="AG6" s="4"/>
      <c r="AH6" s="4"/>
      <c r="AI6" s="4"/>
      <c r="AJ6" s="4"/>
      <c r="AK6" s="4"/>
      <c r="AL6" s="4"/>
      <c r="AM6" s="4"/>
      <c r="AN6" s="4"/>
      <c r="AO6" s="4"/>
      <c r="AP6" s="4"/>
    </row>
    <row r="7" spans="1:42" x14ac:dyDescent="0.25">
      <c r="A7" s="6">
        <v>8</v>
      </c>
      <c r="B7" s="5">
        <v>2</v>
      </c>
      <c r="C7" s="4">
        <v>44</v>
      </c>
      <c r="D7" s="4">
        <v>44</v>
      </c>
      <c r="E7" s="4"/>
      <c r="F7" s="4"/>
      <c r="G7" s="4"/>
      <c r="H7" s="4"/>
      <c r="I7" s="4"/>
      <c r="J7" s="4"/>
      <c r="K7" s="4"/>
      <c r="L7" s="4"/>
      <c r="M7" s="4"/>
      <c r="N7" s="4"/>
      <c r="O7" s="4"/>
      <c r="P7" s="4"/>
      <c r="Q7" s="4"/>
      <c r="R7" s="4"/>
      <c r="S7" s="4"/>
      <c r="T7" s="4"/>
      <c r="U7" s="4"/>
      <c r="V7" s="4"/>
      <c r="W7" s="4">
        <v>24</v>
      </c>
      <c r="X7" s="4">
        <v>14</v>
      </c>
      <c r="Y7" s="4"/>
      <c r="Z7" s="4"/>
      <c r="AA7" s="4"/>
      <c r="AB7" s="4"/>
      <c r="AC7" s="4"/>
      <c r="AD7" s="4"/>
      <c r="AE7" s="4"/>
      <c r="AF7" s="4"/>
      <c r="AG7" s="4"/>
      <c r="AH7" s="4"/>
      <c r="AI7" s="4"/>
      <c r="AJ7" s="4"/>
      <c r="AK7" s="4"/>
      <c r="AL7" s="4"/>
      <c r="AM7" s="4"/>
      <c r="AN7" s="4"/>
      <c r="AO7" s="4"/>
      <c r="AP7" s="4"/>
    </row>
    <row r="8" spans="1:42" x14ac:dyDescent="0.25">
      <c r="A8" s="6">
        <v>9</v>
      </c>
      <c r="B8" s="5">
        <v>2</v>
      </c>
      <c r="C8" s="4">
        <v>44</v>
      </c>
      <c r="D8" s="4">
        <v>44</v>
      </c>
      <c r="E8" s="4"/>
      <c r="F8" s="4"/>
      <c r="G8" s="4"/>
      <c r="H8" s="4"/>
      <c r="I8" s="4"/>
      <c r="J8" s="4"/>
      <c r="K8" s="4"/>
      <c r="L8" s="4"/>
      <c r="M8" s="4"/>
      <c r="N8" s="4"/>
      <c r="O8" s="4"/>
      <c r="P8" s="4"/>
      <c r="Q8" s="4"/>
      <c r="R8" s="4"/>
      <c r="S8" s="4"/>
      <c r="T8" s="4"/>
      <c r="U8" s="4"/>
      <c r="V8" s="4"/>
      <c r="W8" s="4">
        <v>14</v>
      </c>
      <c r="X8" s="4">
        <v>24</v>
      </c>
      <c r="Y8" s="4"/>
      <c r="Z8" s="4"/>
      <c r="AA8" s="4"/>
      <c r="AB8" s="4"/>
      <c r="AC8" s="4"/>
      <c r="AD8" s="4"/>
      <c r="AE8" s="4"/>
      <c r="AF8" s="4"/>
      <c r="AG8" s="4"/>
      <c r="AH8" s="4"/>
      <c r="AI8" s="4"/>
      <c r="AJ8" s="4"/>
      <c r="AK8" s="4"/>
      <c r="AL8" s="4"/>
      <c r="AM8" s="4"/>
      <c r="AN8" s="4"/>
      <c r="AO8" s="4"/>
      <c r="AP8" s="4"/>
    </row>
    <row r="9" spans="1:42" x14ac:dyDescent="0.25">
      <c r="A9" s="6">
        <v>10</v>
      </c>
      <c r="B9" s="5">
        <v>2</v>
      </c>
      <c r="C9" s="4">
        <v>44</v>
      </c>
      <c r="D9" s="4">
        <v>46</v>
      </c>
      <c r="E9" s="4"/>
      <c r="F9" s="4"/>
      <c r="G9" s="4"/>
      <c r="H9" s="4"/>
      <c r="I9" s="4"/>
      <c r="J9" s="4"/>
      <c r="K9" s="4"/>
      <c r="L9" s="4"/>
      <c r="M9" s="4"/>
      <c r="N9" s="4"/>
      <c r="O9" s="4"/>
      <c r="P9" s="4"/>
      <c r="Q9" s="4"/>
      <c r="R9" s="4"/>
      <c r="S9" s="4"/>
      <c r="T9" s="4"/>
      <c r="U9" s="4"/>
      <c r="V9" s="4"/>
      <c r="W9" s="4">
        <v>16</v>
      </c>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3</v>
      </c>
      <c r="C11" s="4">
        <v>48</v>
      </c>
      <c r="D11" s="4">
        <v>48</v>
      </c>
      <c r="E11" s="4">
        <v>48</v>
      </c>
      <c r="F11" s="4"/>
      <c r="G11" s="4"/>
      <c r="H11" s="4"/>
      <c r="I11" s="4"/>
      <c r="J11" s="4"/>
      <c r="K11" s="4"/>
      <c r="L11" s="4"/>
      <c r="M11" s="4"/>
      <c r="N11" s="4"/>
      <c r="O11" s="4"/>
      <c r="P11" s="4"/>
      <c r="Q11" s="4"/>
      <c r="R11" s="4"/>
      <c r="S11" s="4"/>
      <c r="T11" s="4"/>
      <c r="U11" s="4"/>
      <c r="V11" s="4"/>
      <c r="W11" s="4">
        <v>10</v>
      </c>
      <c r="X11" s="4">
        <v>10</v>
      </c>
      <c r="Y11" s="4">
        <v>12</v>
      </c>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v>2</v>
      </c>
      <c r="C13" s="4">
        <v>44</v>
      </c>
      <c r="D13" s="4">
        <v>44</v>
      </c>
      <c r="E13" s="4"/>
      <c r="F13" s="4"/>
      <c r="G13" s="4"/>
      <c r="H13" s="4"/>
      <c r="I13" s="4"/>
      <c r="J13" s="4"/>
      <c r="K13" s="4"/>
      <c r="L13" s="4"/>
      <c r="M13" s="4"/>
      <c r="N13" s="4"/>
      <c r="O13" s="4"/>
      <c r="P13" s="4"/>
      <c r="Q13" s="4"/>
      <c r="R13" s="4"/>
      <c r="S13" s="4"/>
      <c r="T13" s="4"/>
      <c r="U13" s="4"/>
      <c r="V13" s="4"/>
      <c r="W13" s="4">
        <v>28</v>
      </c>
      <c r="X13" s="4">
        <v>32</v>
      </c>
      <c r="Y13" s="4"/>
      <c r="Z13" s="4"/>
      <c r="AA13" s="4"/>
      <c r="AB13" s="4"/>
      <c r="AC13" s="4"/>
      <c r="AD13" s="4"/>
      <c r="AE13" s="4"/>
      <c r="AF13" s="4"/>
      <c r="AG13" s="4"/>
      <c r="AH13" s="4"/>
      <c r="AI13" s="4"/>
      <c r="AJ13" s="4"/>
      <c r="AK13" s="4"/>
      <c r="AL13" s="4"/>
      <c r="AM13" s="4"/>
      <c r="AN13" s="4"/>
      <c r="AO13" s="4"/>
      <c r="AP13" s="4"/>
    </row>
    <row r="14" spans="1:42" x14ac:dyDescent="0.25">
      <c r="A14" s="6">
        <v>15</v>
      </c>
      <c r="B14" s="5">
        <v>2</v>
      </c>
      <c r="C14" s="4">
        <v>44</v>
      </c>
      <c r="D14" s="4">
        <v>44</v>
      </c>
      <c r="E14" s="4"/>
      <c r="F14" s="4"/>
      <c r="G14" s="4"/>
      <c r="H14" s="4"/>
      <c r="I14" s="4"/>
      <c r="J14" s="4"/>
      <c r="K14" s="4"/>
      <c r="L14" s="4"/>
      <c r="M14" s="4"/>
      <c r="N14" s="4"/>
      <c r="O14" s="4"/>
      <c r="P14" s="4"/>
      <c r="Q14" s="4"/>
      <c r="R14" s="4"/>
      <c r="S14" s="4"/>
      <c r="T14" s="4"/>
      <c r="U14" s="4"/>
      <c r="V14" s="4"/>
      <c r="W14" s="4">
        <v>18</v>
      </c>
      <c r="X14" s="4">
        <v>16</v>
      </c>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46</v>
      </c>
      <c r="E15" s="4"/>
      <c r="F15" s="4"/>
      <c r="G15" s="4"/>
      <c r="H15" s="4"/>
      <c r="I15" s="4"/>
      <c r="J15" s="4"/>
      <c r="K15" s="4"/>
      <c r="L15" s="4"/>
      <c r="M15" s="4"/>
      <c r="N15" s="4"/>
      <c r="O15" s="4"/>
      <c r="P15" s="4"/>
      <c r="Q15" s="4"/>
      <c r="R15" s="4"/>
      <c r="S15" s="4"/>
      <c r="T15" s="4"/>
      <c r="U15" s="4"/>
      <c r="V15" s="4"/>
      <c r="W15" s="4">
        <v>24</v>
      </c>
      <c r="X15" s="4"/>
      <c r="Y15" s="4"/>
      <c r="Z15" s="4"/>
      <c r="AA15" s="4"/>
      <c r="AB15" s="4"/>
      <c r="AC15" s="4"/>
      <c r="AD15" s="4"/>
      <c r="AE15" s="4"/>
      <c r="AF15" s="4"/>
      <c r="AG15" s="4"/>
      <c r="AH15" s="4"/>
      <c r="AI15" s="4"/>
      <c r="AJ15" s="4"/>
      <c r="AK15" s="4"/>
      <c r="AL15" s="4"/>
      <c r="AM15" s="4"/>
      <c r="AN15" s="4"/>
      <c r="AO15" s="4"/>
      <c r="AP15" s="4"/>
    </row>
    <row r="16" spans="1:42" x14ac:dyDescent="0.25">
      <c r="A16" s="6">
        <v>17</v>
      </c>
      <c r="B16" s="5">
        <v>2</v>
      </c>
      <c r="C16" s="4">
        <v>46</v>
      </c>
      <c r="D16" s="4">
        <v>46</v>
      </c>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3</v>
      </c>
      <c r="C17" s="4">
        <v>44</v>
      </c>
      <c r="D17" s="4">
        <v>44</v>
      </c>
      <c r="E17" s="4">
        <v>44</v>
      </c>
      <c r="F17" s="4"/>
      <c r="G17" s="4"/>
      <c r="H17" s="4"/>
      <c r="I17" s="4"/>
      <c r="J17" s="4"/>
      <c r="K17" s="4"/>
      <c r="L17" s="4"/>
      <c r="M17" s="4"/>
      <c r="N17" s="4"/>
      <c r="O17" s="4"/>
      <c r="P17" s="4"/>
      <c r="Q17" s="4"/>
      <c r="R17" s="4"/>
      <c r="S17" s="4"/>
      <c r="T17" s="4"/>
      <c r="U17" s="4"/>
      <c r="V17" s="4"/>
      <c r="W17" s="4">
        <v>32</v>
      </c>
      <c r="X17" s="4">
        <v>34</v>
      </c>
      <c r="Y17" s="4">
        <v>32</v>
      </c>
      <c r="Z17" s="4"/>
      <c r="AA17" s="4"/>
      <c r="AB17" s="4"/>
      <c r="AC17" s="4"/>
      <c r="AD17" s="4"/>
      <c r="AE17" s="4"/>
      <c r="AF17" s="4"/>
      <c r="AG17" s="4"/>
      <c r="AH17" s="4"/>
      <c r="AI17" s="4"/>
      <c r="AJ17" s="4"/>
      <c r="AK17" s="4"/>
      <c r="AL17" s="4"/>
      <c r="AM17" s="4"/>
      <c r="AN17" s="4"/>
      <c r="AO17" s="4"/>
      <c r="AP17" s="4"/>
    </row>
    <row r="18" spans="1:42" x14ac:dyDescent="0.25">
      <c r="A18" s="6">
        <v>19</v>
      </c>
      <c r="B18" s="5">
        <v>3</v>
      </c>
      <c r="C18" s="4">
        <v>44</v>
      </c>
      <c r="D18" s="4">
        <v>44</v>
      </c>
      <c r="E18" s="4">
        <v>44</v>
      </c>
      <c r="F18" s="4"/>
      <c r="G18" s="4"/>
      <c r="H18" s="4"/>
      <c r="I18" s="4"/>
      <c r="J18" s="4"/>
      <c r="K18" s="4"/>
      <c r="L18" s="4"/>
      <c r="M18" s="4"/>
      <c r="N18" s="4"/>
      <c r="O18" s="4"/>
      <c r="P18" s="4"/>
      <c r="Q18" s="4"/>
      <c r="R18" s="4"/>
      <c r="S18" s="4"/>
      <c r="T18" s="4"/>
      <c r="U18" s="4"/>
      <c r="V18" s="4"/>
      <c r="W18" s="4">
        <v>31</v>
      </c>
      <c r="X18" s="4">
        <v>42</v>
      </c>
      <c r="Y18" s="4">
        <v>42</v>
      </c>
      <c r="Z18" s="4"/>
      <c r="AA18" s="4"/>
      <c r="AB18" s="4"/>
      <c r="AC18" s="4"/>
      <c r="AD18" s="4"/>
      <c r="AE18" s="4"/>
      <c r="AF18" s="4"/>
      <c r="AG18" s="4"/>
      <c r="AH18" s="4"/>
      <c r="AI18" s="4"/>
      <c r="AJ18" s="4"/>
      <c r="AK18" s="4"/>
      <c r="AL18" s="4"/>
      <c r="AM18" s="4"/>
      <c r="AN18" s="4"/>
      <c r="AO18" s="4"/>
      <c r="AP18" s="4"/>
    </row>
    <row r="19" spans="1:42" x14ac:dyDescent="0.25">
      <c r="A19" s="6">
        <v>20</v>
      </c>
      <c r="B19" s="5">
        <v>3</v>
      </c>
      <c r="C19" s="4">
        <v>44</v>
      </c>
      <c r="D19" s="4">
        <v>44</v>
      </c>
      <c r="E19" s="4">
        <v>44</v>
      </c>
      <c r="F19" s="4"/>
      <c r="G19" s="4"/>
      <c r="H19" s="4"/>
      <c r="I19" s="4"/>
      <c r="J19" s="4"/>
      <c r="K19" s="4"/>
      <c r="L19" s="4"/>
      <c r="M19" s="4"/>
      <c r="N19" s="4"/>
      <c r="O19" s="4"/>
      <c r="P19" s="4"/>
      <c r="Q19" s="4"/>
      <c r="R19" s="4"/>
      <c r="S19" s="4"/>
      <c r="T19" s="4"/>
      <c r="U19" s="4"/>
      <c r="V19" s="4"/>
      <c r="W19" s="4">
        <v>12</v>
      </c>
      <c r="X19" s="4">
        <v>21</v>
      </c>
      <c r="Y19" s="4">
        <v>33</v>
      </c>
      <c r="Z19" s="4"/>
      <c r="AA19" s="4"/>
      <c r="AB19" s="4"/>
      <c r="AC19" s="4"/>
      <c r="AD19" s="4"/>
      <c r="AE19" s="4"/>
      <c r="AF19" s="4"/>
      <c r="AG19" s="4"/>
      <c r="AH19" s="4"/>
      <c r="AI19" s="4"/>
      <c r="AJ19" s="4"/>
      <c r="AK19" s="4"/>
      <c r="AL19" s="4"/>
      <c r="AM19" s="4"/>
      <c r="AN19" s="4"/>
      <c r="AO19" s="4"/>
      <c r="AP19" s="4"/>
    </row>
    <row r="20" spans="1:42" x14ac:dyDescent="0.25">
      <c r="A20" s="6">
        <v>21</v>
      </c>
      <c r="B20" s="5">
        <v>1</v>
      </c>
      <c r="C20" s="4">
        <v>44</v>
      </c>
      <c r="D20" s="4"/>
      <c r="E20" s="4"/>
      <c r="F20" s="4"/>
      <c r="G20" s="4"/>
      <c r="H20" s="4"/>
      <c r="I20" s="4"/>
      <c r="J20" s="4"/>
      <c r="K20" s="4"/>
      <c r="L20" s="4"/>
      <c r="M20" s="4"/>
      <c r="N20" s="4"/>
      <c r="O20" s="4"/>
      <c r="P20" s="4"/>
      <c r="Q20" s="4"/>
      <c r="R20" s="4"/>
      <c r="S20" s="4"/>
      <c r="T20" s="4"/>
      <c r="U20" s="4"/>
      <c r="V20" s="4"/>
      <c r="W20" s="4">
        <v>10</v>
      </c>
      <c r="X20" s="4"/>
      <c r="Y20" s="4"/>
      <c r="Z20" s="4"/>
      <c r="AA20" s="4"/>
      <c r="AB20" s="4"/>
      <c r="AC20" s="4"/>
      <c r="AD20" s="4"/>
      <c r="AE20" s="4"/>
      <c r="AF20" s="4"/>
      <c r="AG20" s="4"/>
      <c r="AH20" s="4"/>
      <c r="AI20" s="4"/>
      <c r="AJ20" s="4"/>
      <c r="AK20" s="4"/>
      <c r="AL20" s="4"/>
      <c r="AM20" s="4"/>
      <c r="AN20" s="4"/>
      <c r="AO20" s="4"/>
      <c r="AP20" s="4"/>
    </row>
    <row r="21" spans="1:42" x14ac:dyDescent="0.25">
      <c r="A21" s="6">
        <v>22</v>
      </c>
      <c r="B21" s="5">
        <v>2</v>
      </c>
      <c r="C21" s="4">
        <v>44</v>
      </c>
      <c r="D21" s="4">
        <v>44</v>
      </c>
      <c r="E21" s="4"/>
      <c r="F21" s="4"/>
      <c r="G21" s="4"/>
      <c r="H21" s="4"/>
      <c r="I21" s="4"/>
      <c r="J21" s="4"/>
      <c r="K21" s="4"/>
      <c r="L21" s="4"/>
      <c r="M21" s="4"/>
      <c r="N21" s="4"/>
      <c r="O21" s="4"/>
      <c r="P21" s="4"/>
      <c r="Q21" s="4"/>
      <c r="R21" s="4"/>
      <c r="S21" s="4"/>
      <c r="T21" s="4"/>
      <c r="U21" s="4"/>
      <c r="V21" s="4"/>
      <c r="W21" s="4">
        <v>26</v>
      </c>
      <c r="X21" s="4">
        <v>28</v>
      </c>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44</v>
      </c>
      <c r="D22" s="4">
        <v>44</v>
      </c>
      <c r="E22" s="4"/>
      <c r="F22" s="4"/>
      <c r="G22" s="4"/>
      <c r="H22" s="4"/>
      <c r="I22" s="4"/>
      <c r="J22" s="4"/>
      <c r="K22" s="4"/>
      <c r="L22" s="4"/>
      <c r="M22" s="4"/>
      <c r="N22" s="4"/>
      <c r="O22" s="4"/>
      <c r="P22" s="4"/>
      <c r="Q22" s="4"/>
      <c r="R22" s="4"/>
      <c r="S22" s="4"/>
      <c r="T22" s="4"/>
      <c r="U22" s="4"/>
      <c r="V22" s="4"/>
      <c r="W22" s="4">
        <v>32</v>
      </c>
      <c r="X22" s="4">
        <v>22</v>
      </c>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44</v>
      </c>
      <c r="D23" s="4">
        <v>44</v>
      </c>
      <c r="E23" s="4"/>
      <c r="F23" s="4"/>
      <c r="G23" s="4"/>
      <c r="H23" s="4"/>
      <c r="I23" s="4"/>
      <c r="J23" s="4"/>
      <c r="K23" s="4"/>
      <c r="L23" s="4"/>
      <c r="M23" s="4"/>
      <c r="N23" s="4"/>
      <c r="O23" s="4"/>
      <c r="P23" s="4"/>
      <c r="Q23" s="4"/>
      <c r="R23" s="4"/>
      <c r="S23" s="4"/>
      <c r="T23" s="4"/>
      <c r="U23" s="4"/>
      <c r="V23" s="4"/>
      <c r="W23" s="4">
        <v>36</v>
      </c>
      <c r="X23" s="4">
        <v>20</v>
      </c>
      <c r="Y23" s="4"/>
      <c r="Z23" s="4"/>
      <c r="AA23" s="4"/>
      <c r="AB23" s="4"/>
      <c r="AC23" s="4"/>
      <c r="AD23" s="4"/>
      <c r="AE23" s="4"/>
      <c r="AF23" s="4"/>
      <c r="AG23" s="4"/>
      <c r="AH23" s="4"/>
      <c r="AI23" s="4"/>
      <c r="AJ23" s="4"/>
      <c r="AK23" s="4"/>
      <c r="AL23" s="4"/>
      <c r="AM23" s="4"/>
      <c r="AN23" s="4"/>
      <c r="AO23" s="4"/>
      <c r="AP23" s="4"/>
    </row>
    <row r="24" spans="1:42" x14ac:dyDescent="0.25">
      <c r="A24" s="6">
        <v>25</v>
      </c>
      <c r="B24" s="5">
        <v>2</v>
      </c>
      <c r="C24" s="4">
        <v>44</v>
      </c>
      <c r="D24" s="4">
        <v>44</v>
      </c>
      <c r="E24" s="4"/>
      <c r="F24" s="4"/>
      <c r="G24" s="4"/>
      <c r="H24" s="4"/>
      <c r="I24" s="4"/>
      <c r="J24" s="4"/>
      <c r="K24" s="4"/>
      <c r="L24" s="4"/>
      <c r="M24" s="4"/>
      <c r="N24" s="4"/>
      <c r="O24" s="4"/>
      <c r="P24" s="4"/>
      <c r="Q24" s="4"/>
      <c r="R24" s="4"/>
      <c r="S24" s="4"/>
      <c r="T24" s="4"/>
      <c r="U24" s="4"/>
      <c r="V24" s="4"/>
      <c r="W24" s="4">
        <v>54</v>
      </c>
      <c r="X24" s="4">
        <v>24</v>
      </c>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44</v>
      </c>
      <c r="D25" s="4">
        <v>44</v>
      </c>
      <c r="E25" s="4"/>
      <c r="F25" s="4"/>
      <c r="G25" s="4"/>
      <c r="H25" s="4"/>
      <c r="I25" s="4"/>
      <c r="J25" s="4"/>
      <c r="K25" s="4"/>
      <c r="L25" s="4"/>
      <c r="M25" s="4"/>
      <c r="N25" s="4"/>
      <c r="O25" s="4"/>
      <c r="P25" s="4"/>
      <c r="Q25" s="4"/>
      <c r="R25" s="4"/>
      <c r="S25" s="4"/>
      <c r="T25" s="4"/>
      <c r="U25" s="4"/>
      <c r="V25" s="4"/>
      <c r="W25" s="4">
        <v>28</v>
      </c>
      <c r="X25" s="4">
        <v>16</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1</v>
      </c>
      <c r="C30" s="4">
        <v>50</v>
      </c>
      <c r="D30" s="4"/>
      <c r="E30" s="4"/>
      <c r="F30" s="4"/>
      <c r="G30" s="4"/>
      <c r="H30" s="4"/>
      <c r="I30" s="4"/>
      <c r="J30" s="4"/>
      <c r="K30" s="4"/>
      <c r="L30" s="4"/>
      <c r="M30" s="4"/>
      <c r="N30" s="4"/>
      <c r="O30" s="4"/>
      <c r="P30" s="4"/>
      <c r="Q30" s="4"/>
      <c r="R30" s="4"/>
      <c r="S30" s="4"/>
      <c r="T30" s="4"/>
      <c r="U30" s="4"/>
      <c r="V30" s="4"/>
      <c r="W30" s="4">
        <v>38</v>
      </c>
      <c r="X30" s="4"/>
      <c r="Y30" s="4"/>
      <c r="Z30" s="4"/>
      <c r="AA30" s="4"/>
      <c r="AB30" s="4"/>
      <c r="AC30" s="4"/>
      <c r="AD30" s="4"/>
      <c r="AE30" s="4"/>
      <c r="AF30" s="4"/>
      <c r="AG30" s="4"/>
      <c r="AH30" s="4"/>
      <c r="AI30" s="4"/>
      <c r="AJ30" s="4"/>
      <c r="AK30" s="4"/>
      <c r="AL30" s="4"/>
      <c r="AM30" s="4"/>
      <c r="AN30" s="4"/>
      <c r="AO30" s="4"/>
      <c r="AP30" s="4"/>
    </row>
    <row r="31" spans="1:42" x14ac:dyDescent="0.25">
      <c r="A31" s="6">
        <v>32</v>
      </c>
      <c r="B31" s="5">
        <v>1</v>
      </c>
      <c r="C31" s="4">
        <v>50</v>
      </c>
      <c r="D31" s="4"/>
      <c r="E31" s="4"/>
      <c r="F31" s="4"/>
      <c r="G31" s="4"/>
      <c r="H31" s="4"/>
      <c r="I31" s="4"/>
      <c r="J31" s="4"/>
      <c r="K31" s="4"/>
      <c r="L31" s="4"/>
      <c r="M31" s="4"/>
      <c r="N31" s="4"/>
      <c r="O31" s="4"/>
      <c r="P31" s="4"/>
      <c r="Q31" s="4"/>
      <c r="R31" s="4"/>
      <c r="S31" s="4"/>
      <c r="T31" s="4"/>
      <c r="U31" s="4"/>
      <c r="V31" s="4"/>
      <c r="W31" s="4">
        <v>75</v>
      </c>
      <c r="X31" s="4"/>
      <c r="Y31" s="4"/>
      <c r="Z31" s="4"/>
      <c r="AA31" s="4"/>
      <c r="AB31" s="4"/>
      <c r="AC31" s="4"/>
      <c r="AD31" s="4"/>
      <c r="AE31" s="4"/>
      <c r="AF31" s="4"/>
      <c r="AG31" s="4"/>
      <c r="AH31" s="4"/>
      <c r="AI31" s="4"/>
      <c r="AJ31" s="4"/>
      <c r="AK31" s="4"/>
      <c r="AL31" s="4"/>
      <c r="AM31" s="4"/>
      <c r="AN31" s="4"/>
      <c r="AO31" s="4"/>
      <c r="AP31" s="4"/>
    </row>
    <row r="32" spans="1:42" x14ac:dyDescent="0.25">
      <c r="A32" s="6">
        <v>33</v>
      </c>
      <c r="B32" s="5">
        <v>2</v>
      </c>
      <c r="C32" s="4">
        <v>50</v>
      </c>
      <c r="D32" s="4">
        <v>50</v>
      </c>
      <c r="E32" s="4"/>
      <c r="F32" s="4"/>
      <c r="G32" s="4"/>
      <c r="H32" s="4"/>
      <c r="I32" s="4"/>
      <c r="J32" s="4"/>
      <c r="K32" s="4"/>
      <c r="L32" s="4"/>
      <c r="M32" s="4"/>
      <c r="N32" s="4"/>
      <c r="O32" s="4"/>
      <c r="P32" s="4"/>
      <c r="Q32" s="4"/>
      <c r="R32" s="4"/>
      <c r="S32" s="4"/>
      <c r="T32" s="4"/>
      <c r="U32" s="4"/>
      <c r="V32" s="4"/>
      <c r="W32" s="4">
        <v>20</v>
      </c>
      <c r="X32" s="4">
        <v>67</v>
      </c>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50</v>
      </c>
      <c r="D33" s="4"/>
      <c r="E33" s="4"/>
      <c r="F33" s="4"/>
      <c r="G33" s="4"/>
      <c r="H33" s="4"/>
      <c r="I33" s="4"/>
      <c r="J33" s="4"/>
      <c r="K33" s="4"/>
      <c r="L33" s="4"/>
      <c r="M33" s="4"/>
      <c r="N33" s="4"/>
      <c r="O33" s="4"/>
      <c r="P33" s="4"/>
      <c r="Q33" s="4"/>
      <c r="R33" s="4"/>
      <c r="S33" s="4"/>
      <c r="T33" s="4"/>
      <c r="U33" s="4"/>
      <c r="V33" s="4"/>
      <c r="W33" s="4">
        <v>16</v>
      </c>
      <c r="X33" s="4"/>
      <c r="Y33" s="4"/>
      <c r="Z33" s="4"/>
      <c r="AA33" s="4"/>
      <c r="AB33" s="4"/>
      <c r="AC33" s="4"/>
      <c r="AD33" s="4"/>
      <c r="AE33" s="4"/>
      <c r="AF33" s="4"/>
      <c r="AG33" s="4"/>
      <c r="AH33" s="4"/>
      <c r="AI33" s="4"/>
      <c r="AJ33" s="4"/>
      <c r="AK33" s="4"/>
      <c r="AL33" s="4"/>
      <c r="AM33" s="4"/>
      <c r="AN33" s="4"/>
      <c r="AO33" s="4"/>
      <c r="AP33" s="4"/>
    </row>
    <row r="34" spans="1:42" x14ac:dyDescent="0.25">
      <c r="A34" s="6">
        <v>35</v>
      </c>
      <c r="B34" s="5">
        <v>1</v>
      </c>
      <c r="C34" s="4">
        <v>50</v>
      </c>
      <c r="D34" s="4"/>
      <c r="E34" s="4"/>
      <c r="F34" s="4"/>
      <c r="G34" s="4"/>
      <c r="H34" s="4"/>
      <c r="I34" s="4"/>
      <c r="J34" s="4"/>
      <c r="K34" s="4"/>
      <c r="L34" s="4"/>
      <c r="M34" s="4"/>
      <c r="N34" s="4"/>
      <c r="O34" s="4"/>
      <c r="P34" s="4"/>
      <c r="Q34" s="4"/>
      <c r="R34" s="4"/>
      <c r="S34" s="4"/>
      <c r="T34" s="4"/>
      <c r="U34" s="4"/>
      <c r="V34" s="4"/>
      <c r="W34" s="4">
        <v>35</v>
      </c>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3150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2970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1114</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45</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59</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4</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53</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AU1" zoomScale="80" zoomScaleNormal="80" workbookViewId="0">
      <pane ySplit="8" topLeftCell="A9" activePane="bottomLeft" state="frozen"/>
      <selection pane="bottomLeft" activeCell="BN12" sqref="BN1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885</v>
      </c>
      <c r="F2" s="276" t="s">
        <v>173</v>
      </c>
      <c r="G2" s="276"/>
      <c r="H2" s="276"/>
      <c r="I2" s="14">
        <f>IF(I3="","",IF(AND(I5="Y",I6="N"),I3,IF(I3&lt;1000,I3+10,I3+20)))</f>
        <v>710</v>
      </c>
      <c r="K2" s="276" t="s">
        <v>173</v>
      </c>
      <c r="L2" s="276"/>
      <c r="M2" s="276"/>
      <c r="N2" s="14">
        <f>IF(N3="","",IF(AND(N5="Y",N6="N"),N3,IF(N3&lt;1000,N3+10,N3+20)))</f>
        <v>1663</v>
      </c>
      <c r="P2" s="276" t="s">
        <v>173</v>
      </c>
      <c r="Q2" s="276"/>
      <c r="R2" s="276"/>
      <c r="S2" s="14">
        <f>IF(S3="","",IF(AND(S5="Y",S6="N"),S3,IF(S3&lt;1000,S3+10,S3+20)))</f>
        <v>1594</v>
      </c>
      <c r="U2" s="276" t="s">
        <v>173</v>
      </c>
      <c r="V2" s="276"/>
      <c r="W2" s="276"/>
      <c r="X2" s="14">
        <f>IF(X3="","",IF(AND(X5="Y",X6="N"),X3,IF(X3&lt;1000,X3+10,X3+20)))</f>
        <v>1552</v>
      </c>
      <c r="Z2" s="276" t="s">
        <v>173</v>
      </c>
      <c r="AA2" s="276"/>
      <c r="AB2" s="276"/>
      <c r="AC2" s="14">
        <f>IF(AC3="","",IF(AND(AC5="Y",AC6="N"),AC3,IF(AC3&lt;1000,AC3+10,AC3+20)))</f>
        <v>1681</v>
      </c>
      <c r="AE2" s="276" t="s">
        <v>173</v>
      </c>
      <c r="AF2" s="276"/>
      <c r="AG2" s="276"/>
      <c r="AH2" s="14">
        <f>IF(AH3="","",IF(AND(AH5="Y",AH6="N"),AH3,IF(AH3&lt;1000,AH3+10,AH3+20)))</f>
        <v>1189</v>
      </c>
      <c r="AJ2" s="276" t="s">
        <v>173</v>
      </c>
      <c r="AK2" s="276"/>
      <c r="AL2" s="276"/>
      <c r="AM2" s="14">
        <f>IF(AM3="","",IF(AND(AM5="Y",AM6="N"),AM3,IF(AM3&lt;1000,AM3+10,AM3+20)))</f>
        <v>1315</v>
      </c>
      <c r="AO2" s="276" t="s">
        <v>173</v>
      </c>
      <c r="AP2" s="276"/>
      <c r="AQ2" s="276"/>
      <c r="AR2" s="14">
        <f>IF(AR3="","",IF(AND(AR5="Y",AR6="N"),AR3,IF(AR3&lt;1000,AR3+10,AR3+20)))</f>
        <v>875</v>
      </c>
      <c r="AT2" s="276" t="s">
        <v>173</v>
      </c>
      <c r="AU2" s="276"/>
      <c r="AV2" s="276"/>
      <c r="AW2" s="14">
        <f>IF(AW3="","",IF(AND(AW5="Y",AW6="N"),AW3,IF(AW3&lt;1000,AW3+10,AW3+20)))</f>
        <v>720</v>
      </c>
      <c r="AY2" s="276" t="s">
        <v>173</v>
      </c>
      <c r="AZ2" s="276"/>
      <c r="BA2" s="276"/>
      <c r="BB2" s="14">
        <f>IF(BB3="","",IF(AND(BB5="Y",BB6="N"),BB3,IF(BB3&lt;1000,BB3+10,BB3+20)))</f>
        <v>985</v>
      </c>
      <c r="BD2" s="276" t="s">
        <v>173</v>
      </c>
      <c r="BE2" s="276"/>
      <c r="BF2" s="276"/>
      <c r="BG2" s="14">
        <f>IF(BG3="","",IF(AND(BG5="Y",BG6="N"),BG3,IF(BG3&lt;1000,BG3+10,BG3+20)))</f>
        <v>1538</v>
      </c>
      <c r="BI2" s="276" t="s">
        <v>173</v>
      </c>
      <c r="BJ2" s="276"/>
      <c r="BK2" s="276"/>
      <c r="BL2" s="14">
        <f>IF(BL3="","",IF(AND(BL5="Y",BL6="N"),BL3,IF(BL3&lt;1000,BL3+10,BL3+20)))</f>
        <v>770</v>
      </c>
      <c r="BN2" s="276" t="s">
        <v>173</v>
      </c>
      <c r="BO2" s="276"/>
      <c r="BP2" s="276"/>
      <c r="BQ2" s="14">
        <f>IF(BQ3="","",IF(AND(BQ5="Y",BQ6="N"),BQ3,IF(BQ3&lt;1000,BQ3+10,BQ3+20)))</f>
        <v>210</v>
      </c>
      <c r="BS2" s="276" t="s">
        <v>173</v>
      </c>
      <c r="BT2" s="276"/>
      <c r="BU2" s="276"/>
      <c r="BV2" s="14" t="str">
        <f>IF(BV3="","",IF(AND(BV5="Y",BV6="N"),BV3,IF(BV3&lt;1000,BV3+10,BV3+20)))</f>
        <v/>
      </c>
      <c r="BX2" s="276" t="s">
        <v>173</v>
      </c>
      <c r="BY2" s="276"/>
      <c r="BZ2" s="276"/>
      <c r="CA2" s="14" t="str">
        <f>IF(CA3="","",IF(AND(CA5="Y",CA6="N"),CA3,IF(CA3&lt;1000,CA3+10,CA3+20)))</f>
        <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875</v>
      </c>
      <c r="E3" s="16">
        <f>IF(E9="","",SUM(E9:E208,B9:B208,D9:D208))</f>
        <v>875</v>
      </c>
      <c r="F3" s="276" t="s">
        <v>174</v>
      </c>
      <c r="G3" s="276"/>
      <c r="H3" s="276"/>
      <c r="I3" s="15">
        <f>IF(J3="","",SUM(J3,J5,J6))</f>
        <v>700</v>
      </c>
      <c r="J3" s="16">
        <f>IF(J9="","",SUM(J9:J208,G9:G208,I9:I208))</f>
        <v>675</v>
      </c>
      <c r="K3" s="276" t="s">
        <v>174</v>
      </c>
      <c r="L3" s="276"/>
      <c r="M3" s="276"/>
      <c r="N3" s="15">
        <f>IF(O3="","",SUM(O3,O5,O6))</f>
        <v>1663</v>
      </c>
      <c r="O3" s="16">
        <f>IF(O9="","",SUM(O9:O208,L9:L208,N9:N208))</f>
        <v>1613</v>
      </c>
      <c r="P3" s="276" t="s">
        <v>174</v>
      </c>
      <c r="Q3" s="276"/>
      <c r="R3" s="276"/>
      <c r="S3" s="15">
        <f>IF(T3="","",SUM(T3,T5,T6))</f>
        <v>1594</v>
      </c>
      <c r="T3" s="16">
        <f>IF(T9="","",SUM(T9:T208,Q9:Q208,S9:S208))</f>
        <v>1544</v>
      </c>
      <c r="U3" s="276" t="s">
        <v>174</v>
      </c>
      <c r="V3" s="276"/>
      <c r="W3" s="276"/>
      <c r="X3" s="15">
        <f>IF(Y3="","",SUM(Y3,Y5,Y6))</f>
        <v>1552</v>
      </c>
      <c r="Y3" s="16">
        <f>IF(Y9="","",SUM(Y9:Y208,V9:V208,X9:X208))</f>
        <v>1502</v>
      </c>
      <c r="Z3" s="276" t="s">
        <v>174</v>
      </c>
      <c r="AA3" s="276"/>
      <c r="AB3" s="276"/>
      <c r="AC3" s="15">
        <f>IF(AD3="","",SUM(AD3,AD5,AD6))</f>
        <v>1681</v>
      </c>
      <c r="AD3" s="16">
        <f>IF(AD9="","",SUM(AD9:AD208,AA9:AA208,AC9:AC208))</f>
        <v>1631</v>
      </c>
      <c r="AE3" s="276" t="s">
        <v>174</v>
      </c>
      <c r="AF3" s="276"/>
      <c r="AG3" s="276"/>
      <c r="AH3" s="15">
        <f>IF(AI3="","",SUM(AI3,AI5,AI6))</f>
        <v>1169</v>
      </c>
      <c r="AI3" s="16">
        <f>IF(AI9="","",SUM(AI9:AI208,AF9:AF208,AH9:AH208))</f>
        <v>1144</v>
      </c>
      <c r="AJ3" s="276" t="s">
        <v>174</v>
      </c>
      <c r="AK3" s="276"/>
      <c r="AL3" s="276"/>
      <c r="AM3" s="15">
        <f>IF(AN3="","",SUM(AN3,AN5,AN6))</f>
        <v>1315</v>
      </c>
      <c r="AN3" s="16">
        <f>IF(AN9="","",SUM(AN9:AN208,AK9:AK208,AM9:AM208))</f>
        <v>1285</v>
      </c>
      <c r="AO3" s="276" t="s">
        <v>174</v>
      </c>
      <c r="AP3" s="276"/>
      <c r="AQ3" s="276"/>
      <c r="AR3" s="15">
        <f>IF(AS3="","",SUM(AS3,AS5,AS6))</f>
        <v>875</v>
      </c>
      <c r="AS3" s="16">
        <f>IF(AS9="","",SUM(AS9:AS208,AP9:AP208,AR9:AR208))</f>
        <v>845</v>
      </c>
      <c r="AT3" s="276" t="s">
        <v>174</v>
      </c>
      <c r="AU3" s="276"/>
      <c r="AV3" s="276"/>
      <c r="AW3" s="15">
        <f>IF(AX3="","",SUM(AX3,AX5,AX6))</f>
        <v>710</v>
      </c>
      <c r="AX3" s="16">
        <f>IF(AX9="","",SUM(AX9:AX208,AU9:AU208,AW9:AW208))</f>
        <v>710</v>
      </c>
      <c r="AY3" s="276" t="s">
        <v>174</v>
      </c>
      <c r="AZ3" s="276"/>
      <c r="BA3" s="276"/>
      <c r="BB3" s="15">
        <f>IF(BC3="","",SUM(BC3,BC5,BC6))</f>
        <v>975</v>
      </c>
      <c r="BC3" s="16">
        <f>IF(BC9="","",SUM(BC9:BC208,AZ9:AZ208,BB9:BB208))</f>
        <v>950</v>
      </c>
      <c r="BD3" s="276" t="s">
        <v>174</v>
      </c>
      <c r="BE3" s="276"/>
      <c r="BF3" s="276"/>
      <c r="BG3" s="15">
        <f>IF(BH3="","",SUM(BH3,BH5,BH6))</f>
        <v>1518</v>
      </c>
      <c r="BH3" s="16">
        <f>IF(BH9="","",SUM(BH9:BH208,BE9:BE208,BG9:BG208))</f>
        <v>1493</v>
      </c>
      <c r="BI3" s="276" t="s">
        <v>174</v>
      </c>
      <c r="BJ3" s="276"/>
      <c r="BK3" s="276"/>
      <c r="BL3" s="15">
        <f>IF(BM3="","",SUM(BM3,BM5,BM6))</f>
        <v>760</v>
      </c>
      <c r="BM3" s="16">
        <f>IF(BM9="","",SUM(BM9:BM208,BJ9:BJ208,BL9:BL208))</f>
        <v>735</v>
      </c>
      <c r="BN3" s="276" t="s">
        <v>174</v>
      </c>
      <c r="BO3" s="276"/>
      <c r="BP3" s="276"/>
      <c r="BQ3" s="15">
        <f>IF(BR3="","",SUM(BR3,BR5,BR6))</f>
        <v>200</v>
      </c>
      <c r="BR3" s="16">
        <f>IF(BR9="","",SUM(BR9:BR208,BO9:BO208,BQ9:BQ208))</f>
        <v>200</v>
      </c>
      <c r="BS3" s="276" t="s">
        <v>174</v>
      </c>
      <c r="BT3" s="276"/>
      <c r="BU3" s="276"/>
      <c r="BV3" s="15" t="str">
        <f>IF(BW3="","",SUM(BW3,BW5,BW6))</f>
        <v/>
      </c>
      <c r="BW3" s="16" t="str">
        <f>IF(BW9="","",SUM(BW9:BW208,BT9:BT208,BV9:BV208))</f>
        <v/>
      </c>
      <c r="BX3" s="276" t="s">
        <v>174</v>
      </c>
      <c r="BY3" s="276"/>
      <c r="BZ3" s="276"/>
      <c r="CA3" s="15" t="str">
        <f>IF(CB3="","",SUM(CB3,CB5,CB6))</f>
        <v/>
      </c>
      <c r="CB3" s="16" t="str">
        <f>IF(CB9="","",SUM(CB9:CB208,BY9:BY208,CA9:CA208))</f>
        <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179</v>
      </c>
      <c r="AT4" s="272" t="s">
        <v>175</v>
      </c>
      <c r="AU4" s="273"/>
      <c r="AV4" s="274"/>
      <c r="AW4" s="117" t="s">
        <v>178</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c r="BX4" s="272" t="s">
        <v>175</v>
      </c>
      <c r="BY4" s="273"/>
      <c r="BZ4" s="274"/>
      <c r="CA4" s="117"/>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179</v>
      </c>
      <c r="O5" s="16">
        <f>IF(N4="N","0",IF(N5="Y",O7/2,"0"))</f>
        <v>25</v>
      </c>
      <c r="P5" s="272" t="s">
        <v>176</v>
      </c>
      <c r="Q5" s="273"/>
      <c r="R5" s="274"/>
      <c r="S5" s="117" t="s">
        <v>179</v>
      </c>
      <c r="T5" s="16">
        <f>IF(S4="N","0",IF(S5="Y",T7/2,"0"))</f>
        <v>25</v>
      </c>
      <c r="U5" s="272" t="s">
        <v>176</v>
      </c>
      <c r="V5" s="273"/>
      <c r="W5" s="274"/>
      <c r="X5" s="117" t="s">
        <v>179</v>
      </c>
      <c r="Y5" s="16">
        <f>IF(X4="N","0",IF(X5="Y",Y7/2,"0"))</f>
        <v>25</v>
      </c>
      <c r="Z5" s="272" t="s">
        <v>176</v>
      </c>
      <c r="AA5" s="273"/>
      <c r="AB5" s="274"/>
      <c r="AC5" s="117" t="s">
        <v>179</v>
      </c>
      <c r="AD5" s="16">
        <f>IF(AC4="N","0",IF(AC5="Y",AD7/2,"0"))</f>
        <v>25</v>
      </c>
      <c r="AE5" s="272" t="s">
        <v>176</v>
      </c>
      <c r="AF5" s="273"/>
      <c r="AG5" s="274"/>
      <c r="AH5" s="117" t="s">
        <v>178</v>
      </c>
      <c r="AI5" s="16" t="str">
        <f>IF(AH4="N","0",IF(AH5="Y",AI7/2,"0"))</f>
        <v>0</v>
      </c>
      <c r="AJ5" s="272" t="s">
        <v>176</v>
      </c>
      <c r="AK5" s="273"/>
      <c r="AL5" s="274"/>
      <c r="AM5" s="117" t="s">
        <v>179</v>
      </c>
      <c r="AN5" s="16">
        <f>IF(AM4="N","0",IF(AM5="Y",AN7/2,"0"))</f>
        <v>15</v>
      </c>
      <c r="AO5" s="272" t="s">
        <v>176</v>
      </c>
      <c r="AP5" s="273"/>
      <c r="AQ5" s="274"/>
      <c r="AR5" s="117" t="s">
        <v>179</v>
      </c>
      <c r="AS5" s="16">
        <f>IF(AR4="N","0",IF(AR5="Y",AS7/2,"0"))</f>
        <v>15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c r="BR5" s="16" t="str">
        <f>IF(BQ4="N","0",IF(BQ5="Y",BR7/2,"0"))</f>
        <v>0</v>
      </c>
      <c r="BS5" s="272" t="s">
        <v>176</v>
      </c>
      <c r="BT5" s="273"/>
      <c r="BU5" s="274"/>
      <c r="BV5" s="117"/>
      <c r="BW5" s="16" t="str">
        <f>IF(BV4="N","0",IF(BV5="Y",BW7/2,"0"))</f>
        <v>0</v>
      </c>
      <c r="BX5" s="272" t="s">
        <v>176</v>
      </c>
      <c r="BY5" s="273"/>
      <c r="BZ5" s="274"/>
      <c r="CA5" s="117"/>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25</v>
      </c>
      <c r="AE6" s="272" t="s">
        <v>177</v>
      </c>
      <c r="AF6" s="273"/>
      <c r="AG6" s="274"/>
      <c r="AH6" s="117" t="s">
        <v>178</v>
      </c>
      <c r="AI6" s="16">
        <f>IF(AH4="N","0",IF(AH6="N",AI7/2,"0"))</f>
        <v>25</v>
      </c>
      <c r="AJ6" s="272" t="s">
        <v>177</v>
      </c>
      <c r="AK6" s="273"/>
      <c r="AL6" s="274"/>
      <c r="AM6" s="117" t="s">
        <v>178</v>
      </c>
      <c r="AN6" s="16">
        <f>IF(AM4="N","0",IF(AM6="N",AN7/2,"0"))</f>
        <v>15</v>
      </c>
      <c r="AO6" s="272" t="s">
        <v>177</v>
      </c>
      <c r="AP6" s="273"/>
      <c r="AQ6" s="274"/>
      <c r="AR6" s="117" t="s">
        <v>178</v>
      </c>
      <c r="AS6" s="16">
        <f>IF(AR4="N","0",IF(AR6="N",AS7/2,"0"))</f>
        <v>15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178</v>
      </c>
      <c r="BH6" s="16">
        <f>IF(BG4="N","0",IF(BG6="N",BH7/2,"0"))</f>
        <v>25</v>
      </c>
      <c r="BI6" s="272" t="s">
        <v>177</v>
      </c>
      <c r="BJ6" s="273"/>
      <c r="BK6" s="274"/>
      <c r="BL6" s="117" t="s">
        <v>178</v>
      </c>
      <c r="BM6" s="16">
        <f>IF(BL4="N","0",IF(BL6="N",BM7/2,"0"))</f>
        <v>25</v>
      </c>
      <c r="BN6" s="272" t="s">
        <v>177</v>
      </c>
      <c r="BO6" s="273"/>
      <c r="BP6" s="274"/>
      <c r="BQ6" s="117" t="s">
        <v>178</v>
      </c>
      <c r="BR6" s="16">
        <f>IF(BQ4="N","0",IF(BQ6="N",BR7/2,"0"))</f>
        <v>0</v>
      </c>
      <c r="BS6" s="272" t="s">
        <v>177</v>
      </c>
      <c r="BT6" s="273"/>
      <c r="BU6" s="274"/>
      <c r="BV6" s="117" t="s">
        <v>178</v>
      </c>
      <c r="BW6" s="16">
        <f>IF(BV4="N","0",IF(BV6="N",BW7/2,"0"))</f>
        <v>0</v>
      </c>
      <c r="BX6" s="272" t="s">
        <v>177</v>
      </c>
      <c r="BY6" s="273"/>
      <c r="BZ6" s="274"/>
      <c r="CA6" s="117" t="s">
        <v>178</v>
      </c>
      <c r="CB6" s="16">
        <f>IF(CA4="N","0",IF(CA6="N",CB7/2,"0"))</f>
        <v>0</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t="s">
        <v>492</v>
      </c>
      <c r="AD7" s="16">
        <f>IF(OR(AC7="RPX",AC7="SS"),30,IF(OR(AC7="RPX-T",AC7="EUC"),50,0))</f>
        <v>50</v>
      </c>
      <c r="AE7" s="272" t="s">
        <v>180</v>
      </c>
      <c r="AF7" s="273"/>
      <c r="AG7" s="274"/>
      <c r="AH7" s="117" t="s">
        <v>492</v>
      </c>
      <c r="AI7" s="16">
        <f>IF(OR(AH7="RPX",AH7="SS"),30,IF(OR(AH7="RPX-T",AH7="EUC"),50,0))</f>
        <v>50</v>
      </c>
      <c r="AJ7" s="272" t="s">
        <v>180</v>
      </c>
      <c r="AK7" s="273"/>
      <c r="AL7" s="274"/>
      <c r="AM7" s="117" t="s">
        <v>487</v>
      </c>
      <c r="AN7" s="16">
        <f>IF(OR(AM7="RPX",AM7="SS"),30,IF(OR(AM7="RPX-T",AM7="EUC"),50,0))</f>
        <v>30</v>
      </c>
      <c r="AO7" s="272" t="s">
        <v>180</v>
      </c>
      <c r="AP7" s="273"/>
      <c r="AQ7" s="274"/>
      <c r="AR7" s="117" t="s">
        <v>487</v>
      </c>
      <c r="AS7" s="16">
        <f>IF(OR(AR7="RPX",AR7="SS"),30,IF(OR(AR7="RPX-T",AR7="EUC"),50,0))</f>
        <v>30</v>
      </c>
      <c r="AT7" s="272" t="s">
        <v>180</v>
      </c>
      <c r="AU7" s="273"/>
      <c r="AV7" s="274"/>
      <c r="AW7" s="117"/>
      <c r="AX7" s="16">
        <f>IF(OR(AW7="RPX",AW7="SS"),30,IF(OR(AW7="RPX-T",AW7="EUC"),50,0))</f>
        <v>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c r="BR7" s="16">
        <f>IF(OR(BQ7="RPX",BQ7="SS"),30,IF(OR(BQ7="RPX-T",BQ7="EUC"),50,0))</f>
        <v>0</v>
      </c>
      <c r="BS7" s="272" t="s">
        <v>180</v>
      </c>
      <c r="BT7" s="273"/>
      <c r="BU7" s="274"/>
      <c r="BV7" s="117"/>
      <c r="BW7" s="16">
        <f>IF(OR(BV7="RPX",BV7="SS"),30,IF(OR(BV7="RPX-T",BV7="EUC"),50,0))</f>
        <v>0</v>
      </c>
      <c r="BX7" s="272" t="s">
        <v>180</v>
      </c>
      <c r="BY7" s="273"/>
      <c r="BZ7" s="274"/>
      <c r="CA7" s="117"/>
      <c r="CB7" s="16">
        <f>IF(OR(CA7="RPX",CA7="SS"),30,IF(OR(CA7="RPX-T",CA7="EUC"),50,0))</f>
        <v>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c r="AL10" s="90"/>
      <c r="AM10" s="116">
        <v>50</v>
      </c>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775</v>
      </c>
      <c r="B11" s="90"/>
      <c r="C11" s="116"/>
      <c r="D11" s="116"/>
      <c r="E11" s="16">
        <f t="shared" ref="E11:E74" si="1">IF(A11="",C11,A11)</f>
        <v>775</v>
      </c>
      <c r="F11" s="90">
        <v>150</v>
      </c>
      <c r="G11" s="90"/>
      <c r="H11" s="90"/>
      <c r="I11" s="116"/>
      <c r="J11" s="16">
        <f t="shared" ref="J11:J74" si="2">IF(F11="",H11,F11)</f>
        <v>150</v>
      </c>
      <c r="K11" s="90">
        <v>301</v>
      </c>
      <c r="L11" s="90"/>
      <c r="M11" s="90"/>
      <c r="N11" s="116"/>
      <c r="O11" s="16">
        <f t="shared" ref="O11:O74" si="3">IF(K11="",M11,K11)</f>
        <v>301</v>
      </c>
      <c r="P11" s="90">
        <v>115</v>
      </c>
      <c r="Q11" s="90"/>
      <c r="R11" s="90"/>
      <c r="S11" s="116"/>
      <c r="T11" s="16">
        <f t="shared" ref="T11:T74" si="4">IF(P11="",R11,P11)</f>
        <v>115</v>
      </c>
      <c r="U11" s="90">
        <v>2</v>
      </c>
      <c r="V11" s="90"/>
      <c r="W11" s="90"/>
      <c r="X11" s="116"/>
      <c r="Y11" s="16">
        <f t="shared" ref="Y11:Y74" si="5">IF(U11="",W11,U11)</f>
        <v>2</v>
      </c>
      <c r="Z11" s="90">
        <v>140</v>
      </c>
      <c r="AA11" s="90"/>
      <c r="AB11" s="90"/>
      <c r="AC11" s="116"/>
      <c r="AD11" s="16">
        <f t="shared" ref="AD11:AD74" si="6">IF(Z11="",AB11,Z11)</f>
        <v>140</v>
      </c>
      <c r="AE11" s="90">
        <v>275</v>
      </c>
      <c r="AF11" s="90"/>
      <c r="AG11" s="90"/>
      <c r="AH11" s="116"/>
      <c r="AI11" s="16">
        <f t="shared" ref="AI11:AI74" si="7">IF(AE11="",AG11,AE11)</f>
        <v>275</v>
      </c>
      <c r="AJ11" s="90"/>
      <c r="AK11" s="90"/>
      <c r="AL11" s="90">
        <v>125</v>
      </c>
      <c r="AM11" s="116"/>
      <c r="AN11" s="16">
        <f t="shared" ref="AN11:AN74" si="8">IF(AJ11="",AL11,AJ11)</f>
        <v>125</v>
      </c>
      <c r="AO11" s="90"/>
      <c r="AP11" s="90"/>
      <c r="AQ11" s="90">
        <v>230</v>
      </c>
      <c r="AR11" s="116"/>
      <c r="AS11" s="16">
        <f t="shared" ref="AS11:AS74" si="9">IF(AO11="",AQ11,AO11)</f>
        <v>230</v>
      </c>
      <c r="AT11" s="90">
        <v>610</v>
      </c>
      <c r="AU11" s="90"/>
      <c r="AV11" s="90"/>
      <c r="AW11" s="116"/>
      <c r="AX11" s="16">
        <f t="shared" ref="AX11:AX74" si="10">IF(AT11="",AV11,AT11)</f>
        <v>610</v>
      </c>
      <c r="AY11" s="90">
        <v>292</v>
      </c>
      <c r="AZ11" s="90"/>
      <c r="BA11" s="90"/>
      <c r="BB11" s="116"/>
      <c r="BC11" s="16">
        <f t="shared" ref="BC11:BC74" si="11">IF(AY11="",BA11,AY11)</f>
        <v>292</v>
      </c>
      <c r="BD11" s="90">
        <v>2</v>
      </c>
      <c r="BE11" s="90"/>
      <c r="BF11" s="90"/>
      <c r="BG11" s="116"/>
      <c r="BH11" s="16">
        <f t="shared" ref="BH11:BH74" si="12">IF(BD11="",BF11,BD11)</f>
        <v>2</v>
      </c>
      <c r="BI11" s="90">
        <v>685</v>
      </c>
      <c r="BJ11" s="90"/>
      <c r="BK11" s="90"/>
      <c r="BL11" s="116"/>
      <c r="BM11" s="16">
        <f t="shared" ref="BM11:BM74" si="13">IF(BI11="",BK11,BI11)</f>
        <v>685</v>
      </c>
      <c r="BN11" s="90">
        <v>150</v>
      </c>
      <c r="BO11" s="90"/>
      <c r="BP11" s="90"/>
      <c r="BQ11" s="116"/>
      <c r="BR11" s="16">
        <f t="shared" ref="BR11:BR74" si="14">IF(BN11="",BP11,BN11)</f>
        <v>150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50</v>
      </c>
      <c r="C12" s="116"/>
      <c r="D12" s="116"/>
      <c r="E12" s="16">
        <f t="shared" si="1"/>
        <v>0</v>
      </c>
      <c r="F12" s="90"/>
      <c r="G12" s="90">
        <v>20</v>
      </c>
      <c r="H12" s="90"/>
      <c r="I12" s="116"/>
      <c r="J12" s="16">
        <f>IF(F12="",H12,F12)</f>
        <v>0</v>
      </c>
      <c r="K12" s="90">
        <v>65</v>
      </c>
      <c r="L12" s="90"/>
      <c r="M12" s="90"/>
      <c r="N12" s="116"/>
      <c r="O12" s="16">
        <f t="shared" si="3"/>
        <v>65</v>
      </c>
      <c r="P12" s="90">
        <v>130</v>
      </c>
      <c r="Q12" s="90"/>
      <c r="R12" s="90"/>
      <c r="S12" s="116"/>
      <c r="T12" s="16">
        <f t="shared" si="4"/>
        <v>130</v>
      </c>
      <c r="U12" s="90">
        <v>125</v>
      </c>
      <c r="V12" s="90"/>
      <c r="W12" s="90"/>
      <c r="X12" s="116"/>
      <c r="Y12" s="16">
        <f t="shared" si="5"/>
        <v>125</v>
      </c>
      <c r="Z12" s="90">
        <v>130</v>
      </c>
      <c r="AA12" s="90"/>
      <c r="AB12" s="90"/>
      <c r="AC12" s="116"/>
      <c r="AD12" s="16">
        <f t="shared" si="6"/>
        <v>130</v>
      </c>
      <c r="AE12" s="90"/>
      <c r="AF12" s="90">
        <v>20</v>
      </c>
      <c r="AG12" s="90"/>
      <c r="AH12" s="116"/>
      <c r="AI12" s="16">
        <f t="shared" si="7"/>
        <v>0</v>
      </c>
      <c r="AJ12" s="90"/>
      <c r="AK12" s="90"/>
      <c r="AL12" s="90">
        <v>290</v>
      </c>
      <c r="AM12" s="116"/>
      <c r="AN12" s="16">
        <f t="shared" si="8"/>
        <v>290</v>
      </c>
      <c r="AO12" s="90"/>
      <c r="AP12" s="90"/>
      <c r="AQ12" s="90">
        <v>210</v>
      </c>
      <c r="AR12" s="116"/>
      <c r="AS12" s="16">
        <f t="shared" si="9"/>
        <v>210</v>
      </c>
      <c r="AT12" s="90"/>
      <c r="AU12" s="90">
        <v>50</v>
      </c>
      <c r="AV12" s="90"/>
      <c r="AW12" s="116"/>
      <c r="AX12" s="16">
        <f t="shared" si="10"/>
        <v>0</v>
      </c>
      <c r="AY12" s="90"/>
      <c r="AZ12" s="90">
        <v>20</v>
      </c>
      <c r="BA12" s="90"/>
      <c r="BB12" s="116"/>
      <c r="BC12" s="16">
        <f t="shared" si="11"/>
        <v>0</v>
      </c>
      <c r="BD12" s="90">
        <v>298</v>
      </c>
      <c r="BE12" s="90"/>
      <c r="BF12" s="90"/>
      <c r="BG12" s="116"/>
      <c r="BH12" s="16">
        <f t="shared" si="12"/>
        <v>298</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v>130</v>
      </c>
      <c r="G13" s="90"/>
      <c r="H13" s="90"/>
      <c r="I13" s="116"/>
      <c r="J13" s="16">
        <f>IF(F13="",H13,F13)</f>
        <v>130</v>
      </c>
      <c r="K13" s="90"/>
      <c r="L13" s="90">
        <v>20</v>
      </c>
      <c r="M13" s="90"/>
      <c r="N13" s="116"/>
      <c r="O13" s="16">
        <f t="shared" si="3"/>
        <v>0</v>
      </c>
      <c r="P13" s="90">
        <v>130</v>
      </c>
      <c r="Q13" s="90"/>
      <c r="R13" s="90"/>
      <c r="S13" s="116"/>
      <c r="T13" s="16">
        <f t="shared" si="4"/>
        <v>130</v>
      </c>
      <c r="U13" s="90">
        <v>140</v>
      </c>
      <c r="V13" s="90"/>
      <c r="W13" s="90"/>
      <c r="X13" s="116"/>
      <c r="Y13" s="16">
        <f t="shared" si="5"/>
        <v>140</v>
      </c>
      <c r="Z13" s="90"/>
      <c r="AA13" s="90">
        <v>20</v>
      </c>
      <c r="AB13" s="90"/>
      <c r="AC13" s="116"/>
      <c r="AD13" s="16">
        <f t="shared" si="6"/>
        <v>0</v>
      </c>
      <c r="AE13" s="90">
        <v>506</v>
      </c>
      <c r="AF13" s="90"/>
      <c r="AG13" s="90"/>
      <c r="AH13" s="116"/>
      <c r="AI13" s="16">
        <f t="shared" si="7"/>
        <v>506</v>
      </c>
      <c r="AJ13" s="90"/>
      <c r="AK13" s="90"/>
      <c r="AL13" s="90"/>
      <c r="AM13" s="116">
        <v>50</v>
      </c>
      <c r="AN13" s="16">
        <f t="shared" si="8"/>
        <v>0</v>
      </c>
      <c r="AO13" s="90"/>
      <c r="AP13" s="90"/>
      <c r="AQ13" s="90">
        <v>200</v>
      </c>
      <c r="AR13" s="116"/>
      <c r="AS13" s="16">
        <f t="shared" si="9"/>
        <v>200</v>
      </c>
      <c r="AT13" s="90"/>
      <c r="AU13" s="90"/>
      <c r="AV13" s="90"/>
      <c r="AW13" s="116"/>
      <c r="AX13" s="16">
        <f t="shared" si="10"/>
        <v>0</v>
      </c>
      <c r="AY13" s="90">
        <v>240</v>
      </c>
      <c r="AZ13" s="90"/>
      <c r="BA13" s="90"/>
      <c r="BB13" s="116"/>
      <c r="BC13" s="16">
        <f t="shared" si="11"/>
        <v>240</v>
      </c>
      <c r="BD13" s="90">
        <v>315</v>
      </c>
      <c r="BE13" s="90"/>
      <c r="BF13" s="90"/>
      <c r="BG13" s="116"/>
      <c r="BH13" s="16">
        <f t="shared" si="12"/>
        <v>315</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v>130</v>
      </c>
      <c r="G14" s="90"/>
      <c r="H14" s="90"/>
      <c r="I14" s="116"/>
      <c r="J14" s="16">
        <f>IF(F14="",H14,F14)</f>
        <v>130</v>
      </c>
      <c r="K14" s="90">
        <v>145</v>
      </c>
      <c r="L14" s="90"/>
      <c r="M14" s="90"/>
      <c r="N14" s="116"/>
      <c r="O14" s="16">
        <f t="shared" si="3"/>
        <v>145</v>
      </c>
      <c r="P14" s="90"/>
      <c r="Q14" s="90">
        <v>20</v>
      </c>
      <c r="R14" s="90"/>
      <c r="S14" s="116"/>
      <c r="T14" s="16">
        <f t="shared" si="4"/>
        <v>0</v>
      </c>
      <c r="U14" s="90"/>
      <c r="V14" s="90">
        <v>20</v>
      </c>
      <c r="W14" s="90"/>
      <c r="X14" s="116"/>
      <c r="Y14" s="16">
        <f t="shared" si="5"/>
        <v>0</v>
      </c>
      <c r="Z14" s="90">
        <v>135</v>
      </c>
      <c r="AA14" s="90"/>
      <c r="AB14" s="90"/>
      <c r="AC14" s="116"/>
      <c r="AD14" s="16">
        <f t="shared" si="6"/>
        <v>135</v>
      </c>
      <c r="AE14" s="90">
        <v>267</v>
      </c>
      <c r="AF14" s="90"/>
      <c r="AG14" s="90"/>
      <c r="AH14" s="116"/>
      <c r="AI14" s="16">
        <f t="shared" si="7"/>
        <v>267</v>
      </c>
      <c r="AJ14" s="90"/>
      <c r="AK14" s="90"/>
      <c r="AL14" s="90">
        <v>370</v>
      </c>
      <c r="AM14" s="116"/>
      <c r="AN14" s="16">
        <f t="shared" si="8"/>
        <v>370</v>
      </c>
      <c r="AO14" s="90"/>
      <c r="AP14" s="90"/>
      <c r="AQ14" s="90">
        <v>155</v>
      </c>
      <c r="AR14" s="116"/>
      <c r="AS14" s="16">
        <f t="shared" si="9"/>
        <v>155</v>
      </c>
      <c r="AT14" s="90"/>
      <c r="AU14" s="90"/>
      <c r="AV14" s="90"/>
      <c r="AW14" s="116"/>
      <c r="AX14" s="16">
        <f t="shared" si="10"/>
        <v>0</v>
      </c>
      <c r="AY14" s="90">
        <v>230</v>
      </c>
      <c r="AZ14" s="90"/>
      <c r="BA14" s="90"/>
      <c r="BB14" s="116"/>
      <c r="BC14" s="16">
        <f t="shared" si="11"/>
        <v>230</v>
      </c>
      <c r="BD14" s="90"/>
      <c r="BE14" s="90">
        <v>20</v>
      </c>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v>65</v>
      </c>
      <c r="G15" s="90"/>
      <c r="H15" s="90"/>
      <c r="I15" s="116"/>
      <c r="J15" s="16">
        <f>IF(F15="",H15,F15)</f>
        <v>65</v>
      </c>
      <c r="K15" s="90">
        <v>125</v>
      </c>
      <c r="L15" s="90"/>
      <c r="M15" s="90"/>
      <c r="N15" s="116"/>
      <c r="O15" s="16">
        <f t="shared" si="3"/>
        <v>125</v>
      </c>
      <c r="P15" s="90">
        <v>130</v>
      </c>
      <c r="Q15" s="90"/>
      <c r="R15" s="90"/>
      <c r="S15" s="116"/>
      <c r="T15" s="16">
        <f t="shared" si="4"/>
        <v>130</v>
      </c>
      <c r="U15" s="90">
        <v>168</v>
      </c>
      <c r="V15" s="90"/>
      <c r="W15" s="90"/>
      <c r="X15" s="116"/>
      <c r="Y15" s="16">
        <f t="shared" si="5"/>
        <v>168</v>
      </c>
      <c r="Z15" s="90">
        <v>130</v>
      </c>
      <c r="AA15" s="90"/>
      <c r="AB15" s="90"/>
      <c r="AC15" s="116"/>
      <c r="AD15" s="16">
        <f t="shared" si="6"/>
        <v>130</v>
      </c>
      <c r="AE15" s="90"/>
      <c r="AF15" s="90">
        <v>26</v>
      </c>
      <c r="AG15" s="90"/>
      <c r="AH15" s="116"/>
      <c r="AI15" s="16">
        <f t="shared" si="7"/>
        <v>0</v>
      </c>
      <c r="AJ15" s="90"/>
      <c r="AK15" s="90"/>
      <c r="AL15" s="90">
        <v>280</v>
      </c>
      <c r="AM15" s="116"/>
      <c r="AN15" s="16">
        <f t="shared" si="8"/>
        <v>280</v>
      </c>
      <c r="AO15" s="90"/>
      <c r="AP15" s="90"/>
      <c r="AQ15" s="90"/>
      <c r="AR15" s="116"/>
      <c r="AS15" s="16">
        <f t="shared" si="9"/>
        <v>0</v>
      </c>
      <c r="AT15" s="90"/>
      <c r="AU15" s="90"/>
      <c r="AV15" s="90"/>
      <c r="AW15" s="116"/>
      <c r="AX15" s="16">
        <f t="shared" si="10"/>
        <v>0</v>
      </c>
      <c r="AY15" s="90">
        <v>118</v>
      </c>
      <c r="AZ15" s="90"/>
      <c r="BA15" s="90"/>
      <c r="BB15" s="116"/>
      <c r="BC15" s="16">
        <f t="shared" si="11"/>
        <v>118</v>
      </c>
      <c r="BD15" s="90">
        <v>345</v>
      </c>
      <c r="BE15" s="90"/>
      <c r="BF15" s="90"/>
      <c r="BG15" s="116"/>
      <c r="BH15" s="16">
        <f>IF(BD15="",BF15,BD15)</f>
        <v>345</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v>110</v>
      </c>
      <c r="G16" s="90"/>
      <c r="H16" s="90"/>
      <c r="I16" s="116"/>
      <c r="J16" s="16">
        <f>IF(F16="",H16,F16)</f>
        <v>110</v>
      </c>
      <c r="K16" s="90">
        <v>130</v>
      </c>
      <c r="L16" s="90"/>
      <c r="M16" s="90"/>
      <c r="N16" s="116"/>
      <c r="O16" s="16">
        <f t="shared" si="3"/>
        <v>130</v>
      </c>
      <c r="P16" s="90">
        <v>130</v>
      </c>
      <c r="Q16" s="90"/>
      <c r="R16" s="90"/>
      <c r="S16" s="116"/>
      <c r="T16" s="16">
        <f t="shared" si="4"/>
        <v>130</v>
      </c>
      <c r="U16" s="90">
        <v>175</v>
      </c>
      <c r="V16" s="90"/>
      <c r="W16" s="90"/>
      <c r="X16" s="116"/>
      <c r="Y16" s="16">
        <f t="shared" si="5"/>
        <v>175</v>
      </c>
      <c r="Z16" s="90">
        <v>140</v>
      </c>
      <c r="AA16" s="90"/>
      <c r="AB16" s="90"/>
      <c r="AC16" s="116"/>
      <c r="AD16" s="16">
        <f t="shared" si="6"/>
        <v>140</v>
      </c>
      <c r="AE16" s="90"/>
      <c r="AF16" s="90"/>
      <c r="AG16" s="90"/>
      <c r="AH16" s="116"/>
      <c r="AI16" s="16">
        <f t="shared" si="7"/>
        <v>0</v>
      </c>
      <c r="AJ16" s="90"/>
      <c r="AK16" s="90"/>
      <c r="AL16" s="90">
        <v>120</v>
      </c>
      <c r="AM16" s="116"/>
      <c r="AN16" s="16">
        <f t="shared" si="8"/>
        <v>120</v>
      </c>
      <c r="AO16" s="90"/>
      <c r="AP16" s="90"/>
      <c r="AQ16" s="90"/>
      <c r="AR16" s="116"/>
      <c r="AS16" s="16">
        <f t="shared" si="9"/>
        <v>0</v>
      </c>
      <c r="AT16" s="90"/>
      <c r="AU16" s="90"/>
      <c r="AV16" s="90"/>
      <c r="AW16" s="116"/>
      <c r="AX16" s="16">
        <f t="shared" si="10"/>
        <v>0</v>
      </c>
      <c r="AY16" s="90"/>
      <c r="AZ16" s="90"/>
      <c r="BA16" s="90"/>
      <c r="BB16" s="116"/>
      <c r="BC16" s="16">
        <f t="shared" si="11"/>
        <v>0</v>
      </c>
      <c r="BD16" s="90">
        <v>95</v>
      </c>
      <c r="BE16" s="90"/>
      <c r="BF16" s="90"/>
      <c r="BG16" s="116"/>
      <c r="BH16" s="16">
        <f>IF(BD16="",BF16,BD16)</f>
        <v>95</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v>20</v>
      </c>
      <c r="H17" s="90"/>
      <c r="I17" s="116"/>
      <c r="J17" s="16">
        <f t="shared" si="2"/>
        <v>0</v>
      </c>
      <c r="K17" s="90">
        <v>140</v>
      </c>
      <c r="L17" s="90"/>
      <c r="M17" s="90"/>
      <c r="N17" s="116"/>
      <c r="O17" s="16">
        <f t="shared" si="3"/>
        <v>140</v>
      </c>
      <c r="P17" s="90">
        <v>150</v>
      </c>
      <c r="Q17" s="90"/>
      <c r="R17" s="90"/>
      <c r="S17" s="116"/>
      <c r="T17" s="16">
        <f t="shared" si="4"/>
        <v>150</v>
      </c>
      <c r="U17" s="90">
        <v>135</v>
      </c>
      <c r="V17" s="90"/>
      <c r="W17" s="90"/>
      <c r="X17" s="116"/>
      <c r="Y17" s="16">
        <f t="shared" si="5"/>
        <v>135</v>
      </c>
      <c r="Z17" s="90">
        <v>165</v>
      </c>
      <c r="AA17" s="90"/>
      <c r="AB17" s="90"/>
      <c r="AC17" s="116"/>
      <c r="AD17" s="16">
        <f t="shared" si="6"/>
        <v>165</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v>210</v>
      </c>
      <c r="BE17" s="90"/>
      <c r="BF17" s="90"/>
      <c r="BG17" s="116"/>
      <c r="BH17" s="16">
        <f>IF(BD17="",BF17,BD17)</f>
        <v>210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20</v>
      </c>
      <c r="M18" s="90"/>
      <c r="N18" s="116"/>
      <c r="O18" s="16">
        <f t="shared" si="3"/>
        <v>0</v>
      </c>
      <c r="P18" s="90">
        <v>130</v>
      </c>
      <c r="Q18" s="90"/>
      <c r="R18" s="90"/>
      <c r="S18" s="116"/>
      <c r="T18" s="16">
        <f t="shared" si="4"/>
        <v>130</v>
      </c>
      <c r="U18" s="90">
        <v>140</v>
      </c>
      <c r="V18" s="90"/>
      <c r="W18" s="90"/>
      <c r="X18" s="116"/>
      <c r="Y18" s="16">
        <f t="shared" si="5"/>
        <v>140</v>
      </c>
      <c r="Z18" s="90"/>
      <c r="AA18" s="90">
        <v>20</v>
      </c>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v>158</v>
      </c>
      <c r="BE18" s="90"/>
      <c r="BF18" s="90"/>
      <c r="BG18" s="116"/>
      <c r="BH18" s="16">
        <f t="shared" si="12"/>
        <v>158</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148</v>
      </c>
      <c r="L19" s="90"/>
      <c r="M19" s="90"/>
      <c r="N19" s="116"/>
      <c r="O19" s="16">
        <f t="shared" si="3"/>
        <v>148</v>
      </c>
      <c r="P19" s="90"/>
      <c r="Q19" s="90">
        <v>20</v>
      </c>
      <c r="R19" s="90"/>
      <c r="S19" s="116"/>
      <c r="T19" s="16">
        <f t="shared" si="4"/>
        <v>0</v>
      </c>
      <c r="U19" s="90"/>
      <c r="V19" s="90">
        <v>20</v>
      </c>
      <c r="W19" s="90"/>
      <c r="X19" s="116"/>
      <c r="Y19" s="16">
        <f t="shared" si="5"/>
        <v>0</v>
      </c>
      <c r="Z19" s="90">
        <v>141</v>
      </c>
      <c r="AA19" s="90"/>
      <c r="AB19" s="90"/>
      <c r="AC19" s="116"/>
      <c r="AD19" s="16">
        <f t="shared" si="6"/>
        <v>141</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IF(BD19="",BF19,BD19)</f>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145</v>
      </c>
      <c r="L20" s="90"/>
      <c r="M20" s="90"/>
      <c r="N20" s="116"/>
      <c r="O20" s="16">
        <f t="shared" si="3"/>
        <v>145</v>
      </c>
      <c r="P20" s="90">
        <v>150</v>
      </c>
      <c r="Q20" s="90"/>
      <c r="R20" s="90"/>
      <c r="S20" s="116"/>
      <c r="T20" s="16">
        <f t="shared" si="4"/>
        <v>150</v>
      </c>
      <c r="U20" s="90">
        <v>162</v>
      </c>
      <c r="V20" s="90"/>
      <c r="W20" s="90"/>
      <c r="X20" s="116"/>
      <c r="Y20" s="16">
        <f t="shared" si="5"/>
        <v>162</v>
      </c>
      <c r="Z20" s="90">
        <v>110</v>
      </c>
      <c r="AA20" s="90"/>
      <c r="AB20" s="90"/>
      <c r="AC20" s="116"/>
      <c r="AD20" s="16">
        <f t="shared" si="6"/>
        <v>110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IF(BD20="",BF20,BD20)</f>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v>223</v>
      </c>
      <c r="L21" s="90"/>
      <c r="M21" s="90"/>
      <c r="N21" s="116"/>
      <c r="O21" s="16">
        <f t="shared" si="3"/>
        <v>223</v>
      </c>
      <c r="P21" s="90">
        <v>140</v>
      </c>
      <c r="Q21" s="90"/>
      <c r="R21" s="90"/>
      <c r="S21" s="116"/>
      <c r="T21" s="16">
        <f t="shared" si="4"/>
        <v>140</v>
      </c>
      <c r="U21" s="90">
        <v>175</v>
      </c>
      <c r="V21" s="90"/>
      <c r="W21" s="90"/>
      <c r="X21" s="116"/>
      <c r="Y21" s="16">
        <f t="shared" si="5"/>
        <v>175</v>
      </c>
      <c r="Z21" s="90">
        <v>117</v>
      </c>
      <c r="AA21" s="90"/>
      <c r="AB21" s="90"/>
      <c r="AC21" s="116"/>
      <c r="AD21" s="16">
        <f t="shared" si="6"/>
        <v>117</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IF(BD21="",BF21,BD21)</f>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101</v>
      </c>
      <c r="L22" s="90"/>
      <c r="M22" s="90"/>
      <c r="N22" s="116"/>
      <c r="O22" s="16">
        <f t="shared" si="3"/>
        <v>101</v>
      </c>
      <c r="P22" s="90">
        <v>70</v>
      </c>
      <c r="Q22" s="90"/>
      <c r="R22" s="90"/>
      <c r="S22" s="116"/>
      <c r="T22" s="16">
        <f t="shared" si="4"/>
        <v>70</v>
      </c>
      <c r="U22" s="90">
        <v>110</v>
      </c>
      <c r="V22" s="90"/>
      <c r="W22" s="90"/>
      <c r="X22" s="116"/>
      <c r="Y22" s="16">
        <f t="shared" si="5"/>
        <v>110</v>
      </c>
      <c r="Z22" s="90">
        <v>110</v>
      </c>
      <c r="AA22" s="90"/>
      <c r="AB22" s="90"/>
      <c r="AC22" s="116"/>
      <c r="AD22" s="16">
        <f t="shared" si="6"/>
        <v>110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v>74</v>
      </c>
      <c r="Q23" s="90"/>
      <c r="R23" s="90"/>
      <c r="S23" s="116"/>
      <c r="T23" s="16">
        <f t="shared" si="4"/>
        <v>74</v>
      </c>
      <c r="U23" s="90">
        <v>80</v>
      </c>
      <c r="V23" s="90"/>
      <c r="W23" s="90"/>
      <c r="X23" s="116"/>
      <c r="Y23" s="16">
        <f t="shared" si="5"/>
        <v>80</v>
      </c>
      <c r="Z23" s="90">
        <v>60</v>
      </c>
      <c r="AA23" s="90"/>
      <c r="AB23" s="90"/>
      <c r="AC23" s="116"/>
      <c r="AD23" s="16">
        <f t="shared" si="6"/>
        <v>60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v>105</v>
      </c>
      <c r="Q24" s="90"/>
      <c r="R24" s="90"/>
      <c r="S24" s="116"/>
      <c r="T24" s="16">
        <f t="shared" si="4"/>
        <v>105</v>
      </c>
      <c r="U24" s="90"/>
      <c r="V24" s="90"/>
      <c r="W24" s="90"/>
      <c r="X24" s="116"/>
      <c r="Y24" s="16">
        <f t="shared" si="5"/>
        <v>0</v>
      </c>
      <c r="Z24" s="90">
        <v>163</v>
      </c>
      <c r="AA24" s="90"/>
      <c r="AB24" s="90"/>
      <c r="AC24" s="116"/>
      <c r="AD24" s="16">
        <f t="shared" si="6"/>
        <v>163</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41" priority="205">
      <formula>IF(A25&gt;0,A25&lt;20)</formula>
    </cfRule>
  </conditionalFormatting>
  <conditionalFormatting sqref="F20:F208">
    <cfRule type="expression" dxfId="1640" priority="86">
      <formula>IF(F20&gt;0,F20&lt;20)</formula>
    </cfRule>
  </conditionalFormatting>
  <conditionalFormatting sqref="K23:K208">
    <cfRule type="expression" dxfId="1639" priority="85">
      <formula>IF(K23&gt;0,K23&lt;20)</formula>
    </cfRule>
  </conditionalFormatting>
  <conditionalFormatting sqref="P25:P208">
    <cfRule type="expression" dxfId="1638" priority="84">
      <formula>IF(P25&gt;0,P25&lt;20)</formula>
    </cfRule>
  </conditionalFormatting>
  <conditionalFormatting sqref="U21:U208">
    <cfRule type="expression" dxfId="1637" priority="83">
      <formula>IF(U21&gt;0,U21&lt;20)</formula>
    </cfRule>
  </conditionalFormatting>
  <conditionalFormatting sqref="Z24:Z208">
    <cfRule type="expression" dxfId="1636" priority="82">
      <formula>IF(Z24&gt;0,Z24&lt;20)</formula>
    </cfRule>
  </conditionalFormatting>
  <conditionalFormatting sqref="AE15:AE208">
    <cfRule type="expression" dxfId="1635" priority="81">
      <formula>IF(AE15&gt;0,AE15&lt;20)</formula>
    </cfRule>
  </conditionalFormatting>
  <conditionalFormatting sqref="AJ25:AJ208">
    <cfRule type="expression" dxfId="1634" priority="80">
      <formula>IF(AJ25&gt;0,AJ25&lt;20)</formula>
    </cfRule>
  </conditionalFormatting>
  <conditionalFormatting sqref="AO16:AO208">
    <cfRule type="expression" dxfId="1633" priority="79">
      <formula>IF(AO16&gt;0,AO16&lt;20)</formula>
    </cfRule>
  </conditionalFormatting>
  <conditionalFormatting sqref="AT14:AT208">
    <cfRule type="expression" dxfId="1632" priority="78">
      <formula>IF(AT14&gt;0,AT14&lt;20)</formula>
    </cfRule>
  </conditionalFormatting>
  <conditionalFormatting sqref="AY31:AY208 AY9:AY23">
    <cfRule type="expression" dxfId="1631" priority="77">
      <formula>IF(AY9&gt;0,AY9&lt;20)</formula>
    </cfRule>
  </conditionalFormatting>
  <conditionalFormatting sqref="BD9:BD208">
    <cfRule type="expression" dxfId="1630" priority="76">
      <formula>IF(BD9&gt;0,BD9&lt;20)</formula>
    </cfRule>
  </conditionalFormatting>
  <conditionalFormatting sqref="BI9:BI208">
    <cfRule type="expression" dxfId="1629" priority="75">
      <formula>IF(BI9&gt;0,BI9&lt;20)</formula>
    </cfRule>
  </conditionalFormatting>
  <conditionalFormatting sqref="BN9:BN208">
    <cfRule type="expression" dxfId="1628" priority="74">
      <formula>IF(BN9&gt;0,BN9&lt;20)</formula>
    </cfRule>
  </conditionalFormatting>
  <conditionalFormatting sqref="BS9:BS208">
    <cfRule type="expression" dxfId="1627" priority="73">
      <formula>IF(BS9&gt;0,BS9&lt;20)</formula>
    </cfRule>
  </conditionalFormatting>
  <conditionalFormatting sqref="BX9:BX208">
    <cfRule type="expression" dxfId="1626" priority="72">
      <formula>IF(BX9&gt;0,BX9&lt;20)</formula>
    </cfRule>
  </conditionalFormatting>
  <conditionalFormatting sqref="CC9:CC208">
    <cfRule type="expression" dxfId="1625" priority="71">
      <formula>IF(CC9&gt;0,CC9&lt;20)</formula>
    </cfRule>
  </conditionalFormatting>
  <conditionalFormatting sqref="CH9:CH208">
    <cfRule type="expression" dxfId="1624" priority="70">
      <formula>IF(CH9&gt;0,CH9&lt;20)</formula>
    </cfRule>
  </conditionalFormatting>
  <conditionalFormatting sqref="CM9:CM208">
    <cfRule type="expression" dxfId="1623" priority="69">
      <formula>IF(CM9&gt;0,CM9&lt;20)</formula>
    </cfRule>
  </conditionalFormatting>
  <conditionalFormatting sqref="CR9:CR208">
    <cfRule type="expression" dxfId="1622" priority="68">
      <formula>IF(CR9&gt;0,CR9&lt;20)</formula>
    </cfRule>
  </conditionalFormatting>
  <conditionalFormatting sqref="CW9:CW208">
    <cfRule type="expression" dxfId="1621" priority="67">
      <formula>IF(CW9&gt;0,CW9&lt;20)</formula>
    </cfRule>
  </conditionalFormatting>
  <conditionalFormatting sqref="DB9:DB208">
    <cfRule type="expression" dxfId="1620" priority="66">
      <formula>IF(DB9&gt;0,DB9&lt;20)</formula>
    </cfRule>
  </conditionalFormatting>
  <conditionalFormatting sqref="DG9:DG208">
    <cfRule type="expression" dxfId="1619" priority="65">
      <formula>IF(DG9&gt;0,DG9&lt;20)</formula>
    </cfRule>
  </conditionalFormatting>
  <conditionalFormatting sqref="DL9:DL208">
    <cfRule type="expression" dxfId="1618" priority="64">
      <formula>IF(DL9&gt;0,DL9&lt;20)</formula>
    </cfRule>
  </conditionalFormatting>
  <conditionalFormatting sqref="DQ9:DQ208">
    <cfRule type="expression" dxfId="1617" priority="63">
      <formula>IF(DQ9&gt;0,DQ9&lt;20)</formula>
    </cfRule>
  </conditionalFormatting>
  <conditionalFormatting sqref="DV9:DV208">
    <cfRule type="expression" dxfId="1616" priority="62">
      <formula>IF(DV9&gt;0,DV9&lt;20)</formula>
    </cfRule>
  </conditionalFormatting>
  <conditionalFormatting sqref="EA9:EA208">
    <cfRule type="expression" dxfId="1615" priority="61">
      <formula>IF(EA9&gt;0,EA9&lt;20)</formula>
    </cfRule>
  </conditionalFormatting>
  <conditionalFormatting sqref="EF9:EF208">
    <cfRule type="expression" dxfId="1614" priority="60">
      <formula>IF(EF9&gt;0,EF9&lt;20)</formula>
    </cfRule>
  </conditionalFormatting>
  <conditionalFormatting sqref="EK9:EK208">
    <cfRule type="expression" dxfId="1613" priority="59">
      <formula>IF(EK9&gt;0,EK9&lt;20)</formula>
    </cfRule>
  </conditionalFormatting>
  <conditionalFormatting sqref="EP9:EP208">
    <cfRule type="expression" dxfId="1612" priority="58">
      <formula>IF(EP9&gt;0,EP9&lt;20)</formula>
    </cfRule>
  </conditionalFormatting>
  <conditionalFormatting sqref="EU9:EU208">
    <cfRule type="expression" dxfId="1611" priority="57">
      <formula>IF(EU9&gt;0,EU9&lt;20)</formula>
    </cfRule>
  </conditionalFormatting>
  <conditionalFormatting sqref="EZ9:EZ208">
    <cfRule type="expression" dxfId="1610" priority="56">
      <formula>IF(EZ9&gt;0,EZ9&lt;20)</formula>
    </cfRule>
  </conditionalFormatting>
  <conditionalFormatting sqref="FE9:FE208">
    <cfRule type="expression" dxfId="1609" priority="55">
      <formula>IF(FE9&gt;0,FE9&lt;20)</formula>
    </cfRule>
  </conditionalFormatting>
  <conditionalFormatting sqref="IL9:IL208">
    <cfRule type="expression" dxfId="1608" priority="38">
      <formula>IF(IL9&gt;0,IL9&lt;20)</formula>
    </cfRule>
  </conditionalFormatting>
  <conditionalFormatting sqref="FJ9:FJ208">
    <cfRule type="expression" dxfId="1607" priority="54">
      <formula>IF(FJ9&gt;0,FJ9&lt;20)</formula>
    </cfRule>
  </conditionalFormatting>
  <conditionalFormatting sqref="FO9:FO208">
    <cfRule type="expression" dxfId="1606" priority="53">
      <formula>IF(FO9&gt;0,FO9&lt;20)</formula>
    </cfRule>
  </conditionalFormatting>
  <conditionalFormatting sqref="FT9:FT208">
    <cfRule type="expression" dxfId="1605" priority="52">
      <formula>IF(FT9&gt;0,FT9&lt;20)</formula>
    </cfRule>
  </conditionalFormatting>
  <conditionalFormatting sqref="FY9:FY208">
    <cfRule type="expression" dxfId="1604" priority="51">
      <formula>IF(FY9&gt;0,FY9&lt;20)</formula>
    </cfRule>
  </conditionalFormatting>
  <conditionalFormatting sqref="GD9:GD208">
    <cfRule type="expression" dxfId="1603" priority="50">
      <formula>IF(GD9&gt;0,GD9&lt;20)</formula>
    </cfRule>
  </conditionalFormatting>
  <conditionalFormatting sqref="GI9:GI208">
    <cfRule type="expression" dxfId="1602" priority="49">
      <formula>IF(GI9&gt;0,GI9&lt;20)</formula>
    </cfRule>
  </conditionalFormatting>
  <conditionalFormatting sqref="GN9:GN208">
    <cfRule type="expression" dxfId="1601" priority="48">
      <formula>IF(GN9&gt;0,GN9&lt;20)</formula>
    </cfRule>
  </conditionalFormatting>
  <conditionalFormatting sqref="GS9:GS208">
    <cfRule type="expression" dxfId="1600" priority="47">
      <formula>IF(GS9&gt;0,GS9&lt;20)</formula>
    </cfRule>
  </conditionalFormatting>
  <conditionalFormatting sqref="GX9:GX208">
    <cfRule type="expression" dxfId="1599" priority="46">
      <formula>IF(GX9&gt;0,GX9&lt;20)</formula>
    </cfRule>
  </conditionalFormatting>
  <conditionalFormatting sqref="HC9:HC208">
    <cfRule type="expression" dxfId="1598" priority="45">
      <formula>IF(HC9&gt;0,HC9&lt;20)</formula>
    </cfRule>
  </conditionalFormatting>
  <conditionalFormatting sqref="HH9:HH208">
    <cfRule type="expression" dxfId="1597" priority="44">
      <formula>IF(HH9&gt;0,HH9&lt;20)</formula>
    </cfRule>
  </conditionalFormatting>
  <conditionalFormatting sqref="HM9:HM208">
    <cfRule type="expression" dxfId="1596" priority="43">
      <formula>IF(HM9&gt;0,HM9&lt;20)</formula>
    </cfRule>
  </conditionalFormatting>
  <conditionalFormatting sqref="HR9:HR208">
    <cfRule type="expression" dxfId="1595" priority="42">
      <formula>IF(HR9&gt;0,HR9&lt;20)</formula>
    </cfRule>
  </conditionalFormatting>
  <conditionalFormatting sqref="HW9:HW208">
    <cfRule type="expression" dxfId="1594" priority="41">
      <formula>IF(HW9&gt;0,HW9&lt;20)</formula>
    </cfRule>
  </conditionalFormatting>
  <conditionalFormatting sqref="IB9:IB208">
    <cfRule type="expression" dxfId="1593" priority="40">
      <formula>IF(IB9&gt;0,IB9&lt;20)</formula>
    </cfRule>
  </conditionalFormatting>
  <conditionalFormatting sqref="IG9:IG208">
    <cfRule type="expression" dxfId="1592" priority="39">
      <formula>IF(IG9&gt;0,IG9&lt;20)</formula>
    </cfRule>
  </conditionalFormatting>
  <conditionalFormatting sqref="A19:A24">
    <cfRule type="expression" dxfId="1591" priority="36">
      <formula>IF(A19&gt;0,A19&lt;20)</formula>
    </cfRule>
  </conditionalFormatting>
  <conditionalFormatting sqref="F17:F19">
    <cfRule type="expression" dxfId="1590" priority="35">
      <formula>IF(F17&gt;0,F17&lt;20)</formula>
    </cfRule>
  </conditionalFormatting>
  <conditionalFormatting sqref="U10:U23">
    <cfRule type="expression" dxfId="1589" priority="31">
      <formula>IF(U10&gt;0,U10&lt;20)</formula>
    </cfRule>
  </conditionalFormatting>
  <conditionalFormatting sqref="AJ11:AJ24">
    <cfRule type="expression" dxfId="1588" priority="28">
      <formula>IF(AJ11&gt;0,AJ11&lt;20)</formula>
    </cfRule>
  </conditionalFormatting>
  <conditionalFormatting sqref="U9">
    <cfRule type="expression" dxfId="1587" priority="23">
      <formula>IF(U9&gt;0,U9&lt;20)</formula>
    </cfRule>
  </conditionalFormatting>
  <conditionalFormatting sqref="Z9:Z10">
    <cfRule type="expression" dxfId="1586" priority="22">
      <formula>IF(Z9&gt;0,Z9&lt;20)</formula>
    </cfRule>
  </conditionalFormatting>
  <conditionalFormatting sqref="AE13:AE14">
    <cfRule type="expression" dxfId="1585" priority="21">
      <formula>IF(AE13&gt;0,AE13&lt;20)</formula>
    </cfRule>
  </conditionalFormatting>
  <conditionalFormatting sqref="AE9:AE12">
    <cfRule type="expression" dxfId="1584" priority="20">
      <formula>IF(AE9&gt;0,AE9&lt;20)</formula>
    </cfRule>
  </conditionalFormatting>
  <conditionalFormatting sqref="AJ9:AJ10">
    <cfRule type="expression" dxfId="1583" priority="19">
      <formula>IF(AJ9&gt;0,AJ9&lt;20)</formula>
    </cfRule>
  </conditionalFormatting>
  <conditionalFormatting sqref="AO9:AO15">
    <cfRule type="expression" dxfId="1582" priority="18">
      <formula>IF(AO9&gt;0,AO9&lt;20)</formula>
    </cfRule>
  </conditionalFormatting>
  <conditionalFormatting sqref="AT9:AT13">
    <cfRule type="expression" dxfId="1581" priority="17">
      <formula>IF(AT9&gt;0,AT9&lt;20)</formula>
    </cfRule>
  </conditionalFormatting>
  <conditionalFormatting sqref="A9">
    <cfRule type="expression" dxfId="1580" priority="16">
      <formula>AND(A$9&lt;&gt;"",A$9&lt;20)</formula>
    </cfRule>
  </conditionalFormatting>
  <conditionalFormatting sqref="A10:A18">
    <cfRule type="expression" dxfId="1579" priority="15">
      <formula>AND(A10&lt;&gt;"",A10&lt;20)</formula>
    </cfRule>
  </conditionalFormatting>
  <conditionalFormatting sqref="F12:F16">
    <cfRule type="expression" dxfId="1578" priority="14">
      <formula>IF(F12&gt;0,F12&lt;20)</formula>
    </cfRule>
  </conditionalFormatting>
  <conditionalFormatting sqref="F9:F11">
    <cfRule type="expression" dxfId="1577" priority="13">
      <formula>IF(F9&gt;0,F9&lt;20)</formula>
    </cfRule>
  </conditionalFormatting>
  <conditionalFormatting sqref="K22">
    <cfRule type="expression" dxfId="1576" priority="12">
      <formula>IF(K22&gt;0,K22&lt;20)</formula>
    </cfRule>
  </conditionalFormatting>
  <conditionalFormatting sqref="K14:K22">
    <cfRule type="expression" dxfId="1575" priority="11">
      <formula>IF(K14&gt;0,K14&lt;20)</formula>
    </cfRule>
  </conditionalFormatting>
  <conditionalFormatting sqref="K13">
    <cfRule type="expression" dxfId="1574" priority="10">
      <formula>IF(K13&gt;0,K13&lt;20)</formula>
    </cfRule>
  </conditionalFormatting>
  <conditionalFormatting sqref="K9:K12">
    <cfRule type="expression" dxfId="1573" priority="9">
      <formula>IF(K9&gt;0,K9&lt;20)</formula>
    </cfRule>
  </conditionalFormatting>
  <conditionalFormatting sqref="P14:P24">
    <cfRule type="expression" dxfId="1572" priority="8">
      <formula>IF(P14&gt;0,P14&lt;20)</formula>
    </cfRule>
  </conditionalFormatting>
  <conditionalFormatting sqref="P12:P13">
    <cfRule type="expression" dxfId="1571" priority="7">
      <formula>IF(P12&gt;0,P12&lt;20)</formula>
    </cfRule>
  </conditionalFormatting>
  <conditionalFormatting sqref="P9:P11">
    <cfRule type="expression" dxfId="1570" priority="6">
      <formula>IF(P9&gt;0,P9&lt;20)</formula>
    </cfRule>
  </conditionalFormatting>
  <conditionalFormatting sqref="Z22:Z23">
    <cfRule type="expression" dxfId="1569" priority="5">
      <formula>IF(Z22&gt;0,Z22&lt;20)</formula>
    </cfRule>
  </conditionalFormatting>
  <conditionalFormatting sqref="Z11:Z21">
    <cfRule type="expression" dxfId="1568" priority="4">
      <formula>IF(Z11&gt;0,Z11&lt;20)</formula>
    </cfRule>
  </conditionalFormatting>
  <conditionalFormatting sqref="K14">
    <cfRule type="expression" dxfId="1567" priority="3">
      <formula>IF(K14&gt;0,K14&lt;20)</formula>
    </cfRule>
  </conditionalFormatting>
  <conditionalFormatting sqref="AE13">
    <cfRule type="expression" dxfId="1566" priority="2">
      <formula>IF(AE13&gt;0,AE13&lt;20)</formula>
    </cfRule>
  </conditionalFormatting>
  <conditionalFormatting sqref="AY24:AY30">
    <cfRule type="expression" dxfId="1565" priority="1">
      <formula>IF(AY24&gt;0,AY24&lt;20)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495" zoomScale="80" zoomScaleNormal="80" workbookViewId="0">
      <selection activeCell="M551" sqref="M551:U551"/>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789</v>
      </c>
      <c r="D1" s="328"/>
      <c r="E1" s="88"/>
      <c r="F1" s="88"/>
      <c r="G1" s="89" t="s">
        <v>186</v>
      </c>
      <c r="H1" s="325" t="s">
        <v>791</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790</v>
      </c>
      <c r="D2" s="328"/>
      <c r="E2" s="88"/>
      <c r="F2" s="88"/>
      <c r="G2" s="89" t="s">
        <v>207</v>
      </c>
      <c r="H2" s="325" t="s">
        <v>808</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FA_IMPORT_A02R9VW</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276</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3" t="s">
        <v>230</v>
      </c>
      <c r="H7" s="304"/>
      <c r="I7" s="33">
        <f>E8-I6</f>
        <v>12</v>
      </c>
      <c r="J7" s="288" t="s">
        <v>231</v>
      </c>
      <c r="K7" s="289"/>
      <c r="L7" s="34">
        <f>I11</f>
        <v>109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290" t="s">
        <v>237</v>
      </c>
      <c r="H8" s="291"/>
      <c r="I8" s="35">
        <f>IF(E8=0,0,12-(MOD(I6,12)))</f>
        <v>12</v>
      </c>
      <c r="J8" s="288" t="s">
        <v>238</v>
      </c>
      <c r="K8" s="289"/>
      <c r="L8" s="39">
        <f>I12-I6</f>
        <v>108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12</v>
      </c>
      <c r="F9" s="88"/>
      <c r="G9" s="320" t="s">
        <v>242</v>
      </c>
      <c r="H9" s="43" t="s">
        <v>243</v>
      </c>
      <c r="I9" s="35">
        <f>IF(E9&lt;&gt;0,1,0)</f>
        <v>1</v>
      </c>
      <c r="J9" s="290" t="s">
        <v>244</v>
      </c>
      <c r="K9" s="291"/>
      <c r="L9" s="44">
        <f>'Cable Calculator'!D3</f>
        <v>875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109</v>
      </c>
      <c r="F10" s="88"/>
      <c r="G10" s="321"/>
      <c r="H10" s="47" t="s">
        <v>248</v>
      </c>
      <c r="I10" s="35">
        <f>IF(E9&lt;&gt;0,E9,0)</f>
        <v>12</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320" t="s">
        <v>251</v>
      </c>
      <c r="H11" s="51" t="s">
        <v>252</v>
      </c>
      <c r="I11" s="112">
        <f>E10</f>
        <v>109</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384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276</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72</v>
      </c>
      <c r="F17" s="32" t="s">
        <v>488</v>
      </c>
      <c r="G17" s="68" t="s">
        <v>277</v>
      </c>
      <c r="H17" s="69">
        <f>IF(I17=0,0,I17-(E17-1))</f>
        <v>313</v>
      </c>
      <c r="I17" s="70">
        <f>IF(E17=0,0,I12)</f>
        <v>384</v>
      </c>
      <c r="J17" s="71" t="s">
        <v>278</v>
      </c>
      <c r="K17" s="32"/>
      <c r="L17" s="233"/>
      <c r="M17" s="277" t="s">
        <v>731</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313-384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t="s">
        <v>488</v>
      </c>
      <c r="G18" s="68" t="s">
        <v>277</v>
      </c>
      <c r="H18" s="69">
        <f t="shared" ref="H18:H41" si="9">IF(E18=0,0,I18-(E18-1))</f>
        <v>169</v>
      </c>
      <c r="I18" s="70">
        <f t="shared" ref="I18:I41" si="10">IF(E18=0,0,H17-1)</f>
        <v>312</v>
      </c>
      <c r="J18" s="73" t="str">
        <f>IF(C18="","--",IF(AND(C18&lt;&gt;"FST",C18&lt;&gt;"TCF",BA17&lt;&gt;0),BA17,"--"))</f>
        <v>--</v>
      </c>
      <c r="K18" s="32"/>
      <c r="L18" s="233"/>
      <c r="M18" s="277" t="s">
        <v>732</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169-312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60</v>
      </c>
      <c r="F19" s="32" t="s">
        <v>488</v>
      </c>
      <c r="G19" s="75" t="s">
        <v>277</v>
      </c>
      <c r="H19" s="69">
        <f t="shared" si="9"/>
        <v>109</v>
      </c>
      <c r="I19" s="70">
        <f t="shared" si="10"/>
        <v>168</v>
      </c>
      <c r="J19" s="73" t="str">
        <f t="shared" ref="J19:J41" si="11">IF(C19="","--",IF(AND(C19&lt;&gt;"FST",C19&lt;&gt;"TCF",BA18&lt;&gt;0),BA18,"--"))</f>
        <v>--</v>
      </c>
      <c r="K19" s="32"/>
      <c r="L19" s="233"/>
      <c r="M19" s="277" t="s">
        <v>732</v>
      </c>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109-168</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277</v>
      </c>
      <c r="X28" s="84"/>
      <c r="Y28" s="78">
        <f>SUM(E17:E28)</f>
        <v>276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277</v>
      </c>
      <c r="X29" s="84"/>
      <c r="Y29" s="78">
        <f>SUM(E17:E29)</f>
        <v>276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277</v>
      </c>
      <c r="X30" s="84"/>
      <c r="Y30" s="78">
        <f>SUM(E17:E30)</f>
        <v>276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277</v>
      </c>
      <c r="X31" s="84"/>
      <c r="Y31" s="78">
        <f>SUM(E17:E31)</f>
        <v>276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277</v>
      </c>
      <c r="X32" s="84"/>
      <c r="Y32" s="78">
        <f>SUM(E17:E32)</f>
        <v>276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277</v>
      </c>
      <c r="X33" s="84"/>
      <c r="Y33" s="78">
        <f>SUM(E17:E33)</f>
        <v>276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277</v>
      </c>
      <c r="X34" s="84"/>
      <c r="Y34" s="78">
        <f>SUM(E17:E34)</f>
        <v>276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277</v>
      </c>
      <c r="X35" s="84"/>
      <c r="Y35" s="78">
        <f>SUM(E17:E35)</f>
        <v>276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277</v>
      </c>
      <c r="X36" s="84"/>
      <c r="Y36" s="78">
        <f>SUM(E17:E36)</f>
        <v>276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277</v>
      </c>
      <c r="X37" s="84"/>
      <c r="Y37" s="78">
        <f>SUM(E17:E37)</f>
        <v>276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277</v>
      </c>
      <c r="X38" s="84"/>
      <c r="Y38" s="78">
        <f>SUM(E17:E38)</f>
        <v>276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277</v>
      </c>
      <c r="X39" s="84"/>
      <c r="Y39" s="78">
        <f>SUM(E17:E39)</f>
        <v>276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277</v>
      </c>
      <c r="X40" s="84"/>
      <c r="Y40" s="78">
        <f>SUM(E17:E40)</f>
        <v>276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276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204</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12</v>
      </c>
      <c r="J48" s="288" t="s">
        <v>231</v>
      </c>
      <c r="K48" s="289"/>
      <c r="L48" s="34">
        <f>I52</f>
        <v>109</v>
      </c>
      <c r="M48" s="196">
        <v>4</v>
      </c>
      <c r="N48" s="35">
        <f>SUM(AI48,AI59)</f>
        <v>0</v>
      </c>
      <c r="O48" s="35">
        <v>0</v>
      </c>
      <c r="P48" s="35">
        <f>SUM(AJ48,AJ59)</f>
        <v>0</v>
      </c>
      <c r="Q48" s="35">
        <v>0</v>
      </c>
      <c r="R48" s="35">
        <f>COUNTIFS($E58:$E82,"4",$F58:$F82,"Pole",$C58:$C82,"FST")</f>
        <v>0</v>
      </c>
      <c r="S48" s="35">
        <f>SUM(AL48,AK59)</f>
        <v>0</v>
      </c>
      <c r="T48" s="35">
        <v>0</v>
      </c>
      <c r="U48" s="35">
        <f>SUM(AK48,AL59)</f>
        <v>3</v>
      </c>
      <c r="V48" s="35">
        <v>0</v>
      </c>
      <c r="W48" s="34">
        <f>COUNTIFS($E58:$E82,"4",$F58:$F82,"HH",$C58:$C82,"FST")</f>
        <v>3</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3</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290" t="s">
        <v>237</v>
      </c>
      <c r="H49" s="291"/>
      <c r="I49" s="35">
        <f>IF(E49=0,0,12-(MOD(I47,12)))</f>
        <v>12</v>
      </c>
      <c r="J49" s="288" t="s">
        <v>238</v>
      </c>
      <c r="K49" s="289"/>
      <c r="L49" s="39">
        <f>I53-I47</f>
        <v>108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320" t="s">
        <v>242</v>
      </c>
      <c r="H50" s="43" t="s">
        <v>243</v>
      </c>
      <c r="I50" s="35">
        <f>IF(E50&lt;&gt;0,1,0)</f>
        <v>1</v>
      </c>
      <c r="J50" s="290" t="s">
        <v>244</v>
      </c>
      <c r="K50" s="291"/>
      <c r="L50" s="44">
        <f>'Cable Calculator'!I3</f>
        <v>700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109</v>
      </c>
      <c r="F51" s="88"/>
      <c r="G51" s="321"/>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8</v>
      </c>
      <c r="V51" s="35">
        <f>IF($E48="EUC",SUM($AN83,AP83,AR83),"0")</f>
        <v>8</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320" t="s">
        <v>251</v>
      </c>
      <c r="H52" s="51" t="s">
        <v>252</v>
      </c>
      <c r="I52" s="112">
        <f>E51</f>
        <v>109</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312</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204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501</v>
      </c>
      <c r="D58" s="102"/>
      <c r="E58" s="32">
        <v>12</v>
      </c>
      <c r="F58" s="32"/>
      <c r="G58" s="68" t="s">
        <v>277</v>
      </c>
      <c r="H58" s="69">
        <f>IF(I58=0,0,I58-(E58-1))</f>
        <v>301</v>
      </c>
      <c r="I58" s="70">
        <f>IF(E58=0,0,I53)</f>
        <v>312</v>
      </c>
      <c r="J58" s="71" t="s">
        <v>278</v>
      </c>
      <c r="K58" s="32"/>
      <c r="L58" s="233"/>
      <c r="M58" s="277" t="s">
        <v>405</v>
      </c>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301-312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Y</v>
      </c>
      <c r="BA58" s="229">
        <f>MOD(E58,12)</f>
        <v>0</v>
      </c>
    </row>
    <row r="59" spans="1:53" ht="15.75" thickBot="1" x14ac:dyDescent="0.3">
      <c r="A59" s="88"/>
      <c r="B59" s="66" t="s">
        <v>279</v>
      </c>
      <c r="C59" s="67" t="s">
        <v>501</v>
      </c>
      <c r="D59" s="102"/>
      <c r="E59" s="32">
        <v>12</v>
      </c>
      <c r="F59" s="32"/>
      <c r="G59" s="68" t="s">
        <v>277</v>
      </c>
      <c r="H59" s="69">
        <f t="shared" ref="H59:H82" si="26">IF(E59=0,0,I59-(E59-1))</f>
        <v>289</v>
      </c>
      <c r="I59" s="70">
        <f t="shared" ref="I59:I82" si="27">IF(E59=0,0,H58-1)</f>
        <v>300</v>
      </c>
      <c r="J59" s="73" t="str">
        <f>IF(C59="","--",IF(AND(C59&lt;&gt;"FST",C59&lt;&gt;"TCF",BA58&lt;&gt;0),BA58,"--"))</f>
        <v>--</v>
      </c>
      <c r="K59" s="32"/>
      <c r="L59" s="233"/>
      <c r="M59" s="277" t="s">
        <v>405</v>
      </c>
      <c r="N59" s="277"/>
      <c r="O59" s="277"/>
      <c r="P59" s="277"/>
      <c r="Q59" s="277"/>
      <c r="R59" s="277"/>
      <c r="S59" s="277"/>
      <c r="T59" s="277"/>
      <c r="U59" s="278"/>
      <c r="V59" s="103"/>
      <c r="W59" s="72"/>
      <c r="X59" s="72"/>
      <c r="Y59" s="72"/>
      <c r="Z59" s="45">
        <v>10</v>
      </c>
      <c r="AA59" s="46">
        <v>109</v>
      </c>
      <c r="AB59" s="46">
        <v>120</v>
      </c>
      <c r="AC59" s="72">
        <f t="shared" si="17"/>
        <v>1</v>
      </c>
      <c r="AD59" s="72">
        <f t="shared" si="18"/>
        <v>1</v>
      </c>
      <c r="AE59" s="109" t="str">
        <f t="shared" si="19"/>
        <v>289-300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Y</v>
      </c>
      <c r="BA59" s="229">
        <f>MOD(SUM(E58:E59),12)</f>
        <v>0</v>
      </c>
    </row>
    <row r="60" spans="1:53" ht="15.75" thickBot="1" x14ac:dyDescent="0.3">
      <c r="A60" s="88"/>
      <c r="B60" s="74" t="s">
        <v>280</v>
      </c>
      <c r="C60" s="67" t="s">
        <v>501</v>
      </c>
      <c r="D60" s="102"/>
      <c r="E60" s="32">
        <v>12</v>
      </c>
      <c r="F60" s="32"/>
      <c r="G60" s="75" t="s">
        <v>277</v>
      </c>
      <c r="H60" s="69">
        <f t="shared" si="26"/>
        <v>277</v>
      </c>
      <c r="I60" s="70">
        <f t="shared" si="27"/>
        <v>288</v>
      </c>
      <c r="J60" s="73" t="str">
        <f t="shared" ref="J60:J82" si="28">IF(C60="","--",IF(AND(C60&lt;&gt;"FST",C60&lt;&gt;"TCF",BA59&lt;&gt;0),BA59,"--"))</f>
        <v>--</v>
      </c>
      <c r="K60" s="32"/>
      <c r="L60" s="233"/>
      <c r="M60" s="277" t="s">
        <v>405</v>
      </c>
      <c r="N60" s="277"/>
      <c r="O60" s="277"/>
      <c r="P60" s="277"/>
      <c r="Q60" s="277"/>
      <c r="R60" s="277"/>
      <c r="S60" s="277"/>
      <c r="T60" s="277"/>
      <c r="U60" s="278"/>
      <c r="V60" s="103"/>
      <c r="W60" s="72"/>
      <c r="X60" s="72"/>
      <c r="Y60" s="72"/>
      <c r="Z60" s="45">
        <v>11</v>
      </c>
      <c r="AA60" s="46">
        <v>121</v>
      </c>
      <c r="AB60" s="46">
        <v>132</v>
      </c>
      <c r="AC60" s="72">
        <f t="shared" si="17"/>
        <v>1</v>
      </c>
      <c r="AD60" s="72">
        <f t="shared" si="18"/>
        <v>1</v>
      </c>
      <c r="AE60" s="109" t="str">
        <f t="shared" si="19"/>
        <v>277-288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Y</v>
      </c>
      <c r="BA60" s="229">
        <f>MOD(SUM(E58:E61),12)</f>
        <v>0</v>
      </c>
    </row>
    <row r="61" spans="1:53" ht="15.75" thickBot="1" x14ac:dyDescent="0.3">
      <c r="A61" s="88"/>
      <c r="B61" s="66" t="s">
        <v>281</v>
      </c>
      <c r="C61" s="67" t="s">
        <v>501</v>
      </c>
      <c r="D61" s="102"/>
      <c r="E61" s="32">
        <v>12</v>
      </c>
      <c r="F61" s="32"/>
      <c r="G61" s="68" t="s">
        <v>277</v>
      </c>
      <c r="H61" s="69">
        <f t="shared" si="26"/>
        <v>265</v>
      </c>
      <c r="I61" s="70">
        <f t="shared" si="27"/>
        <v>276</v>
      </c>
      <c r="J61" s="73" t="str">
        <f t="shared" si="28"/>
        <v>--</v>
      </c>
      <c r="K61" s="32"/>
      <c r="L61" s="233"/>
      <c r="M61" s="277" t="s">
        <v>405</v>
      </c>
      <c r="N61" s="277"/>
      <c r="O61" s="277"/>
      <c r="P61" s="277"/>
      <c r="Q61" s="277"/>
      <c r="R61" s="277"/>
      <c r="S61" s="277"/>
      <c r="T61" s="277"/>
      <c r="U61" s="278"/>
      <c r="V61" s="103"/>
      <c r="W61" s="72"/>
      <c r="X61" s="72"/>
      <c r="Y61" s="72"/>
      <c r="Z61" s="45">
        <v>12</v>
      </c>
      <c r="AA61" s="76">
        <v>133</v>
      </c>
      <c r="AB61" s="76">
        <v>144</v>
      </c>
      <c r="AC61" s="72">
        <f t="shared" si="17"/>
        <v>1</v>
      </c>
      <c r="AD61" s="72">
        <f t="shared" si="18"/>
        <v>1</v>
      </c>
      <c r="AE61" s="109" t="str">
        <f t="shared" si="19"/>
        <v>265-276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Y</v>
      </c>
      <c r="BA61" s="229">
        <f>MOD(SUM(E58:E62),12)</f>
        <v>0</v>
      </c>
    </row>
    <row r="62" spans="1:53" ht="15.75" thickBot="1" x14ac:dyDescent="0.3">
      <c r="A62" s="88"/>
      <c r="B62" s="66" t="s">
        <v>282</v>
      </c>
      <c r="C62" s="67" t="s">
        <v>501</v>
      </c>
      <c r="D62" s="102"/>
      <c r="E62" s="32">
        <v>12</v>
      </c>
      <c r="F62" s="32"/>
      <c r="G62" s="68" t="s">
        <v>277</v>
      </c>
      <c r="H62" s="69">
        <f t="shared" si="26"/>
        <v>253</v>
      </c>
      <c r="I62" s="70">
        <f t="shared" si="27"/>
        <v>264</v>
      </c>
      <c r="J62" s="73" t="str">
        <f t="shared" si="28"/>
        <v>--</v>
      </c>
      <c r="K62" s="32"/>
      <c r="L62" s="233"/>
      <c r="M62" s="277" t="s">
        <v>406</v>
      </c>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253-264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Y</v>
      </c>
      <c r="BA62" s="229">
        <f>MOD(SUM(E58:E63),12)</f>
        <v>0</v>
      </c>
    </row>
    <row r="63" spans="1:53" ht="15.75" thickBot="1" x14ac:dyDescent="0.3">
      <c r="A63" s="88"/>
      <c r="B63" s="66" t="s">
        <v>283</v>
      </c>
      <c r="C63" s="67" t="s">
        <v>501</v>
      </c>
      <c r="D63" s="102"/>
      <c r="E63" s="32">
        <v>12</v>
      </c>
      <c r="F63" s="32"/>
      <c r="G63" s="68" t="s">
        <v>277</v>
      </c>
      <c r="H63" s="69">
        <f t="shared" si="26"/>
        <v>241</v>
      </c>
      <c r="I63" s="70">
        <f t="shared" si="27"/>
        <v>252</v>
      </c>
      <c r="J63" s="73" t="str">
        <f t="shared" si="28"/>
        <v>--</v>
      </c>
      <c r="K63" s="32"/>
      <c r="L63" s="233"/>
      <c r="M63" s="277" t="s">
        <v>406</v>
      </c>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241-252</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229</v>
      </c>
      <c r="I64" s="70">
        <f t="shared" si="27"/>
        <v>240</v>
      </c>
      <c r="J64" s="73" t="str">
        <f t="shared" si="28"/>
        <v>--</v>
      </c>
      <c r="K64" s="32"/>
      <c r="L64" s="233"/>
      <c r="M64" s="277" t="s">
        <v>406</v>
      </c>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229-240</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217</v>
      </c>
      <c r="I65" s="70">
        <f t="shared" si="27"/>
        <v>228</v>
      </c>
      <c r="J65" s="73" t="str">
        <f t="shared" si="28"/>
        <v>--</v>
      </c>
      <c r="K65" s="32"/>
      <c r="L65" s="233"/>
      <c r="M65" s="277" t="s">
        <v>406</v>
      </c>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217-228</v>
      </c>
      <c r="AF65" s="109" t="str">
        <f t="shared" si="20"/>
        <v>Y</v>
      </c>
      <c r="AG65" s="109" t="str">
        <f t="shared" si="21"/>
        <v>B</v>
      </c>
      <c r="AM65" s="109">
        <f t="shared" si="22"/>
        <v>0</v>
      </c>
      <c r="AN65" s="109">
        <f t="shared" si="23"/>
        <v>0</v>
      </c>
      <c r="AO65" s="109" t="str">
        <f t="shared" si="24"/>
        <v/>
      </c>
      <c r="AQ65" s="109" t="str">
        <f t="shared" si="25"/>
        <v>Y</v>
      </c>
      <c r="BA65" s="229">
        <f>MOD(SUM(E58:E66),12)</f>
        <v>4</v>
      </c>
    </row>
    <row r="66" spans="1:53" ht="15.75" thickBot="1" x14ac:dyDescent="0.3">
      <c r="A66" s="88"/>
      <c r="B66" s="66" t="s">
        <v>286</v>
      </c>
      <c r="C66" s="67" t="s">
        <v>484</v>
      </c>
      <c r="D66" s="102" t="s">
        <v>733</v>
      </c>
      <c r="E66" s="32">
        <v>4</v>
      </c>
      <c r="F66" s="32" t="s">
        <v>488</v>
      </c>
      <c r="G66" s="68" t="s">
        <v>277</v>
      </c>
      <c r="H66" s="69">
        <f t="shared" si="26"/>
        <v>213</v>
      </c>
      <c r="I66" s="70">
        <f t="shared" si="27"/>
        <v>216</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0</v>
      </c>
      <c r="AE66" s="109" t="str">
        <f t="shared" si="19"/>
        <v>213-216</v>
      </c>
      <c r="AF66" s="109" t="str">
        <f t="shared" si="20"/>
        <v>Y</v>
      </c>
      <c r="AG66" s="109" t="str">
        <f t="shared" si="21"/>
        <v>B</v>
      </c>
      <c r="AM66" s="109">
        <f t="shared" si="22"/>
        <v>0</v>
      </c>
      <c r="AN66" s="109">
        <f t="shared" si="23"/>
        <v>0</v>
      </c>
      <c r="AO66" s="109" t="str">
        <f t="shared" si="24"/>
        <v/>
      </c>
      <c r="AQ66" s="109" t="str">
        <f t="shared" si="25"/>
        <v/>
      </c>
      <c r="BA66" s="229">
        <f>MOD(SUM(E58:E67),12)</f>
        <v>8</v>
      </c>
    </row>
    <row r="67" spans="1:53" ht="15.75" thickBot="1" x14ac:dyDescent="0.3">
      <c r="A67" s="88"/>
      <c r="B67" s="66" t="s">
        <v>287</v>
      </c>
      <c r="C67" s="67" t="s">
        <v>484</v>
      </c>
      <c r="D67" s="102" t="s">
        <v>734</v>
      </c>
      <c r="E67" s="32">
        <v>4</v>
      </c>
      <c r="F67" s="32" t="s">
        <v>488</v>
      </c>
      <c r="G67" s="68" t="s">
        <v>277</v>
      </c>
      <c r="H67" s="69">
        <f t="shared" si="26"/>
        <v>209</v>
      </c>
      <c r="I67" s="70">
        <f t="shared" si="27"/>
        <v>212</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0</v>
      </c>
      <c r="AE67" s="109" t="str">
        <f t="shared" si="19"/>
        <v>209-212</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t="s">
        <v>484</v>
      </c>
      <c r="D68" s="102" t="s">
        <v>735</v>
      </c>
      <c r="E68" s="32">
        <v>4</v>
      </c>
      <c r="F68" s="32" t="s">
        <v>488</v>
      </c>
      <c r="G68" s="68" t="s">
        <v>277</v>
      </c>
      <c r="H68" s="69">
        <f t="shared" si="26"/>
        <v>205</v>
      </c>
      <c r="I68" s="70">
        <f t="shared" si="27"/>
        <v>208</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0</v>
      </c>
      <c r="AE68" s="109" t="str">
        <f t="shared" si="19"/>
        <v>205-208</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t="s">
        <v>501</v>
      </c>
      <c r="D69" s="102"/>
      <c r="E69" s="32">
        <v>12</v>
      </c>
      <c r="F69" s="32"/>
      <c r="G69" s="68" t="s">
        <v>277</v>
      </c>
      <c r="H69" s="69">
        <f t="shared" si="26"/>
        <v>193</v>
      </c>
      <c r="I69" s="70">
        <f t="shared" si="27"/>
        <v>204</v>
      </c>
      <c r="J69" s="73" t="str">
        <f t="shared" si="28"/>
        <v>--</v>
      </c>
      <c r="K69" s="32"/>
      <c r="L69" s="233"/>
      <c r="M69" s="277" t="s">
        <v>407</v>
      </c>
      <c r="N69" s="277"/>
      <c r="O69" s="277"/>
      <c r="P69" s="277"/>
      <c r="Q69" s="277"/>
      <c r="R69" s="277"/>
      <c r="S69" s="277"/>
      <c r="T69" s="277"/>
      <c r="U69" s="278"/>
      <c r="V69" s="103"/>
      <c r="W69" s="84">
        <f>Y69+1</f>
        <v>121</v>
      </c>
      <c r="X69" s="84"/>
      <c r="Y69" s="78">
        <f>SUM(E58:E69)</f>
        <v>120</v>
      </c>
      <c r="Z69" s="72"/>
      <c r="AA69" s="72"/>
      <c r="AB69" s="72"/>
      <c r="AC69" s="72">
        <f t="shared" si="17"/>
        <v>1</v>
      </c>
      <c r="AD69" s="72">
        <f t="shared" si="18"/>
        <v>1</v>
      </c>
      <c r="AE69" s="109" t="str">
        <f t="shared" si="19"/>
        <v>193-204</v>
      </c>
      <c r="AF69" s="109" t="str">
        <f t="shared" si="20"/>
        <v>Y</v>
      </c>
      <c r="AG69" s="109" t="str">
        <f t="shared" si="21"/>
        <v>B</v>
      </c>
      <c r="AM69" s="109">
        <f t="shared" si="22"/>
        <v>0</v>
      </c>
      <c r="AN69" s="109">
        <f t="shared" si="23"/>
        <v>0</v>
      </c>
      <c r="AO69" s="109" t="str">
        <f t="shared" si="24"/>
        <v/>
      </c>
      <c r="AQ69" s="109" t="str">
        <f t="shared" si="25"/>
        <v>Y</v>
      </c>
      <c r="BA69" s="229">
        <f>MOD(SUM(E58:E70),12)</f>
        <v>0</v>
      </c>
    </row>
    <row r="70" spans="1:53" ht="15.75" thickBot="1" x14ac:dyDescent="0.3">
      <c r="A70" s="88"/>
      <c r="B70" s="66" t="s">
        <v>290</v>
      </c>
      <c r="C70" s="67" t="s">
        <v>501</v>
      </c>
      <c r="D70" s="102"/>
      <c r="E70" s="32">
        <v>12</v>
      </c>
      <c r="F70" s="32"/>
      <c r="G70" s="68" t="s">
        <v>277</v>
      </c>
      <c r="H70" s="69">
        <f t="shared" si="26"/>
        <v>181</v>
      </c>
      <c r="I70" s="70">
        <f t="shared" si="27"/>
        <v>192</v>
      </c>
      <c r="J70" s="73" t="str">
        <f t="shared" si="28"/>
        <v>--</v>
      </c>
      <c r="K70" s="32"/>
      <c r="L70" s="233"/>
      <c r="M70" s="277" t="s">
        <v>407</v>
      </c>
      <c r="N70" s="277"/>
      <c r="O70" s="277"/>
      <c r="P70" s="277"/>
      <c r="Q70" s="277"/>
      <c r="R70" s="277"/>
      <c r="S70" s="277"/>
      <c r="T70" s="277"/>
      <c r="U70" s="278"/>
      <c r="V70" s="103"/>
      <c r="W70" s="84">
        <f>Y70+1</f>
        <v>133</v>
      </c>
      <c r="X70" s="84"/>
      <c r="Y70" s="78">
        <f>SUM(E58:E70)</f>
        <v>132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181-192</v>
      </c>
      <c r="AF70" s="109" t="str">
        <f t="shared" si="20"/>
        <v>Y</v>
      </c>
      <c r="AG70" s="109" t="str">
        <f t="shared" si="21"/>
        <v>B</v>
      </c>
      <c r="AM70" s="109">
        <f t="shared" si="22"/>
        <v>0</v>
      </c>
      <c r="AN70" s="109">
        <f t="shared" si="23"/>
        <v>0</v>
      </c>
      <c r="AO70" s="109" t="str">
        <f t="shared" si="24"/>
        <v/>
      </c>
      <c r="AQ70" s="109" t="str">
        <f t="shared" si="25"/>
        <v>Y</v>
      </c>
      <c r="BA70" s="229">
        <f>MOD(SUM(E58:E71),12)</f>
        <v>0</v>
      </c>
    </row>
    <row r="71" spans="1:53" ht="15.75" thickBot="1" x14ac:dyDescent="0.3">
      <c r="A71" s="88"/>
      <c r="B71" s="66" t="s">
        <v>291</v>
      </c>
      <c r="C71" s="67" t="s">
        <v>501</v>
      </c>
      <c r="D71" s="102"/>
      <c r="E71" s="32">
        <v>12</v>
      </c>
      <c r="F71" s="32"/>
      <c r="G71" s="68" t="s">
        <v>277</v>
      </c>
      <c r="H71" s="69">
        <f t="shared" si="26"/>
        <v>169</v>
      </c>
      <c r="I71" s="70">
        <f t="shared" si="27"/>
        <v>180</v>
      </c>
      <c r="J71" s="73" t="str">
        <f t="shared" si="28"/>
        <v>--</v>
      </c>
      <c r="K71" s="32"/>
      <c r="L71" s="233"/>
      <c r="M71" s="277" t="s">
        <v>407</v>
      </c>
      <c r="N71" s="277"/>
      <c r="O71" s="277"/>
      <c r="P71" s="277"/>
      <c r="Q71" s="277"/>
      <c r="R71" s="277"/>
      <c r="S71" s="277"/>
      <c r="T71" s="277"/>
      <c r="U71" s="278"/>
      <c r="V71" s="103"/>
      <c r="W71" s="84">
        <f>Y71+1</f>
        <v>145</v>
      </c>
      <c r="X71" s="84"/>
      <c r="Y71" s="78">
        <f>SUM(E58:E71)</f>
        <v>144</v>
      </c>
      <c r="Z71" s="72" t="str">
        <f t="shared" si="31"/>
        <v/>
      </c>
      <c r="AA71" s="72"/>
      <c r="AB71" s="72"/>
      <c r="AC71" s="72">
        <f t="shared" si="17"/>
        <v>1</v>
      </c>
      <c r="AD71" s="72">
        <f t="shared" si="18"/>
        <v>1</v>
      </c>
      <c r="AE71" s="109" t="str">
        <f t="shared" si="19"/>
        <v>169-180</v>
      </c>
      <c r="AF71" s="109" t="str">
        <f t="shared" si="20"/>
        <v>Y</v>
      </c>
      <c r="AG71" s="109" t="str">
        <f t="shared" si="21"/>
        <v>B</v>
      </c>
      <c r="AM71" s="109">
        <f t="shared" si="22"/>
        <v>0</v>
      </c>
      <c r="AN71" s="109">
        <f t="shared" si="23"/>
        <v>0</v>
      </c>
      <c r="AO71" s="109" t="str">
        <f t="shared" si="24"/>
        <v/>
      </c>
      <c r="AQ71" s="109" t="str">
        <f t="shared" si="25"/>
        <v>Y</v>
      </c>
      <c r="BA71" s="229">
        <f>MOD(SUM(E58:E72),12)</f>
        <v>0</v>
      </c>
    </row>
    <row r="72" spans="1:53" ht="15.75" thickBot="1" x14ac:dyDescent="0.3">
      <c r="A72" s="88"/>
      <c r="B72" s="66" t="s">
        <v>292</v>
      </c>
      <c r="C72" s="67" t="s">
        <v>501</v>
      </c>
      <c r="D72" s="102"/>
      <c r="E72" s="32">
        <v>12</v>
      </c>
      <c r="F72" s="32"/>
      <c r="G72" s="68" t="s">
        <v>277</v>
      </c>
      <c r="H72" s="69">
        <f t="shared" si="26"/>
        <v>157</v>
      </c>
      <c r="I72" s="70">
        <f t="shared" si="27"/>
        <v>168</v>
      </c>
      <c r="J72" s="73" t="str">
        <f t="shared" si="28"/>
        <v>--</v>
      </c>
      <c r="K72" s="32"/>
      <c r="L72" s="233"/>
      <c r="M72" s="277" t="s">
        <v>407</v>
      </c>
      <c r="N72" s="277"/>
      <c r="O72" s="277"/>
      <c r="P72" s="277"/>
      <c r="Q72" s="277"/>
      <c r="R72" s="277"/>
      <c r="S72" s="277"/>
      <c r="T72" s="277"/>
      <c r="U72" s="278"/>
      <c r="V72" s="103"/>
      <c r="W72" s="84">
        <f>Y72+1</f>
        <v>157</v>
      </c>
      <c r="X72" s="84"/>
      <c r="Y72" s="78">
        <f>SUM(E58:E72)</f>
        <v>156</v>
      </c>
      <c r="Z72" s="72" t="str">
        <f t="shared" si="31"/>
        <v/>
      </c>
      <c r="AA72" s="72" t="str">
        <f t="shared" ref="AA72:AA84" si="32">IF(AND(C70&lt;&gt;"Field SPL",W69&lt;=144,Y70&gt;144),"ERROR","")</f>
        <v/>
      </c>
      <c r="AB72" s="72"/>
      <c r="AC72" s="72">
        <f t="shared" si="17"/>
        <v>1</v>
      </c>
      <c r="AD72" s="72">
        <f t="shared" si="18"/>
        <v>1</v>
      </c>
      <c r="AE72" s="109" t="str">
        <f t="shared" si="19"/>
        <v>157-168</v>
      </c>
      <c r="AF72" s="109" t="str">
        <f t="shared" si="20"/>
        <v>Y</v>
      </c>
      <c r="AG72" s="109" t="str">
        <f t="shared" si="21"/>
        <v>B</v>
      </c>
      <c r="AM72" s="109">
        <f t="shared" si="22"/>
        <v>0</v>
      </c>
      <c r="AN72" s="109">
        <f t="shared" si="23"/>
        <v>0</v>
      </c>
      <c r="AO72" s="109" t="str">
        <f t="shared" si="24"/>
        <v/>
      </c>
      <c r="AQ72" s="109" t="str">
        <f t="shared" si="25"/>
        <v>Y</v>
      </c>
      <c r="BA72" s="229">
        <f>MOD(SUM(E58:E73),12)</f>
        <v>0</v>
      </c>
    </row>
    <row r="73" spans="1:53" ht="15.75" thickBot="1" x14ac:dyDescent="0.3">
      <c r="A73" s="88"/>
      <c r="B73" s="66" t="s">
        <v>293</v>
      </c>
      <c r="C73" s="67" t="s">
        <v>501</v>
      </c>
      <c r="D73" s="102"/>
      <c r="E73" s="32">
        <v>12</v>
      </c>
      <c r="F73" s="32"/>
      <c r="G73" s="68" t="s">
        <v>277</v>
      </c>
      <c r="H73" s="69">
        <f t="shared" si="26"/>
        <v>145</v>
      </c>
      <c r="I73" s="70">
        <f t="shared" si="27"/>
        <v>156</v>
      </c>
      <c r="J73" s="73" t="str">
        <f t="shared" si="28"/>
        <v>--</v>
      </c>
      <c r="K73" s="32"/>
      <c r="L73" s="233"/>
      <c r="M73" s="277" t="s">
        <v>408</v>
      </c>
      <c r="N73" s="277"/>
      <c r="O73" s="277"/>
      <c r="P73" s="277"/>
      <c r="Q73" s="277"/>
      <c r="R73" s="277"/>
      <c r="S73" s="277"/>
      <c r="T73" s="277"/>
      <c r="U73" s="278"/>
      <c r="V73" s="103"/>
      <c r="W73" s="84">
        <f t="shared" ref="W73:W81" si="33">Y73+1</f>
        <v>169</v>
      </c>
      <c r="X73" s="84"/>
      <c r="Y73" s="78">
        <f>SUM(E58:E73)</f>
        <v>168</v>
      </c>
      <c r="Z73" s="72" t="str">
        <f t="shared" si="31"/>
        <v/>
      </c>
      <c r="AA73" s="72" t="str">
        <f t="shared" si="32"/>
        <v/>
      </c>
      <c r="AB73" s="72"/>
      <c r="AC73" s="72">
        <f t="shared" si="17"/>
        <v>1</v>
      </c>
      <c r="AD73" s="72">
        <f t="shared" si="18"/>
        <v>1</v>
      </c>
      <c r="AE73" s="109" t="str">
        <f t="shared" si="19"/>
        <v>145-156</v>
      </c>
      <c r="AF73" s="109" t="str">
        <f t="shared" si="20"/>
        <v>Y</v>
      </c>
      <c r="AG73" s="109" t="str">
        <f t="shared" si="21"/>
        <v>B</v>
      </c>
      <c r="AM73" s="109">
        <f t="shared" si="22"/>
        <v>0</v>
      </c>
      <c r="AN73" s="109">
        <f t="shared" si="23"/>
        <v>0</v>
      </c>
      <c r="AO73" s="109" t="str">
        <f t="shared" si="24"/>
        <v/>
      </c>
      <c r="AQ73" s="109" t="str">
        <f t="shared" si="25"/>
        <v>Y</v>
      </c>
      <c r="BA73" s="229">
        <f>MOD(SUM(E58:E74),12)</f>
        <v>0</v>
      </c>
    </row>
    <row r="74" spans="1:53" ht="15.75" thickBot="1" x14ac:dyDescent="0.3">
      <c r="A74" s="88"/>
      <c r="B74" s="66" t="s">
        <v>294</v>
      </c>
      <c r="C74" s="67" t="s">
        <v>501</v>
      </c>
      <c r="D74" s="102"/>
      <c r="E74" s="32">
        <v>12</v>
      </c>
      <c r="F74" s="32"/>
      <c r="G74" s="68" t="s">
        <v>277</v>
      </c>
      <c r="H74" s="69">
        <f t="shared" si="26"/>
        <v>133</v>
      </c>
      <c r="I74" s="70">
        <f t="shared" si="27"/>
        <v>144</v>
      </c>
      <c r="J74" s="73" t="str">
        <f t="shared" si="28"/>
        <v>--</v>
      </c>
      <c r="K74" s="32"/>
      <c r="L74" s="233"/>
      <c r="M74" s="277" t="s">
        <v>408</v>
      </c>
      <c r="N74" s="277"/>
      <c r="O74" s="277"/>
      <c r="P74" s="277"/>
      <c r="Q74" s="277"/>
      <c r="R74" s="277"/>
      <c r="S74" s="277"/>
      <c r="T74" s="277"/>
      <c r="U74" s="278"/>
      <c r="V74" s="103"/>
      <c r="W74" s="84">
        <f t="shared" si="33"/>
        <v>181</v>
      </c>
      <c r="X74" s="84"/>
      <c r="Y74" s="78">
        <f>SUM(E58:E74)</f>
        <v>180</v>
      </c>
      <c r="Z74" s="72" t="str">
        <f t="shared" si="31"/>
        <v/>
      </c>
      <c r="AA74" s="72" t="str">
        <f t="shared" si="32"/>
        <v/>
      </c>
      <c r="AB74" s="72"/>
      <c r="AC74" s="72">
        <f t="shared" si="17"/>
        <v>1</v>
      </c>
      <c r="AD74" s="72">
        <f t="shared" si="18"/>
        <v>1</v>
      </c>
      <c r="AE74" s="109" t="str">
        <f t="shared" si="19"/>
        <v>133-144</v>
      </c>
      <c r="AF74" s="109" t="str">
        <f t="shared" si="20"/>
        <v>Y</v>
      </c>
      <c r="AG74" s="109" t="str">
        <f t="shared" si="21"/>
        <v>B</v>
      </c>
      <c r="AM74" s="109">
        <f t="shared" si="22"/>
        <v>0</v>
      </c>
      <c r="AN74" s="109">
        <f t="shared" si="23"/>
        <v>0</v>
      </c>
      <c r="AO74" s="109" t="str">
        <f t="shared" si="24"/>
        <v/>
      </c>
      <c r="AQ74" s="109" t="str">
        <f t="shared" si="25"/>
        <v>Y</v>
      </c>
      <c r="BA74" s="229">
        <f>MOD(SUM(E58:E75),12)</f>
        <v>0</v>
      </c>
    </row>
    <row r="75" spans="1:53" ht="15.75" thickBot="1" x14ac:dyDescent="0.3">
      <c r="A75" s="88"/>
      <c r="B75" s="66" t="s">
        <v>295</v>
      </c>
      <c r="C75" s="67" t="s">
        <v>501</v>
      </c>
      <c r="D75" s="102"/>
      <c r="E75" s="32">
        <v>12</v>
      </c>
      <c r="F75" s="32"/>
      <c r="G75" s="68" t="s">
        <v>277</v>
      </c>
      <c r="H75" s="69">
        <f t="shared" si="26"/>
        <v>121</v>
      </c>
      <c r="I75" s="70">
        <f t="shared" si="27"/>
        <v>132</v>
      </c>
      <c r="J75" s="73" t="str">
        <f t="shared" si="28"/>
        <v>--</v>
      </c>
      <c r="K75" s="32"/>
      <c r="L75" s="233"/>
      <c r="M75" s="277" t="s">
        <v>408</v>
      </c>
      <c r="N75" s="277"/>
      <c r="O75" s="277"/>
      <c r="P75" s="277"/>
      <c r="Q75" s="277"/>
      <c r="R75" s="277"/>
      <c r="S75" s="277"/>
      <c r="T75" s="277"/>
      <c r="U75" s="278"/>
      <c r="V75" s="103"/>
      <c r="W75" s="84">
        <f t="shared" si="33"/>
        <v>193</v>
      </c>
      <c r="X75" s="84"/>
      <c r="Y75" s="78">
        <f>SUM(E58:E75)</f>
        <v>192</v>
      </c>
      <c r="Z75" s="72" t="str">
        <f t="shared" si="31"/>
        <v/>
      </c>
      <c r="AA75" s="72" t="str">
        <f t="shared" si="32"/>
        <v/>
      </c>
      <c r="AB75" s="72"/>
      <c r="AC75" s="72">
        <f t="shared" si="17"/>
        <v>1</v>
      </c>
      <c r="AD75" s="72">
        <f t="shared" si="18"/>
        <v>1</v>
      </c>
      <c r="AE75" s="109" t="str">
        <f t="shared" si="19"/>
        <v>121-132</v>
      </c>
      <c r="AF75" s="109" t="str">
        <f t="shared" si="20"/>
        <v>Y</v>
      </c>
      <c r="AG75" s="109" t="str">
        <f t="shared" si="21"/>
        <v>B</v>
      </c>
      <c r="AM75" s="109">
        <f t="shared" si="22"/>
        <v>0</v>
      </c>
      <c r="AN75" s="109">
        <f t="shared" si="23"/>
        <v>0</v>
      </c>
      <c r="AO75" s="109" t="str">
        <f t="shared" si="24"/>
        <v/>
      </c>
      <c r="AQ75" s="109" t="str">
        <f t="shared" si="25"/>
        <v>Y</v>
      </c>
      <c r="BA75" s="229">
        <f>MOD(SUM(E58:E76),12)</f>
        <v>0</v>
      </c>
    </row>
    <row r="76" spans="1:53" ht="15.75" thickBot="1" x14ac:dyDescent="0.3">
      <c r="A76" s="88"/>
      <c r="B76" s="66" t="s">
        <v>296</v>
      </c>
      <c r="C76" s="67" t="s">
        <v>501</v>
      </c>
      <c r="D76" s="102"/>
      <c r="E76" s="32">
        <v>12</v>
      </c>
      <c r="F76" s="32"/>
      <c r="G76" s="68" t="s">
        <v>277</v>
      </c>
      <c r="H76" s="69">
        <f t="shared" si="26"/>
        <v>109</v>
      </c>
      <c r="I76" s="70">
        <f t="shared" si="27"/>
        <v>120</v>
      </c>
      <c r="J76" s="73" t="str">
        <f t="shared" si="28"/>
        <v>--</v>
      </c>
      <c r="K76" s="32"/>
      <c r="L76" s="233"/>
      <c r="M76" s="277" t="s">
        <v>408</v>
      </c>
      <c r="N76" s="277"/>
      <c r="O76" s="277"/>
      <c r="P76" s="277"/>
      <c r="Q76" s="277"/>
      <c r="R76" s="277"/>
      <c r="S76" s="277"/>
      <c r="T76" s="277"/>
      <c r="U76" s="278"/>
      <c r="V76" s="103"/>
      <c r="W76" s="84">
        <f t="shared" si="33"/>
        <v>205</v>
      </c>
      <c r="X76" s="84"/>
      <c r="Y76" s="78">
        <f>SUM(E58:E76)</f>
        <v>204</v>
      </c>
      <c r="Z76" s="72" t="str">
        <f t="shared" si="31"/>
        <v/>
      </c>
      <c r="AA76" s="72" t="str">
        <f t="shared" si="32"/>
        <v/>
      </c>
      <c r="AB76" s="72"/>
      <c r="AC76" s="72">
        <f t="shared" si="17"/>
        <v>1</v>
      </c>
      <c r="AD76" s="72">
        <f t="shared" si="18"/>
        <v>1</v>
      </c>
      <c r="AE76" s="109" t="str">
        <f t="shared" si="19"/>
        <v>109-120</v>
      </c>
      <c r="AF76" s="109" t="str">
        <f t="shared" si="20"/>
        <v>Y</v>
      </c>
      <c r="AG76" s="109" t="str">
        <f t="shared" si="21"/>
        <v>B</v>
      </c>
      <c r="AM76" s="109">
        <f t="shared" si="22"/>
        <v>0</v>
      </c>
      <c r="AN76" s="109">
        <f t="shared" si="23"/>
        <v>0</v>
      </c>
      <c r="AO76" s="109" t="str">
        <f t="shared" si="24"/>
        <v/>
      </c>
      <c r="AQ76" s="109" t="str">
        <f t="shared" si="25"/>
        <v>Y</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205</v>
      </c>
      <c r="X77" s="84"/>
      <c r="Y77" s="78">
        <f>SUM(E58:E77)</f>
        <v>204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205</v>
      </c>
      <c r="X78" s="84"/>
      <c r="Y78" s="78">
        <f>SUM(E58:E78)</f>
        <v>204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205</v>
      </c>
      <c r="X79" s="84"/>
      <c r="Y79" s="78">
        <f>SUM(E58:E79)</f>
        <v>204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205</v>
      </c>
      <c r="X80" s="84"/>
      <c r="Y80" s="78">
        <f>SUM(E58:E80)</f>
        <v>204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205</v>
      </c>
      <c r="X81" s="84"/>
      <c r="Y81" s="78">
        <f>SUM(E58:E81)</f>
        <v>204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204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8</v>
      </c>
      <c r="AR83" s="109">
        <f>(COUNTIF(AQ58:AQ82,"Y")/2)</f>
        <v>8</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48</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0</v>
      </c>
      <c r="J89" s="288" t="s">
        <v>231</v>
      </c>
      <c r="K89" s="289"/>
      <c r="L89" s="34">
        <f>I93</f>
        <v>265</v>
      </c>
      <c r="M89" s="196">
        <v>4</v>
      </c>
      <c r="N89" s="35">
        <f>SUM(AI89,AI100)</f>
        <v>0</v>
      </c>
      <c r="O89" s="35">
        <v>0</v>
      </c>
      <c r="P89" s="35">
        <f>SUM(AJ89,AJ100)</f>
        <v>0</v>
      </c>
      <c r="Q89" s="35">
        <v>0</v>
      </c>
      <c r="R89" s="35">
        <f>COUNTIFS($E99:$E123,"4",$F99:$F123,"Pole",$C99:$C123,"FST")</f>
        <v>0</v>
      </c>
      <c r="S89" s="35">
        <f>SUM(AL89,AK100)</f>
        <v>0</v>
      </c>
      <c r="T89" s="35">
        <v>0</v>
      </c>
      <c r="U89" s="35">
        <f>SUM(AK89,AL100)</f>
        <v>8</v>
      </c>
      <c r="V89" s="35">
        <v>0</v>
      </c>
      <c r="W89" s="34">
        <f>COUNTIFS($E99:$E123,"4",$F99:$F123,"HH",$C99:$C123,"FST")</f>
        <v>8</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8</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0" t="s">
        <v>237</v>
      </c>
      <c r="H90" s="291"/>
      <c r="I90" s="35">
        <f>IF(E90=0,0,12-(MOD(I88,12)))</f>
        <v>12</v>
      </c>
      <c r="J90" s="288" t="s">
        <v>238</v>
      </c>
      <c r="K90" s="289"/>
      <c r="L90" s="39">
        <f>I94-I88</f>
        <v>264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0" t="s">
        <v>242</v>
      </c>
      <c r="H91" s="43" t="s">
        <v>243</v>
      </c>
      <c r="I91" s="35">
        <f>IF(E91&lt;&gt;0,1,0)</f>
        <v>0</v>
      </c>
      <c r="J91" s="290" t="s">
        <v>244</v>
      </c>
      <c r="K91" s="291"/>
      <c r="L91" s="44">
        <f>'Cable Calculator'!N3</f>
        <v>1663</v>
      </c>
      <c r="M91" s="196">
        <v>8</v>
      </c>
      <c r="N91" s="35">
        <f>SUM(AI91,AI102)</f>
        <v>0</v>
      </c>
      <c r="O91" s="35">
        <v>0</v>
      </c>
      <c r="P91" s="35">
        <f>SUM(AJ91,AJ102)</f>
        <v>0</v>
      </c>
      <c r="Q91" s="35">
        <v>0</v>
      </c>
      <c r="R91" s="35">
        <f>COUNTIFS($E99:$E123,"8",$F99:$F123,"Pole",$C99:$C123,"FST")</f>
        <v>0</v>
      </c>
      <c r="S91" s="35">
        <f>SUM(AL91,AK102)</f>
        <v>0</v>
      </c>
      <c r="T91" s="35">
        <v>0</v>
      </c>
      <c r="U91" s="35">
        <f>SUM(AK91,AL102)</f>
        <v>2</v>
      </c>
      <c r="V91" s="35">
        <v>0</v>
      </c>
      <c r="W91" s="34">
        <f>COUNTIFS($E99:$E123,"8",$F99:$F123,"HH",$C99:$C123,"FST")</f>
        <v>2</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Y</v>
      </c>
      <c r="AT91" s="110" t="s">
        <v>245</v>
      </c>
      <c r="AU91" s="109">
        <f>COUNTIFS($E89,"SS",$AS91,"Y")</f>
        <v>0</v>
      </c>
      <c r="AV91" s="108">
        <f>COUNTIFS($E89,"RPX",$AS91,"Y")</f>
        <v>0</v>
      </c>
      <c r="AW91" s="108">
        <f>COUNTIFS($E89,"EUC",$AS91,"Y")</f>
        <v>1</v>
      </c>
      <c r="AX91" s="109">
        <f>COUNTIFS($E89,"RPX-T",$AS91,"Y")</f>
        <v>0</v>
      </c>
      <c r="BA91" s="227"/>
    </row>
    <row r="92" spans="1:53" ht="16.5" thickTop="1" thickBot="1" x14ac:dyDescent="0.3">
      <c r="A92" s="88"/>
      <c r="B92" s="29" t="s">
        <v>246</v>
      </c>
      <c r="C92" s="37">
        <v>0</v>
      </c>
      <c r="D92" s="41" t="s">
        <v>247</v>
      </c>
      <c r="E92" s="42">
        <v>265</v>
      </c>
      <c r="F92" s="88"/>
      <c r="G92" s="321"/>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0" t="s">
        <v>251</v>
      </c>
      <c r="H93" s="51" t="s">
        <v>252</v>
      </c>
      <c r="I93" s="112">
        <f>E92</f>
        <v>265</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1"/>
      <c r="H94" s="47" t="s">
        <v>257</v>
      </c>
      <c r="I94" s="35">
        <f>IF(E92="","0",IF(AND(E89="EUC",E90=432), I93+(203-E91),IF(E92=0,0,(E92+(E90-E91)-1))))</f>
        <v>312</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QUAD</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799</v>
      </c>
      <c r="E99" s="32">
        <v>8</v>
      </c>
      <c r="F99" s="32" t="s">
        <v>488</v>
      </c>
      <c r="G99" s="68" t="s">
        <v>277</v>
      </c>
      <c r="H99" s="69">
        <f>IF(I99=0,0,I99-(E99-1))</f>
        <v>305</v>
      </c>
      <c r="I99" s="70">
        <f>IF(E99=0,0,I94)</f>
        <v>312</v>
      </c>
      <c r="J99" s="71" t="s">
        <v>278</v>
      </c>
      <c r="K99" s="32"/>
      <c r="L99" s="233"/>
      <c r="M99" s="277" t="s">
        <v>745</v>
      </c>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305-312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736</v>
      </c>
      <c r="E100" s="32">
        <v>4</v>
      </c>
      <c r="F100" s="32" t="s">
        <v>488</v>
      </c>
      <c r="G100" s="68" t="s">
        <v>277</v>
      </c>
      <c r="H100" s="69">
        <f t="shared" ref="H100:H123" si="43">IF(E100=0,0,I100-(E100-1))</f>
        <v>301</v>
      </c>
      <c r="I100" s="70">
        <f t="shared" ref="I100:I123" si="44">IF(E100=0,0,H99-1)</f>
        <v>304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301-304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737</v>
      </c>
      <c r="E101" s="32">
        <v>4</v>
      </c>
      <c r="F101" s="32" t="s">
        <v>488</v>
      </c>
      <c r="G101" s="75" t="s">
        <v>277</v>
      </c>
      <c r="H101" s="69">
        <f t="shared" si="43"/>
        <v>297</v>
      </c>
      <c r="I101" s="70">
        <f t="shared" si="44"/>
        <v>300</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297-300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738</v>
      </c>
      <c r="E102" s="32">
        <v>4</v>
      </c>
      <c r="F102" s="32" t="s">
        <v>488</v>
      </c>
      <c r="G102" s="68" t="s">
        <v>277</v>
      </c>
      <c r="H102" s="69">
        <f t="shared" si="43"/>
        <v>293</v>
      </c>
      <c r="I102" s="70">
        <f t="shared" si="44"/>
        <v>296</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293-296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739</v>
      </c>
      <c r="E103" s="32">
        <v>4</v>
      </c>
      <c r="F103" s="32" t="s">
        <v>488</v>
      </c>
      <c r="G103" s="68" t="s">
        <v>277</v>
      </c>
      <c r="H103" s="69">
        <f t="shared" si="43"/>
        <v>289</v>
      </c>
      <c r="I103" s="70">
        <f t="shared" si="44"/>
        <v>292</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289-292</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740</v>
      </c>
      <c r="E104" s="32">
        <v>4</v>
      </c>
      <c r="F104" s="32" t="s">
        <v>488</v>
      </c>
      <c r="G104" s="68" t="s">
        <v>277</v>
      </c>
      <c r="H104" s="69">
        <f t="shared" si="43"/>
        <v>285</v>
      </c>
      <c r="I104" s="70">
        <f t="shared" si="44"/>
        <v>288</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285-288</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741</v>
      </c>
      <c r="E105" s="32">
        <v>4</v>
      </c>
      <c r="F105" s="32" t="s">
        <v>488</v>
      </c>
      <c r="G105" s="68" t="s">
        <v>277</v>
      </c>
      <c r="H105" s="69">
        <f t="shared" si="43"/>
        <v>281</v>
      </c>
      <c r="I105" s="70">
        <f t="shared" si="44"/>
        <v>284</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281-284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742</v>
      </c>
      <c r="E106" s="32">
        <v>4</v>
      </c>
      <c r="F106" s="32" t="s">
        <v>488</v>
      </c>
      <c r="G106" s="68" t="s">
        <v>277</v>
      </c>
      <c r="H106" s="69">
        <f t="shared" si="43"/>
        <v>277</v>
      </c>
      <c r="I106" s="70">
        <f t="shared" si="44"/>
        <v>280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277-280</v>
      </c>
      <c r="AF106" s="109" t="str">
        <f t="shared" si="37"/>
        <v>Y</v>
      </c>
      <c r="AG106" s="109" t="str">
        <f t="shared" si="38"/>
        <v>B</v>
      </c>
      <c r="AM106" s="109">
        <f t="shared" si="39"/>
        <v>0</v>
      </c>
      <c r="AN106" s="109">
        <f t="shared" si="40"/>
        <v>0</v>
      </c>
      <c r="AO106" s="109" t="str">
        <f t="shared" si="41"/>
        <v/>
      </c>
      <c r="AQ106" s="109" t="str">
        <f t="shared" si="42"/>
        <v/>
      </c>
      <c r="BA106" s="229">
        <f>MOD(SUM(E99:E107),12)</f>
        <v>4</v>
      </c>
    </row>
    <row r="107" spans="1:53" ht="15.75" thickBot="1" x14ac:dyDescent="0.3">
      <c r="A107" s="88"/>
      <c r="B107" s="66" t="s">
        <v>286</v>
      </c>
      <c r="C107" s="67" t="s">
        <v>484</v>
      </c>
      <c r="D107" s="102" t="s">
        <v>743</v>
      </c>
      <c r="E107" s="32">
        <v>4</v>
      </c>
      <c r="F107" s="32" t="s">
        <v>488</v>
      </c>
      <c r="G107" s="68" t="s">
        <v>277</v>
      </c>
      <c r="H107" s="69">
        <f t="shared" si="43"/>
        <v>273</v>
      </c>
      <c r="I107" s="70">
        <f t="shared" si="44"/>
        <v>276</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0</v>
      </c>
      <c r="AE107" s="109" t="str">
        <f t="shared" si="36"/>
        <v>273-276</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t="s">
        <v>484</v>
      </c>
      <c r="D108" s="102" t="s">
        <v>744</v>
      </c>
      <c r="E108" s="32">
        <v>8</v>
      </c>
      <c r="F108" s="32" t="s">
        <v>488</v>
      </c>
      <c r="G108" s="68" t="s">
        <v>277</v>
      </c>
      <c r="H108" s="69">
        <f t="shared" si="43"/>
        <v>265</v>
      </c>
      <c r="I108" s="70">
        <f t="shared" si="44"/>
        <v>272</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0</v>
      </c>
      <c r="AE108" s="109" t="str">
        <f t="shared" si="36"/>
        <v>265-272</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15</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48</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t="str">
        <f>IF(OR($AS130="Y",$AS131="Y",$AS132="Y"),"",COUNTIFS($E130,"SS",$E135,"Y"))</f>
        <v/>
      </c>
      <c r="AV129" s="111" t="str">
        <f>IF(OR($AS130="Y",$AS131="Y",$AS132="Y"),"",COUNTIFS($E130,"RPX",$E135,"Y"))</f>
        <v/>
      </c>
      <c r="AW129" s="111" t="str">
        <f>IF(OR($AS130="Y",$AS131="Y",$AS132="Y"),"",COUNTIFS($E130,"EUC",$E135,"Y"))</f>
        <v/>
      </c>
      <c r="AX129" s="109" t="str">
        <f>IF(OR($AS130="Y",$AS131="Y",$AS132="Y"),"",COUNTIFS($E130,"RPX-T",$E135,"Y"))</f>
        <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0</v>
      </c>
      <c r="J130" s="288" t="s">
        <v>231</v>
      </c>
      <c r="K130" s="289"/>
      <c r="L130" s="34">
        <f>I134</f>
        <v>217</v>
      </c>
      <c r="M130" s="196">
        <v>4</v>
      </c>
      <c r="N130" s="35">
        <f>SUM(AI130,AI141)</f>
        <v>0</v>
      </c>
      <c r="O130" s="35">
        <v>0</v>
      </c>
      <c r="P130" s="35">
        <f>SUM(AJ130,AJ141)</f>
        <v>0</v>
      </c>
      <c r="Q130" s="35">
        <v>0</v>
      </c>
      <c r="R130" s="35">
        <f>COUNTIFS($E140:$E164,"4",$F140:$F164,"Pole",$C140:$C164,"FST")</f>
        <v>0</v>
      </c>
      <c r="S130" s="35">
        <f>SUM(AL130,AK141)</f>
        <v>0</v>
      </c>
      <c r="T130" s="35">
        <v>0</v>
      </c>
      <c r="U130" s="35">
        <f>SUM(AK130,AL141)</f>
        <v>12</v>
      </c>
      <c r="V130" s="35">
        <v>0</v>
      </c>
      <c r="W130" s="34">
        <f>COUNTIFS($E140:$E164,"4",$F140:$F164,"HH",$C140:$C164,"FST")</f>
        <v>12</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12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290" t="s">
        <v>237</v>
      </c>
      <c r="H131" s="291"/>
      <c r="I131" s="35">
        <f>IF(E131=0,0,12-(MOD(I129,12)))</f>
        <v>12</v>
      </c>
      <c r="J131" s="288" t="s">
        <v>238</v>
      </c>
      <c r="K131" s="289"/>
      <c r="L131" s="39">
        <f>I135-I129</f>
        <v>216</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0" t="s">
        <v>242</v>
      </c>
      <c r="H132" s="43" t="s">
        <v>243</v>
      </c>
      <c r="I132" s="35">
        <f>IF(E132&lt;&gt;0,1,0)</f>
        <v>0</v>
      </c>
      <c r="J132" s="290" t="s">
        <v>244</v>
      </c>
      <c r="K132" s="291"/>
      <c r="L132" s="44">
        <f>'Cable Calculator'!S3</f>
        <v>1594</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Y</v>
      </c>
      <c r="AT132" s="110" t="s">
        <v>245</v>
      </c>
      <c r="AU132" s="109">
        <f>COUNTIFS($E130,"SS",$AS132,"Y")</f>
        <v>0</v>
      </c>
      <c r="AV132" s="108">
        <f>COUNTIFS($E130,"RPX",$AS132,"Y")</f>
        <v>0</v>
      </c>
      <c r="AW132" s="108">
        <f>COUNTIFS($E130,"EUC",$AS132,"Y")</f>
        <v>1</v>
      </c>
      <c r="AX132" s="109">
        <f>COUNTIFS($E130,"RPX-T",$AS132,"Y")</f>
        <v>0</v>
      </c>
      <c r="BA132" s="227"/>
    </row>
    <row r="133" spans="1:53" ht="16.5" thickTop="1" thickBot="1" x14ac:dyDescent="0.3">
      <c r="A133" s="88"/>
      <c r="B133" s="29" t="s">
        <v>246</v>
      </c>
      <c r="C133" s="37">
        <v>0</v>
      </c>
      <c r="D133" s="41" t="s">
        <v>247</v>
      </c>
      <c r="E133" s="42">
        <v>217</v>
      </c>
      <c r="F133" s="88"/>
      <c r="G133" s="321"/>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4</v>
      </c>
      <c r="F134" s="88"/>
      <c r="G134" s="320" t="s">
        <v>251</v>
      </c>
      <c r="H134" s="51" t="s">
        <v>252</v>
      </c>
      <c r="I134" s="112">
        <f>E133</f>
        <v>217</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264</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48</v>
      </c>
      <c r="D136" s="31" t="s">
        <v>259</v>
      </c>
      <c r="E136" s="101" t="str">
        <f>IF(AS130="Y","DBL",IF(AS131="Y","TRPL",IF(AS132="Y","QUAD","")))</f>
        <v>QUAD</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746</v>
      </c>
      <c r="E140" s="32">
        <v>4</v>
      </c>
      <c r="F140" s="32" t="s">
        <v>488</v>
      </c>
      <c r="G140" s="68" t="s">
        <v>277</v>
      </c>
      <c r="H140" s="69">
        <f>IF(I140=0,0,I140-(E140-1))</f>
        <v>261</v>
      </c>
      <c r="I140" s="70">
        <f>IF(E140=0,0,I135)</f>
        <v>264</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261-264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747</v>
      </c>
      <c r="E141" s="32">
        <v>4</v>
      </c>
      <c r="F141" s="32" t="s">
        <v>488</v>
      </c>
      <c r="G141" s="68" t="s">
        <v>277</v>
      </c>
      <c r="H141" s="69">
        <f t="shared" ref="H141:H164" si="60">IF(E141=0,0,I141-(E141-1))</f>
        <v>257</v>
      </c>
      <c r="I141" s="70">
        <f t="shared" ref="I141:I164" si="61">IF(E141=0,0,H140-1)</f>
        <v>260</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257-260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748</v>
      </c>
      <c r="E142" s="32">
        <v>4</v>
      </c>
      <c r="F142" s="32" t="s">
        <v>488</v>
      </c>
      <c r="G142" s="75" t="s">
        <v>277</v>
      </c>
      <c r="H142" s="69">
        <f t="shared" si="60"/>
        <v>253</v>
      </c>
      <c r="I142" s="70">
        <f t="shared" si="61"/>
        <v>256</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253-256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4</v>
      </c>
    </row>
    <row r="143" spans="1:53" ht="15.75" thickBot="1" x14ac:dyDescent="0.3">
      <c r="A143" s="88"/>
      <c r="B143" s="66" t="s">
        <v>281</v>
      </c>
      <c r="C143" s="67" t="s">
        <v>484</v>
      </c>
      <c r="D143" s="102" t="s">
        <v>749</v>
      </c>
      <c r="E143" s="32">
        <v>4</v>
      </c>
      <c r="F143" s="32" t="s">
        <v>488</v>
      </c>
      <c r="G143" s="68" t="s">
        <v>277</v>
      </c>
      <c r="H143" s="69">
        <f t="shared" si="60"/>
        <v>249</v>
      </c>
      <c r="I143" s="70">
        <f t="shared" si="61"/>
        <v>252</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0</v>
      </c>
      <c r="AE143" s="109" t="str">
        <f t="shared" si="53"/>
        <v>249-252</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8</v>
      </c>
    </row>
    <row r="144" spans="1:53" ht="15.75" thickBot="1" x14ac:dyDescent="0.3">
      <c r="A144" s="88"/>
      <c r="B144" s="66" t="s">
        <v>282</v>
      </c>
      <c r="C144" s="67" t="s">
        <v>484</v>
      </c>
      <c r="D144" s="102" t="s">
        <v>750</v>
      </c>
      <c r="E144" s="32">
        <v>4</v>
      </c>
      <c r="F144" s="32" t="s">
        <v>488</v>
      </c>
      <c r="G144" s="68" t="s">
        <v>277</v>
      </c>
      <c r="H144" s="69">
        <f t="shared" si="60"/>
        <v>245</v>
      </c>
      <c r="I144" s="70">
        <f t="shared" si="61"/>
        <v>248</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245-248</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t="s">
        <v>484</v>
      </c>
      <c r="D145" s="102" t="s">
        <v>751</v>
      </c>
      <c r="E145" s="32">
        <v>4</v>
      </c>
      <c r="F145" s="32" t="s">
        <v>488</v>
      </c>
      <c r="G145" s="68" t="s">
        <v>277</v>
      </c>
      <c r="H145" s="69">
        <f t="shared" si="60"/>
        <v>241</v>
      </c>
      <c r="I145" s="70">
        <f t="shared" si="61"/>
        <v>244</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0</v>
      </c>
      <c r="AE145" s="109" t="str">
        <f t="shared" si="53"/>
        <v>241-244</v>
      </c>
      <c r="AF145" s="109" t="str">
        <f t="shared" si="54"/>
        <v>Y</v>
      </c>
      <c r="AG145" s="109" t="str">
        <f t="shared" si="55"/>
        <v>B</v>
      </c>
      <c r="AM145" s="109">
        <f t="shared" si="56"/>
        <v>0</v>
      </c>
      <c r="AN145" s="109">
        <f t="shared" si="57"/>
        <v>0</v>
      </c>
      <c r="AO145" s="109" t="str">
        <f t="shared" si="58"/>
        <v/>
      </c>
      <c r="AQ145" s="109" t="str">
        <f t="shared" si="59"/>
        <v/>
      </c>
      <c r="BA145" s="229">
        <f>MOD(SUM(E140:E146),12)</f>
        <v>4</v>
      </c>
    </row>
    <row r="146" spans="1:53" ht="15.75" thickBot="1" x14ac:dyDescent="0.3">
      <c r="A146" s="88"/>
      <c r="B146" s="66" t="s">
        <v>284</v>
      </c>
      <c r="C146" s="67" t="s">
        <v>484</v>
      </c>
      <c r="D146" s="102" t="s">
        <v>752</v>
      </c>
      <c r="E146" s="32">
        <v>4</v>
      </c>
      <c r="F146" s="32" t="s">
        <v>488</v>
      </c>
      <c r="G146" s="68" t="s">
        <v>277</v>
      </c>
      <c r="H146" s="69">
        <f t="shared" si="60"/>
        <v>237</v>
      </c>
      <c r="I146" s="70">
        <f t="shared" si="61"/>
        <v>240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0</v>
      </c>
      <c r="AE146" s="109" t="str">
        <f t="shared" si="53"/>
        <v>237-240</v>
      </c>
      <c r="AF146" s="109" t="str">
        <f t="shared" si="54"/>
        <v>Y</v>
      </c>
      <c r="AG146" s="109" t="str">
        <f t="shared" si="55"/>
        <v>B</v>
      </c>
      <c r="AM146" s="109">
        <f t="shared" si="56"/>
        <v>0</v>
      </c>
      <c r="AN146" s="109">
        <f t="shared" si="57"/>
        <v>0</v>
      </c>
      <c r="AO146" s="109" t="str">
        <f t="shared" si="58"/>
        <v/>
      </c>
      <c r="AQ146" s="109" t="str">
        <f t="shared" si="59"/>
        <v/>
      </c>
      <c r="BA146" s="229">
        <f>MOD(SUM(E140:E147),12)</f>
        <v>8</v>
      </c>
    </row>
    <row r="147" spans="1:53" ht="15.75" thickBot="1" x14ac:dyDescent="0.3">
      <c r="A147" s="88"/>
      <c r="B147" s="66" t="s">
        <v>285</v>
      </c>
      <c r="C147" s="67" t="s">
        <v>484</v>
      </c>
      <c r="D147" s="102" t="s">
        <v>753</v>
      </c>
      <c r="E147" s="32">
        <v>4</v>
      </c>
      <c r="F147" s="32" t="s">
        <v>488</v>
      </c>
      <c r="G147" s="68" t="s">
        <v>277</v>
      </c>
      <c r="H147" s="69">
        <f t="shared" si="60"/>
        <v>233</v>
      </c>
      <c r="I147" s="70">
        <f t="shared" si="61"/>
        <v>236</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0</v>
      </c>
      <c r="AE147" s="109" t="str">
        <f t="shared" si="53"/>
        <v>233-236</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t="s">
        <v>484</v>
      </c>
      <c r="D148" s="102" t="s">
        <v>754</v>
      </c>
      <c r="E148" s="32">
        <v>4</v>
      </c>
      <c r="F148" s="32" t="s">
        <v>488</v>
      </c>
      <c r="G148" s="68" t="s">
        <v>277</v>
      </c>
      <c r="H148" s="69">
        <f t="shared" si="60"/>
        <v>229</v>
      </c>
      <c r="I148" s="70">
        <f t="shared" si="61"/>
        <v>232</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0</v>
      </c>
      <c r="AE148" s="109" t="str">
        <f t="shared" si="53"/>
        <v>229-232</v>
      </c>
      <c r="AF148" s="109" t="str">
        <f t="shared" si="54"/>
        <v>Y</v>
      </c>
      <c r="AG148" s="109" t="str">
        <f t="shared" si="55"/>
        <v>B</v>
      </c>
      <c r="AM148" s="109">
        <f t="shared" si="56"/>
        <v>0</v>
      </c>
      <c r="AN148" s="109">
        <f t="shared" si="57"/>
        <v>0</v>
      </c>
      <c r="AO148" s="109" t="str">
        <f t="shared" si="58"/>
        <v/>
      </c>
      <c r="AQ148" s="109" t="str">
        <f t="shared" si="59"/>
        <v/>
      </c>
      <c r="BA148" s="229">
        <f>MOD(SUM(E140:E149),12)</f>
        <v>4</v>
      </c>
    </row>
    <row r="149" spans="1:53" ht="15.75" thickBot="1" x14ac:dyDescent="0.3">
      <c r="A149" s="88"/>
      <c r="B149" s="66" t="s">
        <v>287</v>
      </c>
      <c r="C149" s="67" t="s">
        <v>484</v>
      </c>
      <c r="D149" s="102" t="s">
        <v>755</v>
      </c>
      <c r="E149" s="32">
        <v>4</v>
      </c>
      <c r="F149" s="32" t="s">
        <v>488</v>
      </c>
      <c r="G149" s="68" t="s">
        <v>277</v>
      </c>
      <c r="H149" s="69">
        <f t="shared" si="60"/>
        <v>225</v>
      </c>
      <c r="I149" s="70">
        <f t="shared" si="61"/>
        <v>228</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0</v>
      </c>
      <c r="AE149" s="109" t="str">
        <f t="shared" si="53"/>
        <v>225-228</v>
      </c>
      <c r="AF149" s="109" t="str">
        <f t="shared" si="54"/>
        <v>Y</v>
      </c>
      <c r="AG149" s="109" t="str">
        <f t="shared" si="55"/>
        <v>B</v>
      </c>
      <c r="AM149" s="109">
        <f t="shared" si="56"/>
        <v>0</v>
      </c>
      <c r="AN149" s="109">
        <f t="shared" si="57"/>
        <v>0</v>
      </c>
      <c r="AO149" s="109" t="str">
        <f t="shared" si="58"/>
        <v/>
      </c>
      <c r="AQ149" s="109" t="str">
        <f t="shared" si="59"/>
        <v/>
      </c>
      <c r="BA149" s="229">
        <f>MOD(SUM(E140:E150),12)</f>
        <v>8</v>
      </c>
    </row>
    <row r="150" spans="1:53" ht="15.75" thickBot="1" x14ac:dyDescent="0.3">
      <c r="A150" s="88"/>
      <c r="B150" s="66" t="s">
        <v>288</v>
      </c>
      <c r="C150" s="67" t="s">
        <v>484</v>
      </c>
      <c r="D150" s="102" t="s">
        <v>756</v>
      </c>
      <c r="E150" s="32">
        <v>4</v>
      </c>
      <c r="F150" s="32" t="s">
        <v>488</v>
      </c>
      <c r="G150" s="68" t="s">
        <v>277</v>
      </c>
      <c r="H150" s="69">
        <f t="shared" si="60"/>
        <v>221</v>
      </c>
      <c r="I150" s="70">
        <f t="shared" si="61"/>
        <v>224</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0</v>
      </c>
      <c r="AE150" s="109" t="str">
        <f t="shared" si="53"/>
        <v>221-224</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t="s">
        <v>484</v>
      </c>
      <c r="D151" s="102" t="s">
        <v>757</v>
      </c>
      <c r="E151" s="32">
        <v>4</v>
      </c>
      <c r="F151" s="32" t="s">
        <v>488</v>
      </c>
      <c r="G151" s="68" t="s">
        <v>277</v>
      </c>
      <c r="H151" s="69">
        <f t="shared" si="60"/>
        <v>217</v>
      </c>
      <c r="I151" s="70">
        <f t="shared" si="61"/>
        <v>220</v>
      </c>
      <c r="J151" s="73" t="str">
        <f t="shared" si="62"/>
        <v>--</v>
      </c>
      <c r="K151" s="32"/>
      <c r="L151" s="233"/>
      <c r="M151" s="277"/>
      <c r="N151" s="277"/>
      <c r="O151" s="277"/>
      <c r="P151" s="277"/>
      <c r="Q151" s="277"/>
      <c r="R151" s="277"/>
      <c r="S151" s="277"/>
      <c r="T151" s="277"/>
      <c r="U151" s="278"/>
      <c r="V151" s="103"/>
      <c r="W151" s="84">
        <f>Y151+1</f>
        <v>49</v>
      </c>
      <c r="X151" s="84"/>
      <c r="Y151" s="78">
        <f>SUM(E140:E151)</f>
        <v>48</v>
      </c>
      <c r="Z151" s="72"/>
      <c r="AA151" s="72"/>
      <c r="AB151" s="72"/>
      <c r="AC151" s="72">
        <f t="shared" si="51"/>
        <v>1</v>
      </c>
      <c r="AD151" s="72">
        <f t="shared" si="52"/>
        <v>0</v>
      </c>
      <c r="AE151" s="109" t="str">
        <f t="shared" si="53"/>
        <v>217-220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49</v>
      </c>
      <c r="X152" s="84"/>
      <c r="Y152" s="78">
        <f>SUM(E140:E152)</f>
        <v>48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49</v>
      </c>
      <c r="X153" s="84"/>
      <c r="Y153" s="78">
        <f>SUM(E140:E153)</f>
        <v>48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49</v>
      </c>
      <c r="X154" s="84"/>
      <c r="Y154" s="78">
        <f>SUM(E140:E154)</f>
        <v>48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49</v>
      </c>
      <c r="X155" s="84"/>
      <c r="Y155" s="78">
        <f>SUM(E140:E155)</f>
        <v>48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49</v>
      </c>
      <c r="X156" s="84"/>
      <c r="Y156" s="78">
        <f>SUM(E140:E156)</f>
        <v>48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49</v>
      </c>
      <c r="X157" s="84"/>
      <c r="Y157" s="78">
        <f>SUM(E140:E157)</f>
        <v>48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49</v>
      </c>
      <c r="X158" s="84"/>
      <c r="Y158" s="78">
        <f>SUM(E140:E158)</f>
        <v>48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49</v>
      </c>
      <c r="X159" s="84"/>
      <c r="Y159" s="78">
        <f>SUM(E140:E159)</f>
        <v>48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49</v>
      </c>
      <c r="X160" s="84"/>
      <c r="Y160" s="78">
        <f>SUM(E140:E160)</f>
        <v>48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49</v>
      </c>
      <c r="X161" s="84"/>
      <c r="Y161" s="78">
        <f>SUM(E140:E161)</f>
        <v>48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49</v>
      </c>
      <c r="X162" s="84"/>
      <c r="Y162" s="78">
        <f>SUM(E140:E162)</f>
        <v>48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49</v>
      </c>
      <c r="X163" s="84"/>
      <c r="Y163" s="78">
        <f>SUM(E140:E163)</f>
        <v>48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48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13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48</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0</v>
      </c>
      <c r="J171" s="288" t="s">
        <v>231</v>
      </c>
      <c r="K171" s="289"/>
      <c r="L171" s="34">
        <f>I175</f>
        <v>157</v>
      </c>
      <c r="M171" s="196">
        <v>4</v>
      </c>
      <c r="N171" s="35">
        <f>SUM(AI171,AI182)</f>
        <v>0</v>
      </c>
      <c r="O171" s="35">
        <v>0</v>
      </c>
      <c r="P171" s="35">
        <f>SUM(AJ171,AJ182)</f>
        <v>0</v>
      </c>
      <c r="Q171" s="35">
        <v>0</v>
      </c>
      <c r="R171" s="35">
        <f>COUNTIFS($E181:$E205,"4",$F181:$F205,"Pole",$C181:$C205,"FST")</f>
        <v>0</v>
      </c>
      <c r="S171" s="35">
        <f>SUM(AL171,AK182)</f>
        <v>0</v>
      </c>
      <c r="T171" s="35">
        <v>0</v>
      </c>
      <c r="U171" s="35">
        <f>SUM(AK171,AL182)</f>
        <v>10</v>
      </c>
      <c r="V171" s="35">
        <v>0</v>
      </c>
      <c r="W171" s="34">
        <f>COUNTIFS($E181:$E205,"4",$F181:$F205,"HH",$C181:$C205,"FST")</f>
        <v>10</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10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48</v>
      </c>
      <c r="F172" s="88"/>
      <c r="G172" s="290" t="s">
        <v>237</v>
      </c>
      <c r="H172" s="291"/>
      <c r="I172" s="35">
        <f>IF(E172=0,0,12-(MOD(I170,12)))</f>
        <v>12</v>
      </c>
      <c r="J172" s="288" t="s">
        <v>238</v>
      </c>
      <c r="K172" s="289"/>
      <c r="L172" s="39">
        <f>I176-I170</f>
        <v>156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0" t="s">
        <v>242</v>
      </c>
      <c r="H173" s="43" t="s">
        <v>243</v>
      </c>
      <c r="I173" s="35">
        <f>IF(E173&lt;&gt;0,1,0)</f>
        <v>0</v>
      </c>
      <c r="J173" s="290" t="s">
        <v>244</v>
      </c>
      <c r="K173" s="291"/>
      <c r="L173" s="44">
        <f>'Cable Calculator'!X3</f>
        <v>1552</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Y</v>
      </c>
      <c r="AT173" s="110" t="s">
        <v>245</v>
      </c>
      <c r="AU173" s="109">
        <f>COUNTIFS($E171,"SS",$AS173,"Y")</f>
        <v>0</v>
      </c>
      <c r="AV173" s="108">
        <f>COUNTIFS($E171,"RPX",$AS173,"Y")</f>
        <v>0</v>
      </c>
      <c r="AW173" s="108">
        <f>COUNTIFS($E171,"EUC",$AS173,"Y")</f>
        <v>1</v>
      </c>
      <c r="AX173" s="109">
        <f>COUNTIFS($E171,"RPX-T",$AS173,"Y")</f>
        <v>0</v>
      </c>
      <c r="BA173" s="227"/>
    </row>
    <row r="174" spans="1:53" ht="16.5" thickTop="1" thickBot="1" x14ac:dyDescent="0.3">
      <c r="A174" s="88"/>
      <c r="B174" s="29" t="s">
        <v>246</v>
      </c>
      <c r="C174" s="37">
        <v>0</v>
      </c>
      <c r="D174" s="41" t="s">
        <v>247</v>
      </c>
      <c r="E174" s="42">
        <v>157</v>
      </c>
      <c r="F174" s="88"/>
      <c r="G174" s="321"/>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4</v>
      </c>
      <c r="F175" s="88"/>
      <c r="G175" s="320" t="s">
        <v>251</v>
      </c>
      <c r="H175" s="51" t="s">
        <v>252</v>
      </c>
      <c r="I175" s="112">
        <f>E174</f>
        <v>157</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1"/>
      <c r="H176" s="47" t="s">
        <v>257</v>
      </c>
      <c r="I176" s="35">
        <f>IF(E174="","0",IF(AND(E171="EUC",E172=432), I175+(203-E173),IF(E174=0,0,(E174+(E172-E173)-1))))</f>
        <v>204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48</v>
      </c>
      <c r="D177" s="31" t="s">
        <v>259</v>
      </c>
      <c r="E177" s="101" t="str">
        <f>IF(AS171="Y","DBL",IF(AS172="Y","TRPL",IF(AS173="Y","QUAD","")))</f>
        <v>QUAD</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800</v>
      </c>
      <c r="E181" s="32">
        <v>4</v>
      </c>
      <c r="F181" s="32" t="s">
        <v>488</v>
      </c>
      <c r="G181" s="68" t="s">
        <v>277</v>
      </c>
      <c r="H181" s="69">
        <f>IF(I181=0,0,I181-(E181-1))</f>
        <v>201</v>
      </c>
      <c r="I181" s="70">
        <f>IF(E181=0,0,I176)</f>
        <v>204</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201-204</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758</v>
      </c>
      <c r="E182" s="32">
        <v>4</v>
      </c>
      <c r="F182" s="32" t="s">
        <v>488</v>
      </c>
      <c r="G182" s="68" t="s">
        <v>277</v>
      </c>
      <c r="H182" s="69">
        <f t="shared" ref="H182:H205" si="77">IF(E182=0,0,I182-(E182-1))</f>
        <v>197</v>
      </c>
      <c r="I182" s="70">
        <f t="shared" ref="I182:I205" si="78">IF(E182=0,0,H181-1)</f>
        <v>200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197-200</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759</v>
      </c>
      <c r="E183" s="32">
        <v>4</v>
      </c>
      <c r="F183" s="32" t="s">
        <v>488</v>
      </c>
      <c r="G183" s="75" t="s">
        <v>277</v>
      </c>
      <c r="H183" s="69">
        <f t="shared" si="77"/>
        <v>193</v>
      </c>
      <c r="I183" s="70">
        <f t="shared" si="78"/>
        <v>196</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193-196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4</v>
      </c>
    </row>
    <row r="184" spans="1:53" ht="15.75" thickBot="1" x14ac:dyDescent="0.3">
      <c r="A184" s="88"/>
      <c r="B184" s="66" t="s">
        <v>281</v>
      </c>
      <c r="C184" s="67" t="s">
        <v>484</v>
      </c>
      <c r="D184" s="102" t="s">
        <v>760</v>
      </c>
      <c r="E184" s="32">
        <v>4</v>
      </c>
      <c r="F184" s="32" t="s">
        <v>488</v>
      </c>
      <c r="G184" s="68" t="s">
        <v>277</v>
      </c>
      <c r="H184" s="69">
        <f t="shared" si="77"/>
        <v>189</v>
      </c>
      <c r="I184" s="70">
        <f t="shared" si="78"/>
        <v>192</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0</v>
      </c>
      <c r="AE184" s="109" t="str">
        <f t="shared" si="70"/>
        <v>189-192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8</v>
      </c>
    </row>
    <row r="185" spans="1:53" ht="15.75" thickBot="1" x14ac:dyDescent="0.3">
      <c r="A185" s="88"/>
      <c r="B185" s="66" t="s">
        <v>282</v>
      </c>
      <c r="C185" s="67" t="s">
        <v>484</v>
      </c>
      <c r="D185" s="102" t="s">
        <v>761</v>
      </c>
      <c r="E185" s="32">
        <v>4</v>
      </c>
      <c r="F185" s="32" t="s">
        <v>488</v>
      </c>
      <c r="G185" s="68" t="s">
        <v>277</v>
      </c>
      <c r="H185" s="69">
        <f t="shared" si="77"/>
        <v>185</v>
      </c>
      <c r="I185" s="70">
        <f t="shared" si="78"/>
        <v>188</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185-188</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t="s">
        <v>484</v>
      </c>
      <c r="D186" s="102" t="s">
        <v>762</v>
      </c>
      <c r="E186" s="32">
        <v>4</v>
      </c>
      <c r="F186" s="32" t="s">
        <v>488</v>
      </c>
      <c r="G186" s="68" t="s">
        <v>277</v>
      </c>
      <c r="H186" s="69">
        <f t="shared" si="77"/>
        <v>181</v>
      </c>
      <c r="I186" s="70">
        <f t="shared" si="78"/>
        <v>184</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0</v>
      </c>
      <c r="AE186" s="109" t="str">
        <f t="shared" si="70"/>
        <v>181-184</v>
      </c>
      <c r="AF186" s="109" t="str">
        <f t="shared" si="71"/>
        <v>Y</v>
      </c>
      <c r="AG186" s="109" t="str">
        <f t="shared" si="72"/>
        <v>B</v>
      </c>
      <c r="AM186" s="109">
        <f t="shared" si="73"/>
        <v>0</v>
      </c>
      <c r="AN186" s="109">
        <f t="shared" si="74"/>
        <v>0</v>
      </c>
      <c r="AO186" s="109" t="str">
        <f t="shared" si="75"/>
        <v/>
      </c>
      <c r="AQ186" s="109" t="str">
        <f t="shared" si="76"/>
        <v/>
      </c>
      <c r="BA186" s="229">
        <f>MOD(SUM(E181:E187),12)</f>
        <v>4</v>
      </c>
    </row>
    <row r="187" spans="1:53" ht="15.75" thickBot="1" x14ac:dyDescent="0.3">
      <c r="A187" s="88"/>
      <c r="B187" s="66" t="s">
        <v>284</v>
      </c>
      <c r="C187" s="67" t="s">
        <v>484</v>
      </c>
      <c r="D187" s="102" t="s">
        <v>763</v>
      </c>
      <c r="E187" s="32">
        <v>4</v>
      </c>
      <c r="F187" s="32" t="s">
        <v>488</v>
      </c>
      <c r="G187" s="68" t="s">
        <v>277</v>
      </c>
      <c r="H187" s="69">
        <f t="shared" si="77"/>
        <v>177</v>
      </c>
      <c r="I187" s="70">
        <f t="shared" si="78"/>
        <v>180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0</v>
      </c>
      <c r="AE187" s="109" t="str">
        <f t="shared" si="70"/>
        <v>177-180</v>
      </c>
      <c r="AF187" s="109" t="str">
        <f t="shared" si="71"/>
        <v>Y</v>
      </c>
      <c r="AG187" s="109" t="str">
        <f t="shared" si="72"/>
        <v>B</v>
      </c>
      <c r="AM187" s="109">
        <f t="shared" si="73"/>
        <v>0</v>
      </c>
      <c r="AN187" s="109">
        <f t="shared" si="74"/>
        <v>0</v>
      </c>
      <c r="AO187" s="109" t="str">
        <f t="shared" si="75"/>
        <v/>
      </c>
      <c r="AQ187" s="109" t="str">
        <f t="shared" si="76"/>
        <v/>
      </c>
      <c r="BA187" s="229">
        <f>MOD(SUM(E181:E188),12)</f>
        <v>8</v>
      </c>
    </row>
    <row r="188" spans="1:53" ht="15.75" thickBot="1" x14ac:dyDescent="0.3">
      <c r="A188" s="88"/>
      <c r="B188" s="66" t="s">
        <v>285</v>
      </c>
      <c r="C188" s="67" t="s">
        <v>484</v>
      </c>
      <c r="D188" s="102" t="s">
        <v>764</v>
      </c>
      <c r="E188" s="32">
        <v>4</v>
      </c>
      <c r="F188" s="32" t="s">
        <v>488</v>
      </c>
      <c r="G188" s="68" t="s">
        <v>277</v>
      </c>
      <c r="H188" s="69">
        <f t="shared" si="77"/>
        <v>173</v>
      </c>
      <c r="I188" s="70">
        <f t="shared" si="78"/>
        <v>176</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0</v>
      </c>
      <c r="AE188" s="109" t="str">
        <f t="shared" si="70"/>
        <v>173-176</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t="s">
        <v>484</v>
      </c>
      <c r="D189" s="102" t="s">
        <v>765</v>
      </c>
      <c r="E189" s="32">
        <v>4</v>
      </c>
      <c r="F189" s="32" t="s">
        <v>488</v>
      </c>
      <c r="G189" s="68" t="s">
        <v>277</v>
      </c>
      <c r="H189" s="69">
        <f t="shared" si="77"/>
        <v>169</v>
      </c>
      <c r="I189" s="70">
        <f t="shared" si="78"/>
        <v>172</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0</v>
      </c>
      <c r="AE189" s="109" t="str">
        <f t="shared" si="70"/>
        <v>169-172</v>
      </c>
      <c r="AF189" s="109" t="str">
        <f t="shared" si="71"/>
        <v>Y</v>
      </c>
      <c r="AG189" s="109" t="str">
        <f t="shared" si="72"/>
        <v>B</v>
      </c>
      <c r="AM189" s="109">
        <f t="shared" si="73"/>
        <v>0</v>
      </c>
      <c r="AN189" s="109">
        <f t="shared" si="74"/>
        <v>0</v>
      </c>
      <c r="AO189" s="109" t="str">
        <f t="shared" si="75"/>
        <v/>
      </c>
      <c r="AQ189" s="109" t="str">
        <f t="shared" si="76"/>
        <v/>
      </c>
      <c r="BA189" s="229">
        <f>MOD(SUM(E181:E190),12)</f>
        <v>4</v>
      </c>
    </row>
    <row r="190" spans="1:53" ht="15.75" thickBot="1" x14ac:dyDescent="0.3">
      <c r="A190" s="88"/>
      <c r="B190" s="66" t="s">
        <v>287</v>
      </c>
      <c r="C190" s="67" t="s">
        <v>484</v>
      </c>
      <c r="D190" s="102" t="s">
        <v>766</v>
      </c>
      <c r="E190" s="32">
        <v>4</v>
      </c>
      <c r="F190" s="32" t="s">
        <v>488</v>
      </c>
      <c r="G190" s="68" t="s">
        <v>277</v>
      </c>
      <c r="H190" s="69">
        <f t="shared" si="77"/>
        <v>165</v>
      </c>
      <c r="I190" s="70">
        <f t="shared" si="78"/>
        <v>168</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0</v>
      </c>
      <c r="AE190" s="109" t="str">
        <f t="shared" si="70"/>
        <v>165-168</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t="s">
        <v>484</v>
      </c>
      <c r="D191" s="102" t="s">
        <v>767</v>
      </c>
      <c r="E191" s="32">
        <v>8</v>
      </c>
      <c r="F191" s="32" t="s">
        <v>488</v>
      </c>
      <c r="G191" s="68" t="s">
        <v>277</v>
      </c>
      <c r="H191" s="69">
        <f t="shared" si="77"/>
        <v>157</v>
      </c>
      <c r="I191" s="70">
        <f t="shared" si="78"/>
        <v>164</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0</v>
      </c>
      <c r="AE191" s="109" t="str">
        <f t="shared" si="70"/>
        <v>157-164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49</v>
      </c>
      <c r="X192" s="84"/>
      <c r="Y192" s="78">
        <f>SUM(E181:E192)</f>
        <v>48</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49</v>
      </c>
      <c r="X193" s="84"/>
      <c r="Y193" s="78">
        <f>SUM(E181:E193)</f>
        <v>48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49</v>
      </c>
      <c r="X194" s="84"/>
      <c r="Y194" s="78">
        <f>SUM(E181:E194)</f>
        <v>48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49</v>
      </c>
      <c r="X195" s="84"/>
      <c r="Y195" s="78">
        <f>SUM(E181:E195)</f>
        <v>48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49</v>
      </c>
      <c r="X196" s="84"/>
      <c r="Y196" s="78">
        <f>SUM(E181:E196)</f>
        <v>48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49</v>
      </c>
      <c r="X197" s="84"/>
      <c r="Y197" s="78">
        <f>SUM(E181:E197)</f>
        <v>48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49</v>
      </c>
      <c r="X198" s="84"/>
      <c r="Y198" s="78">
        <f>SUM(E181:E198)</f>
        <v>48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49</v>
      </c>
      <c r="X199" s="84"/>
      <c r="Y199" s="78">
        <f>SUM(E181:E199)</f>
        <v>48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49</v>
      </c>
      <c r="X200" s="84"/>
      <c r="Y200" s="78">
        <f>SUM(E181:E200)</f>
        <v>48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49</v>
      </c>
      <c r="X201" s="84"/>
      <c r="Y201" s="78">
        <f>SUM(E181:E201)</f>
        <v>48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49</v>
      </c>
      <c r="X202" s="84"/>
      <c r="Y202" s="78">
        <f>SUM(E181:E202)</f>
        <v>48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49</v>
      </c>
      <c r="X203" s="84"/>
      <c r="Y203" s="78">
        <f>SUM(E181:E203)</f>
        <v>48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49</v>
      </c>
      <c r="X204" s="84"/>
      <c r="Y204" s="78">
        <f>SUM(E181:E204)</f>
        <v>48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48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14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48</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304"/>
      <c r="I212" s="33">
        <f>E213-I211</f>
        <v>0</v>
      </c>
      <c r="J212" s="288" t="s">
        <v>231</v>
      </c>
      <c r="K212" s="289"/>
      <c r="L212" s="34">
        <f>I216</f>
        <v>109</v>
      </c>
      <c r="M212" s="196">
        <v>4</v>
      </c>
      <c r="N212" s="35">
        <f>SUM(AI212,AI223)</f>
        <v>0</v>
      </c>
      <c r="O212" s="35">
        <v>0</v>
      </c>
      <c r="P212" s="35">
        <f>SUM(AJ212,AJ223)</f>
        <v>0</v>
      </c>
      <c r="Q212" s="35">
        <v>0</v>
      </c>
      <c r="R212" s="35">
        <f>COUNTIFS($E222:$E246,"4",$F222:$F246,"Pole",$C222:$C246,"FST")</f>
        <v>0</v>
      </c>
      <c r="S212" s="35">
        <f>SUM(AL212,AK223)</f>
        <v>0</v>
      </c>
      <c r="T212" s="35">
        <v>0</v>
      </c>
      <c r="U212" s="35">
        <f>SUM(AK212,AL223)</f>
        <v>12</v>
      </c>
      <c r="V212" s="35">
        <v>0</v>
      </c>
      <c r="W212" s="34">
        <f>COUNTIFS($E222:$E246,"4",$F222:$F246,"HH",$C222:$C246,"FST")</f>
        <v>12</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f>IF($E212="EUC",COUNTIFS($C222:$C246,"FST",$E222:$E246,"4"),"0")</f>
        <v>12</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0" t="s">
        <v>237</v>
      </c>
      <c r="H213" s="291"/>
      <c r="I213" s="35">
        <f>IF(E213=0,0,12-(MOD(I211,12)))</f>
        <v>12</v>
      </c>
      <c r="J213" s="288" t="s">
        <v>238</v>
      </c>
      <c r="K213" s="289"/>
      <c r="L213" s="39">
        <f>I217-I211</f>
        <v>108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0</v>
      </c>
      <c r="F214" s="88"/>
      <c r="G214" s="320" t="s">
        <v>242</v>
      </c>
      <c r="H214" s="43" t="s">
        <v>243</v>
      </c>
      <c r="I214" s="35">
        <f>IF(E214&lt;&gt;0,1,0)</f>
        <v>0</v>
      </c>
      <c r="J214" s="290" t="s">
        <v>244</v>
      </c>
      <c r="K214" s="291"/>
      <c r="L214" s="44">
        <f>'Cable Calculator'!AC3</f>
        <v>1681</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Y</v>
      </c>
      <c r="AT214" s="110" t="s">
        <v>245</v>
      </c>
      <c r="AU214" s="109">
        <f>COUNTIFS($E212,"SS",$AS214,"Y")</f>
        <v>0</v>
      </c>
      <c r="AV214" s="108">
        <f>COUNTIFS($E212,"RPX",$AS214,"Y")</f>
        <v>0</v>
      </c>
      <c r="AW214" s="108">
        <f>COUNTIFS($E212,"EUC",$AS214,"Y")</f>
        <v>1</v>
      </c>
      <c r="AX214" s="109">
        <f>COUNTIFS($E212,"RPX-T",$AS214,"Y")</f>
        <v>0</v>
      </c>
      <c r="BA214" s="227"/>
    </row>
    <row r="215" spans="1:53" ht="16.5" thickTop="1" thickBot="1" x14ac:dyDescent="0.3">
      <c r="A215" s="88"/>
      <c r="B215" s="29" t="s">
        <v>246</v>
      </c>
      <c r="C215" s="37">
        <v>0</v>
      </c>
      <c r="D215" s="41" t="s">
        <v>247</v>
      </c>
      <c r="E215" s="42">
        <v>109</v>
      </c>
      <c r="F215" s="88"/>
      <c r="G215" s="321"/>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0" t="s">
        <v>251</v>
      </c>
      <c r="H216" s="51" t="s">
        <v>252</v>
      </c>
      <c r="I216" s="112">
        <f>E215</f>
        <v>109</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1"/>
      <c r="H217" s="47" t="s">
        <v>257</v>
      </c>
      <c r="I217" s="35">
        <f>IF(E215="","0",IF(AND(E212="EUC",E213=432), I216+(203-E214),IF(E215=0,0,(E215+(E213-E214)-1))))</f>
        <v>156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48</v>
      </c>
      <c r="D218" s="31" t="s">
        <v>259</v>
      </c>
      <c r="E218" s="101" t="str">
        <f>IF(AS212="Y","DBL",IF(AS213="Y","TRPL",IF(AS214="Y","QUAD","")))</f>
        <v>QUAD</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768</v>
      </c>
      <c r="E222" s="32">
        <v>4</v>
      </c>
      <c r="F222" s="32" t="s">
        <v>488</v>
      </c>
      <c r="G222" s="68" t="s">
        <v>277</v>
      </c>
      <c r="H222" s="69">
        <f>IF(I222=0,0,I222-(E222-1))</f>
        <v>153</v>
      </c>
      <c r="I222" s="70">
        <f>IF(E222=0,0,I217)</f>
        <v>156</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153-156</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769</v>
      </c>
      <c r="E223" s="32">
        <v>4</v>
      </c>
      <c r="F223" s="32" t="s">
        <v>488</v>
      </c>
      <c r="G223" s="68" t="s">
        <v>277</v>
      </c>
      <c r="H223" s="69">
        <f t="shared" ref="H223:H246" si="94">IF(E223=0,0,I223-(E223-1))</f>
        <v>149</v>
      </c>
      <c r="I223" s="70">
        <f t="shared" ref="I223:I246" si="95">IF(E223=0,0,H222-1)</f>
        <v>152</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149-152</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770</v>
      </c>
      <c r="E224" s="32">
        <v>4</v>
      </c>
      <c r="F224" s="32" t="s">
        <v>488</v>
      </c>
      <c r="G224" s="75" t="s">
        <v>277</v>
      </c>
      <c r="H224" s="69">
        <f t="shared" si="94"/>
        <v>145</v>
      </c>
      <c r="I224" s="70">
        <f t="shared" si="95"/>
        <v>148</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145-148</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771</v>
      </c>
      <c r="E225" s="32">
        <v>4</v>
      </c>
      <c r="F225" s="32" t="s">
        <v>488</v>
      </c>
      <c r="G225" s="68" t="s">
        <v>277</v>
      </c>
      <c r="H225" s="69">
        <f t="shared" si="94"/>
        <v>141</v>
      </c>
      <c r="I225" s="70">
        <f t="shared" si="95"/>
        <v>144</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0</v>
      </c>
      <c r="AE225" s="109" t="str">
        <f t="shared" si="87"/>
        <v>141-144</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772</v>
      </c>
      <c r="E226" s="32">
        <v>4</v>
      </c>
      <c r="F226" s="32" t="s">
        <v>488</v>
      </c>
      <c r="G226" s="68" t="s">
        <v>277</v>
      </c>
      <c r="H226" s="69">
        <f t="shared" si="94"/>
        <v>137</v>
      </c>
      <c r="I226" s="70">
        <f t="shared" si="95"/>
        <v>140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137-140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773</v>
      </c>
      <c r="E227" s="32">
        <v>4</v>
      </c>
      <c r="F227" s="32" t="s">
        <v>488</v>
      </c>
      <c r="G227" s="68" t="s">
        <v>277</v>
      </c>
      <c r="H227" s="69">
        <f t="shared" si="94"/>
        <v>133</v>
      </c>
      <c r="I227" s="70">
        <f t="shared" si="95"/>
        <v>136</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0</v>
      </c>
      <c r="AE227" s="109" t="str">
        <f t="shared" si="87"/>
        <v>133-136</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774</v>
      </c>
      <c r="E228" s="32">
        <v>4</v>
      </c>
      <c r="F228" s="32" t="s">
        <v>488</v>
      </c>
      <c r="G228" s="68" t="s">
        <v>277</v>
      </c>
      <c r="H228" s="69">
        <f t="shared" si="94"/>
        <v>129</v>
      </c>
      <c r="I228" s="70">
        <f t="shared" si="95"/>
        <v>132</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0</v>
      </c>
      <c r="AE228" s="109" t="str">
        <f t="shared" si="87"/>
        <v>129-132</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75" thickBot="1" x14ac:dyDescent="0.3">
      <c r="A229" s="88"/>
      <c r="B229" s="66" t="s">
        <v>285</v>
      </c>
      <c r="C229" s="67" t="s">
        <v>484</v>
      </c>
      <c r="D229" s="102" t="s">
        <v>775</v>
      </c>
      <c r="E229" s="32">
        <v>4</v>
      </c>
      <c r="F229" s="32" t="s">
        <v>488</v>
      </c>
      <c r="G229" s="68" t="s">
        <v>277</v>
      </c>
      <c r="H229" s="69">
        <f t="shared" si="94"/>
        <v>125</v>
      </c>
      <c r="I229" s="70">
        <f t="shared" si="95"/>
        <v>128</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0</v>
      </c>
      <c r="AE229" s="109" t="str">
        <f t="shared" si="87"/>
        <v>125-128</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484</v>
      </c>
      <c r="D230" s="102" t="s">
        <v>776</v>
      </c>
      <c r="E230" s="32">
        <v>4</v>
      </c>
      <c r="F230" s="32" t="s">
        <v>488</v>
      </c>
      <c r="G230" s="68" t="s">
        <v>277</v>
      </c>
      <c r="H230" s="69">
        <f t="shared" si="94"/>
        <v>121</v>
      </c>
      <c r="I230" s="70">
        <f t="shared" si="95"/>
        <v>124</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0</v>
      </c>
      <c r="AE230" s="109" t="str">
        <f t="shared" si="87"/>
        <v>121-124</v>
      </c>
      <c r="AF230" s="109" t="str">
        <f t="shared" si="88"/>
        <v>Y</v>
      </c>
      <c r="AG230" s="109" t="str">
        <f t="shared" si="89"/>
        <v>B</v>
      </c>
      <c r="AM230" s="109">
        <f t="shared" si="90"/>
        <v>0</v>
      </c>
      <c r="AN230" s="109">
        <f t="shared" si="91"/>
        <v>0</v>
      </c>
      <c r="AO230" s="109" t="str">
        <f t="shared" si="92"/>
        <v/>
      </c>
      <c r="AQ230" s="109" t="str">
        <f t="shared" si="93"/>
        <v/>
      </c>
      <c r="BA230" s="229">
        <f>MOD(SUM(E222:E231),12)</f>
        <v>4</v>
      </c>
    </row>
    <row r="231" spans="1:53" ht="15.75" thickBot="1" x14ac:dyDescent="0.3">
      <c r="A231" s="88"/>
      <c r="B231" s="66" t="s">
        <v>287</v>
      </c>
      <c r="C231" s="67" t="s">
        <v>484</v>
      </c>
      <c r="D231" s="102" t="s">
        <v>777</v>
      </c>
      <c r="E231" s="32">
        <v>4</v>
      </c>
      <c r="F231" s="32" t="s">
        <v>488</v>
      </c>
      <c r="G231" s="68" t="s">
        <v>277</v>
      </c>
      <c r="H231" s="69">
        <f t="shared" si="94"/>
        <v>117</v>
      </c>
      <c r="I231" s="70">
        <f t="shared" si="95"/>
        <v>120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0</v>
      </c>
      <c r="AE231" s="109" t="str">
        <f t="shared" si="87"/>
        <v>117-120</v>
      </c>
      <c r="AF231" s="109" t="str">
        <f t="shared" si="88"/>
        <v>Y</v>
      </c>
      <c r="AG231" s="109" t="str">
        <f t="shared" si="89"/>
        <v>B</v>
      </c>
      <c r="AM231" s="109">
        <f t="shared" si="90"/>
        <v>0</v>
      </c>
      <c r="AN231" s="109">
        <f t="shared" si="91"/>
        <v>0</v>
      </c>
      <c r="AO231" s="109" t="str">
        <f t="shared" si="92"/>
        <v/>
      </c>
      <c r="AQ231" s="109" t="str">
        <f t="shared" si="93"/>
        <v/>
      </c>
      <c r="BA231" s="229">
        <f>MOD(SUM(E222:E232),12)</f>
        <v>8</v>
      </c>
    </row>
    <row r="232" spans="1:53" ht="15.75" thickBot="1" x14ac:dyDescent="0.3">
      <c r="A232" s="88"/>
      <c r="B232" s="66" t="s">
        <v>288</v>
      </c>
      <c r="C232" s="67" t="s">
        <v>484</v>
      </c>
      <c r="D232" s="102" t="s">
        <v>778</v>
      </c>
      <c r="E232" s="32">
        <v>4</v>
      </c>
      <c r="F232" s="32" t="s">
        <v>488</v>
      </c>
      <c r="G232" s="68" t="s">
        <v>277</v>
      </c>
      <c r="H232" s="69">
        <f t="shared" si="94"/>
        <v>113</v>
      </c>
      <c r="I232" s="70">
        <f t="shared" si="95"/>
        <v>116</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0</v>
      </c>
      <c r="AE232" s="109" t="str">
        <f t="shared" si="87"/>
        <v>113-116</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t="s">
        <v>484</v>
      </c>
      <c r="D233" s="102" t="s">
        <v>779</v>
      </c>
      <c r="E233" s="32">
        <v>4</v>
      </c>
      <c r="F233" s="32" t="s">
        <v>488</v>
      </c>
      <c r="G233" s="68" t="s">
        <v>277</v>
      </c>
      <c r="H233" s="69">
        <f t="shared" si="94"/>
        <v>109</v>
      </c>
      <c r="I233" s="70">
        <f t="shared" si="95"/>
        <v>112</v>
      </c>
      <c r="J233" s="73" t="str">
        <f t="shared" si="96"/>
        <v>--</v>
      </c>
      <c r="K233" s="32"/>
      <c r="L233" s="233"/>
      <c r="M233" s="277"/>
      <c r="N233" s="277"/>
      <c r="O233" s="277"/>
      <c r="P233" s="277"/>
      <c r="Q233" s="277"/>
      <c r="R233" s="277"/>
      <c r="S233" s="277"/>
      <c r="T233" s="277"/>
      <c r="U233" s="278"/>
      <c r="V233" s="103"/>
      <c r="W233" s="84">
        <f>Y233+1</f>
        <v>49</v>
      </c>
      <c r="X233" s="84"/>
      <c r="Y233" s="78">
        <f>SUM(E222:E233)</f>
        <v>48</v>
      </c>
      <c r="Z233" s="72"/>
      <c r="AA233" s="72"/>
      <c r="AB233" s="72"/>
      <c r="AC233" s="72">
        <f t="shared" si="85"/>
        <v>1</v>
      </c>
      <c r="AD233" s="72">
        <f t="shared" si="86"/>
        <v>0</v>
      </c>
      <c r="AE233" s="109" t="str">
        <f t="shared" si="87"/>
        <v>109-112</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49</v>
      </c>
      <c r="X234" s="84"/>
      <c r="Y234" s="78">
        <f>SUM(E222:E234)</f>
        <v>48</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49</v>
      </c>
      <c r="X235" s="84"/>
      <c r="Y235" s="78">
        <f>SUM(E222:E235)</f>
        <v>48</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49</v>
      </c>
      <c r="X236" s="84"/>
      <c r="Y236" s="78">
        <f>SUM(E222:E236)</f>
        <v>48</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49</v>
      </c>
      <c r="X237" s="84"/>
      <c r="Y237" s="78">
        <f>SUM(E222:E237)</f>
        <v>48</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49</v>
      </c>
      <c r="X238" s="84"/>
      <c r="Y238" s="78">
        <f>SUM(E222:E238)</f>
        <v>48</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49</v>
      </c>
      <c r="X239" s="84"/>
      <c r="Y239" s="78">
        <f>SUM(E222:E239)</f>
        <v>48</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49</v>
      </c>
      <c r="X240" s="84"/>
      <c r="Y240" s="78">
        <f>SUM(E222:E240)</f>
        <v>48</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49</v>
      </c>
      <c r="X241" s="84"/>
      <c r="Y241" s="78">
        <f>SUM(E222:E241)</f>
        <v>48</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49</v>
      </c>
      <c r="X242" s="84"/>
      <c r="Y242" s="78">
        <f>SUM(E222:E242)</f>
        <v>48</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49</v>
      </c>
      <c r="X243" s="84"/>
      <c r="Y243" s="78">
        <f>SUM(E222:E243)</f>
        <v>48</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49</v>
      </c>
      <c r="X244" s="84"/>
      <c r="Y244" s="78">
        <f>SUM(E222:E244)</f>
        <v>48</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49</v>
      </c>
      <c r="X245" s="84"/>
      <c r="Y245" s="78">
        <f>SUM(E222:E245)</f>
        <v>48</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48</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13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72</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0</v>
      </c>
      <c r="J253" s="288" t="s">
        <v>231</v>
      </c>
      <c r="K253" s="289"/>
      <c r="L253" s="34">
        <f>I257</f>
        <v>313</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72</v>
      </c>
      <c r="F254" s="88"/>
      <c r="G254" s="290" t="s">
        <v>237</v>
      </c>
      <c r="H254" s="291"/>
      <c r="I254" s="35">
        <f>IF(E254=0,0,12-(MOD(I252,12)))</f>
        <v>12</v>
      </c>
      <c r="J254" s="288" t="s">
        <v>238</v>
      </c>
      <c r="K254" s="289"/>
      <c r="L254" s="39">
        <f>I258-I252</f>
        <v>312</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0" t="s">
        <v>242</v>
      </c>
      <c r="H255" s="43" t="s">
        <v>243</v>
      </c>
      <c r="I255" s="35">
        <f>IF(E255&lt;&gt;0,1,0)</f>
        <v>0</v>
      </c>
      <c r="J255" s="290" t="s">
        <v>244</v>
      </c>
      <c r="K255" s="291"/>
      <c r="L255" s="44">
        <f>'Cable Calculator'!AH3</f>
        <v>1169</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313</v>
      </c>
      <c r="F256" s="88"/>
      <c r="G256" s="32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4</v>
      </c>
      <c r="V256" s="35">
        <f>IF($E253="EUC",SUM($AN288,AP288,AR288),"0")</f>
        <v>2</v>
      </c>
      <c r="W256" s="34">
        <f>COUNTIFS($E263:$E287,"12",$F263:$F287,"HH",$C263:$C287,"FST")</f>
        <v>2</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2</v>
      </c>
      <c r="AL256" s="109" t="str">
        <f>IF($E253="RPX-T",COUNTIFS($C263:$C287,"FST",$E263:$E287,"12"),"0")</f>
        <v>0</v>
      </c>
      <c r="BA256" s="227"/>
    </row>
    <row r="257" spans="1:53" ht="16.5" customHeight="1" thickTop="1" thickBot="1" x14ac:dyDescent="0.3">
      <c r="A257" s="88"/>
      <c r="B257" s="36" t="s">
        <v>249</v>
      </c>
      <c r="C257" s="30">
        <v>0</v>
      </c>
      <c r="D257" s="49" t="s">
        <v>250</v>
      </c>
      <c r="E257" s="50">
        <f>E254/12</f>
        <v>6</v>
      </c>
      <c r="F257" s="88"/>
      <c r="G257" s="320" t="s">
        <v>251</v>
      </c>
      <c r="H257" s="51" t="s">
        <v>252</v>
      </c>
      <c r="I257" s="112">
        <f>E256</f>
        <v>313</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384</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72</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780</v>
      </c>
      <c r="E263" s="32">
        <v>12</v>
      </c>
      <c r="F263" s="32" t="s">
        <v>488</v>
      </c>
      <c r="G263" s="68" t="s">
        <v>277</v>
      </c>
      <c r="H263" s="69">
        <f>IF(I263=0,0,I263-(E263-1))</f>
        <v>373</v>
      </c>
      <c r="I263" s="70">
        <f>IF(E263=0,0,I258)</f>
        <v>384</v>
      </c>
      <c r="J263" s="71" t="s">
        <v>278</v>
      </c>
      <c r="K263" s="32"/>
      <c r="L263" s="233"/>
      <c r="M263" s="277" t="s">
        <v>782</v>
      </c>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373-384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781</v>
      </c>
      <c r="E264" s="32">
        <v>12</v>
      </c>
      <c r="F264" s="32" t="s">
        <v>488</v>
      </c>
      <c r="G264" s="68" t="s">
        <v>277</v>
      </c>
      <c r="H264" s="69">
        <f t="shared" ref="H264:H287" si="111">IF(E264=0,0,I264-(E264-1))</f>
        <v>361</v>
      </c>
      <c r="I264" s="70">
        <f t="shared" ref="I264:I287" si="112">IF(E264=0,0,H263-1)</f>
        <v>372</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361-372</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501</v>
      </c>
      <c r="D265" s="102"/>
      <c r="E265" s="32">
        <v>12</v>
      </c>
      <c r="F265" s="32"/>
      <c r="G265" s="75" t="s">
        <v>277</v>
      </c>
      <c r="H265" s="69">
        <f t="shared" si="111"/>
        <v>349</v>
      </c>
      <c r="I265" s="70">
        <f t="shared" si="112"/>
        <v>360</v>
      </c>
      <c r="J265" s="73" t="str">
        <f t="shared" ref="J265:J287" si="113">IF(C265="","--",IF(AND(C265&lt;&gt;"FST",C265&lt;&gt;"TCF",BA264&lt;&gt;0),BA264,"--"))</f>
        <v>--</v>
      </c>
      <c r="K265" s="32"/>
      <c r="L265" s="233"/>
      <c r="M265" s="277" t="s">
        <v>410</v>
      </c>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349-360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Y</v>
      </c>
      <c r="BA265" s="229">
        <f>MOD(SUM(E263:E266),12)</f>
        <v>0</v>
      </c>
    </row>
    <row r="266" spans="1:53" ht="15.75" thickBot="1" x14ac:dyDescent="0.3">
      <c r="A266" s="88"/>
      <c r="B266" s="66" t="s">
        <v>281</v>
      </c>
      <c r="C266" s="67" t="s">
        <v>501</v>
      </c>
      <c r="D266" s="102"/>
      <c r="E266" s="32">
        <v>12</v>
      </c>
      <c r="F266" s="32"/>
      <c r="G266" s="68" t="s">
        <v>277</v>
      </c>
      <c r="H266" s="69">
        <f t="shared" si="111"/>
        <v>337</v>
      </c>
      <c r="I266" s="70">
        <f t="shared" si="112"/>
        <v>348</v>
      </c>
      <c r="J266" s="73" t="str">
        <f t="shared" si="113"/>
        <v>--</v>
      </c>
      <c r="K266" s="32"/>
      <c r="L266" s="233"/>
      <c r="M266" s="277" t="s">
        <v>410</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337-348</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Y</v>
      </c>
      <c r="BA266" s="229">
        <f>MOD(SUM(E263:E267),12)</f>
        <v>0</v>
      </c>
    </row>
    <row r="267" spans="1:53" ht="15.75" thickBot="1" x14ac:dyDescent="0.3">
      <c r="A267" s="88"/>
      <c r="B267" s="66" t="s">
        <v>282</v>
      </c>
      <c r="C267" s="67" t="s">
        <v>501</v>
      </c>
      <c r="D267" s="102"/>
      <c r="E267" s="32">
        <v>12</v>
      </c>
      <c r="F267" s="32"/>
      <c r="G267" s="68" t="s">
        <v>277</v>
      </c>
      <c r="H267" s="69">
        <f t="shared" si="111"/>
        <v>325</v>
      </c>
      <c r="I267" s="70">
        <f t="shared" si="112"/>
        <v>336</v>
      </c>
      <c r="J267" s="73" t="str">
        <f t="shared" si="113"/>
        <v>--</v>
      </c>
      <c r="K267" s="32"/>
      <c r="L267" s="233"/>
      <c r="M267" s="277" t="s">
        <v>410</v>
      </c>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325-336</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Y</v>
      </c>
      <c r="BA267" s="229">
        <f>MOD(SUM(E263:E268),12)</f>
        <v>0</v>
      </c>
    </row>
    <row r="268" spans="1:53" ht="15.75" thickBot="1" x14ac:dyDescent="0.3">
      <c r="A268" s="88"/>
      <c r="B268" s="66" t="s">
        <v>283</v>
      </c>
      <c r="C268" s="67" t="s">
        <v>501</v>
      </c>
      <c r="D268" s="102"/>
      <c r="E268" s="32">
        <v>12</v>
      </c>
      <c r="F268" s="32"/>
      <c r="G268" s="68" t="s">
        <v>277</v>
      </c>
      <c r="H268" s="69">
        <f t="shared" si="111"/>
        <v>313</v>
      </c>
      <c r="I268" s="70">
        <f t="shared" si="112"/>
        <v>324</v>
      </c>
      <c r="J268" s="73" t="str">
        <f t="shared" si="113"/>
        <v>--</v>
      </c>
      <c r="K268" s="32"/>
      <c r="L268" s="233"/>
      <c r="M268" s="277" t="s">
        <v>410</v>
      </c>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313-324</v>
      </c>
      <c r="AF268" s="109" t="str">
        <f t="shared" si="105"/>
        <v>Y</v>
      </c>
      <c r="AG268" s="109" t="str">
        <f t="shared" si="106"/>
        <v>B</v>
      </c>
      <c r="AM268" s="109">
        <f t="shared" si="107"/>
        <v>0</v>
      </c>
      <c r="AN268" s="109">
        <f t="shared" si="108"/>
        <v>0</v>
      </c>
      <c r="AO268" s="109" t="str">
        <f t="shared" si="109"/>
        <v/>
      </c>
      <c r="AQ268" s="109" t="str">
        <f t="shared" si="110"/>
        <v>Y</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73</v>
      </c>
      <c r="X274" s="84"/>
      <c r="Y274" s="78">
        <f>SUM(E263:E274)</f>
        <v>72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73</v>
      </c>
      <c r="X275" s="84"/>
      <c r="Y275" s="78">
        <f>SUM(E263:E275)</f>
        <v>72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73</v>
      </c>
      <c r="X276" s="84"/>
      <c r="Y276" s="78">
        <f>SUM(E263:E276)</f>
        <v>72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73</v>
      </c>
      <c r="X277" s="84"/>
      <c r="Y277" s="78">
        <f>SUM(E263:E277)</f>
        <v>72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73</v>
      </c>
      <c r="X278" s="84"/>
      <c r="Y278" s="78">
        <f>SUM(E263:E278)</f>
        <v>72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73</v>
      </c>
      <c r="X279" s="84"/>
      <c r="Y279" s="78">
        <f>SUM(E263:E279)</f>
        <v>72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73</v>
      </c>
      <c r="X280" s="84"/>
      <c r="Y280" s="78">
        <f>SUM(E263:E280)</f>
        <v>72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73</v>
      </c>
      <c r="X281" s="84"/>
      <c r="Y281" s="78">
        <f>SUM(E263:E281)</f>
        <v>72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73</v>
      </c>
      <c r="X282" s="84"/>
      <c r="Y282" s="78">
        <f>SUM(E263:E282)</f>
        <v>72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73</v>
      </c>
      <c r="X283" s="84"/>
      <c r="Y283" s="78">
        <f>SUM(E263:E283)</f>
        <v>72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73</v>
      </c>
      <c r="X284" s="84"/>
      <c r="Y284" s="78">
        <f>SUM(E263:E284)</f>
        <v>72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73</v>
      </c>
      <c r="X285" s="84"/>
      <c r="Y285" s="78">
        <f>SUM(E263:E285)</f>
        <v>72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73</v>
      </c>
      <c r="X286" s="84"/>
      <c r="Y286" s="78">
        <f>SUM(E263:E286)</f>
        <v>72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72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2</v>
      </c>
      <c r="AR288" s="109">
        <f>(COUNTIF(AQ263:AQ287,"Y")/2)</f>
        <v>2</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48</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RPX</v>
      </c>
      <c r="F294" s="88"/>
      <c r="G294" s="303" t="s">
        <v>230</v>
      </c>
      <c r="H294" s="304"/>
      <c r="I294" s="33">
        <f>E295-I293</f>
        <v>0</v>
      </c>
      <c r="J294" s="288" t="s">
        <v>231</v>
      </c>
      <c r="K294" s="289"/>
      <c r="L294" s="34">
        <f>I298</f>
        <v>313</v>
      </c>
      <c r="M294" s="196">
        <v>4</v>
      </c>
      <c r="N294" s="35">
        <f>SUM(AI294,AI305)</f>
        <v>0</v>
      </c>
      <c r="O294" s="35">
        <v>0</v>
      </c>
      <c r="P294" s="35">
        <f>SUM(AJ294,AJ305)</f>
        <v>2</v>
      </c>
      <c r="Q294" s="35">
        <v>0</v>
      </c>
      <c r="R294" s="35">
        <f>COUNTIFS($E304:$E328,"4",$F304:$F328,"Pole",$C304:$C328,"FST")</f>
        <v>2</v>
      </c>
      <c r="S294" s="35">
        <f>SUM(AL294,AK305)</f>
        <v>0</v>
      </c>
      <c r="T294" s="35">
        <v>0</v>
      </c>
      <c r="U294" s="35">
        <f>SUM(AK294,AL305)</f>
        <v>0</v>
      </c>
      <c r="V294" s="35">
        <v>0</v>
      </c>
      <c r="W294" s="34">
        <f>COUNTIFS($E304:$E328,"4",$F304:$F328,"HH",$C304:$C328,"FST")</f>
        <v>0</v>
      </c>
      <c r="X294" s="35">
        <f>COUNTIFS($E304:$E328,"4",$F304:$F328,"Ped",$C304:$C328,"FST")</f>
        <v>0</v>
      </c>
      <c r="Y294" s="25"/>
      <c r="Z294" s="297" t="s">
        <v>232</v>
      </c>
      <c r="AA294" s="299" t="s">
        <v>233</v>
      </c>
      <c r="AB294" s="300"/>
      <c r="AC294" s="25"/>
      <c r="AD294" s="25"/>
      <c r="AH294" s="109">
        <v>4</v>
      </c>
      <c r="AI294" s="109" t="str">
        <f>IF($E294="SS",COUNTIFS($C304:$C328,"FST",$E304:$E328,"4"),"0")</f>
        <v>0</v>
      </c>
      <c r="AJ294" s="109">
        <f>IF($E294="RPX",COUNTIFS($C304:$C328,"FST",$E304:$E328,"4"),"0")</f>
        <v>2</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290" t="s">
        <v>237</v>
      </c>
      <c r="H295" s="291"/>
      <c r="I295" s="35">
        <f>IF(E295=0,0,12-(MOD(I293,12)))</f>
        <v>12</v>
      </c>
      <c r="J295" s="288" t="s">
        <v>238</v>
      </c>
      <c r="K295" s="289"/>
      <c r="L295" s="39">
        <f>I299-I293</f>
        <v>312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0" t="s">
        <v>242</v>
      </c>
      <c r="H296" s="43" t="s">
        <v>243</v>
      </c>
      <c r="I296" s="35">
        <f>IF(E296&lt;&gt;0,1,0)</f>
        <v>0</v>
      </c>
      <c r="J296" s="290" t="s">
        <v>244</v>
      </c>
      <c r="K296" s="291"/>
      <c r="L296" s="44">
        <f>'Cable Calculator'!AM3</f>
        <v>1315</v>
      </c>
      <c r="M296" s="196">
        <v>8</v>
      </c>
      <c r="N296" s="35">
        <f>SUM(AI296,AI307)</f>
        <v>0</v>
      </c>
      <c r="O296" s="35">
        <v>0</v>
      </c>
      <c r="P296" s="35">
        <f>SUM(AJ296,AJ307)</f>
        <v>2</v>
      </c>
      <c r="Q296" s="35">
        <v>0</v>
      </c>
      <c r="R296" s="35">
        <f>COUNTIFS($E304:$E328,"8",$F304:$F328,"Pole",$C304:$C328,"FST")</f>
        <v>2</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2</v>
      </c>
      <c r="AK296" s="109" t="str">
        <f>IF($E294="EUC",COUNTIFS($C304:$C328,"FST",$E304:$E328,"8"),"0")</f>
        <v>0</v>
      </c>
      <c r="AL296" s="109" t="str">
        <f>IF($E294="RPX-T",COUNTIFS($C304:$C328,"FST",$E304:$E328,"8"),"0")</f>
        <v>0</v>
      </c>
      <c r="AS296" s="109" t="str">
        <f>IF(AND(E299="Y",E295=48,E296=0),"Y","N")</f>
        <v>Y</v>
      </c>
      <c r="AT296" s="110" t="s">
        <v>245</v>
      </c>
      <c r="AU296" s="109">
        <f>COUNTIFS($E294,"SS",$AS296,"Y")</f>
        <v>0</v>
      </c>
      <c r="AV296" s="108">
        <f>COUNTIFS($E294,"RPX",$AS296,"Y")</f>
        <v>1</v>
      </c>
      <c r="AW296" s="108">
        <f>COUNTIFS($E294,"EUC",$AS296,"Y")</f>
        <v>0</v>
      </c>
      <c r="AX296" s="109">
        <f>COUNTIFS($E294,"RPX-T",$AS296,"Y")</f>
        <v>0</v>
      </c>
      <c r="BA296" s="227"/>
    </row>
    <row r="297" spans="1:53" ht="16.5" thickTop="1" thickBot="1" x14ac:dyDescent="0.3">
      <c r="A297" s="88"/>
      <c r="B297" s="29" t="s">
        <v>246</v>
      </c>
      <c r="C297" s="37">
        <v>0</v>
      </c>
      <c r="D297" s="41" t="s">
        <v>247</v>
      </c>
      <c r="E297" s="42">
        <v>313</v>
      </c>
      <c r="F297" s="88"/>
      <c r="G297" s="321"/>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1.5</v>
      </c>
      <c r="Q297" s="35">
        <f>IF($E294="RPX",SUM(AN329,AP329,AR329),"0")</f>
        <v>0.5</v>
      </c>
      <c r="R297" s="35">
        <f>COUNTIFS($E304:$E328,"12",$F304:$F328,"Pole",$C304:$C328,"FST")</f>
        <v>1</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1</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320" t="s">
        <v>251</v>
      </c>
      <c r="H298" s="51" t="s">
        <v>252</v>
      </c>
      <c r="I298" s="112">
        <f>E297</f>
        <v>313</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1"/>
      <c r="H299" s="47" t="s">
        <v>257</v>
      </c>
      <c r="I299" s="35">
        <f>IF(E297="","0",IF(AND(E294="EUC",E295=432), I298+(203-E296),IF(E297=0,0,(E297+(E295-E296)-1))))</f>
        <v>360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48</v>
      </c>
      <c r="D300" s="31" t="s">
        <v>259</v>
      </c>
      <c r="E300" s="101" t="str">
        <f>IF(AS294="Y","DBL",IF(AS295="Y","TRPL",IF(AS296="Y","QUAD","")))</f>
        <v>QUAD</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499</v>
      </c>
      <c r="D304" s="102"/>
      <c r="E304" s="32">
        <v>12</v>
      </c>
      <c r="F304" s="32"/>
      <c r="G304" s="68" t="s">
        <v>277</v>
      </c>
      <c r="H304" s="69">
        <f>IF(I304=0,0,I304-(E304-1))</f>
        <v>349</v>
      </c>
      <c r="I304" s="70">
        <f>IF(E304=0,0,I299)</f>
        <v>360</v>
      </c>
      <c r="J304" s="71" t="s">
        <v>278</v>
      </c>
      <c r="K304" s="32"/>
      <c r="L304" s="233"/>
      <c r="M304" s="277" t="s">
        <v>411</v>
      </c>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349-360</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0.5</v>
      </c>
      <c r="AN304" s="109">
        <f t="shared" ref="AN304:AN328" si="125">VALUE(IF(C304="FST","0",IF(C304="REV T","0",IF(C304="DBL REV",".5","0"))))</f>
        <v>0.5</v>
      </c>
      <c r="AO304" s="109" t="str">
        <f t="shared" ref="AO304:AO328" si="126">IF(C304="TPL REV","Y","")</f>
        <v/>
      </c>
      <c r="AQ304" s="109" t="str">
        <f t="shared" ref="AQ304:AQ328" si="127">IF(C304="QD REV","Y","")</f>
        <v/>
      </c>
      <c r="BA304" s="229">
        <f>MOD(E304,12)</f>
        <v>0</v>
      </c>
    </row>
    <row r="305" spans="1:53" ht="15.75" thickBot="1" x14ac:dyDescent="0.3">
      <c r="A305" s="88"/>
      <c r="B305" s="66" t="s">
        <v>279</v>
      </c>
      <c r="C305" s="67" t="s">
        <v>484</v>
      </c>
      <c r="D305" s="102" t="s">
        <v>809</v>
      </c>
      <c r="E305" s="32">
        <v>4</v>
      </c>
      <c r="F305" s="32" t="s">
        <v>483</v>
      </c>
      <c r="G305" s="68" t="s">
        <v>277</v>
      </c>
      <c r="H305" s="69">
        <f t="shared" ref="H305:H328" si="128">IF(E305=0,0,I305-(E305-1))</f>
        <v>345</v>
      </c>
      <c r="I305" s="70">
        <f t="shared" ref="I305:I328" si="129">IF(E305=0,0,H304-1)</f>
        <v>348</v>
      </c>
      <c r="J305" s="73" t="str">
        <f>IF(C305="","--",IF(AND(C305&lt;&gt;"FST",C305&lt;&gt;"TCF",BA304&lt;&gt;0),BA304,"--"))</f>
        <v>--</v>
      </c>
      <c r="K305" s="32"/>
      <c r="L305" s="233"/>
      <c r="M305" s="277" t="s">
        <v>803</v>
      </c>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345-348</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4</v>
      </c>
    </row>
    <row r="306" spans="1:53" ht="15.75" thickBot="1" x14ac:dyDescent="0.3">
      <c r="A306" s="88"/>
      <c r="B306" s="74" t="s">
        <v>280</v>
      </c>
      <c r="C306" s="67" t="s">
        <v>484</v>
      </c>
      <c r="D306" s="102" t="s">
        <v>807</v>
      </c>
      <c r="E306" s="32">
        <v>4</v>
      </c>
      <c r="F306" s="32" t="s">
        <v>483</v>
      </c>
      <c r="G306" s="75" t="s">
        <v>277</v>
      </c>
      <c r="H306" s="69">
        <f t="shared" si="128"/>
        <v>341</v>
      </c>
      <c r="I306" s="70">
        <f t="shared" si="129"/>
        <v>344</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341-344</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801</v>
      </c>
      <c r="E307" s="32">
        <v>8</v>
      </c>
      <c r="F307" s="32" t="s">
        <v>483</v>
      </c>
      <c r="G307" s="68" t="s">
        <v>277</v>
      </c>
      <c r="H307" s="69">
        <f t="shared" si="128"/>
        <v>333</v>
      </c>
      <c r="I307" s="70">
        <f t="shared" si="129"/>
        <v>340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0</v>
      </c>
      <c r="AE307" s="109" t="str">
        <f t="shared" si="121"/>
        <v>333-340</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802</v>
      </c>
      <c r="E308" s="32">
        <v>8</v>
      </c>
      <c r="F308" s="32" t="s">
        <v>483</v>
      </c>
      <c r="G308" s="68" t="s">
        <v>277</v>
      </c>
      <c r="H308" s="69">
        <f t="shared" si="128"/>
        <v>325</v>
      </c>
      <c r="I308" s="70">
        <f t="shared" si="129"/>
        <v>332</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325-332</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804</v>
      </c>
      <c r="E309" s="32">
        <v>12</v>
      </c>
      <c r="F309" s="32" t="s">
        <v>483</v>
      </c>
      <c r="G309" s="68" t="s">
        <v>277</v>
      </c>
      <c r="H309" s="69">
        <f t="shared" si="128"/>
        <v>313</v>
      </c>
      <c r="I309" s="70">
        <f t="shared" si="129"/>
        <v>324</v>
      </c>
      <c r="J309" s="73" t="str">
        <f t="shared" si="130"/>
        <v>--</v>
      </c>
      <c r="K309" s="32"/>
      <c r="L309" s="233"/>
      <c r="M309" s="277" t="s">
        <v>782</v>
      </c>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0</v>
      </c>
      <c r="AE309" s="109" t="str">
        <f t="shared" si="121"/>
        <v>313-324</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49</v>
      </c>
      <c r="X315" s="84"/>
      <c r="Y315" s="78">
        <f>SUM(E304:E315)</f>
        <v>48</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49</v>
      </c>
      <c r="X316" s="84"/>
      <c r="Y316" s="78">
        <f>SUM(E304:E316)</f>
        <v>48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49</v>
      </c>
      <c r="X317" s="84"/>
      <c r="Y317" s="78">
        <f>SUM(E304:E317)</f>
        <v>48</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49</v>
      </c>
      <c r="X318" s="84"/>
      <c r="Y318" s="78">
        <f>SUM(E304:E318)</f>
        <v>48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49</v>
      </c>
      <c r="X319" s="84"/>
      <c r="Y319" s="78">
        <f>SUM(E304:E319)</f>
        <v>48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49</v>
      </c>
      <c r="X320" s="84"/>
      <c r="Y320" s="78">
        <f>SUM(E304:E320)</f>
        <v>48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49</v>
      </c>
      <c r="X321" s="84"/>
      <c r="Y321" s="78">
        <f>SUM(E304:E321)</f>
        <v>48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49</v>
      </c>
      <c r="X322" s="84"/>
      <c r="Y322" s="78">
        <f>SUM(E304:E322)</f>
        <v>48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49</v>
      </c>
      <c r="X323" s="84"/>
      <c r="Y323" s="78">
        <f>SUM(E304:E323)</f>
        <v>48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49</v>
      </c>
      <c r="X324" s="84"/>
      <c r="Y324" s="78">
        <f>SUM(E304:E324)</f>
        <v>48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49</v>
      </c>
      <c r="X325" s="84"/>
      <c r="Y325" s="78">
        <f>SUM(E304:E325)</f>
        <v>48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49</v>
      </c>
      <c r="X326" s="84"/>
      <c r="Y326" s="78">
        <f>SUM(E304:E326)</f>
        <v>48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49</v>
      </c>
      <c r="X327" s="84"/>
      <c r="Y327" s="78">
        <f>SUM(E304:E327)</f>
        <v>48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48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20</v>
      </c>
      <c r="AM329" s="109">
        <f>SUM(AM304:AM328)</f>
        <v>0.5</v>
      </c>
      <c r="AN329" s="109">
        <f>SUM(AN304:AN328)</f>
        <v>0.5</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12</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3" t="s">
        <v>230</v>
      </c>
      <c r="H335" s="304"/>
      <c r="I335" s="33">
        <f>E336-I334</f>
        <v>12</v>
      </c>
      <c r="J335" s="288" t="s">
        <v>231</v>
      </c>
      <c r="K335" s="289"/>
      <c r="L335" s="34">
        <f>I339</f>
        <v>349</v>
      </c>
      <c r="M335" s="196">
        <v>4</v>
      </c>
      <c r="N335" s="35">
        <f>SUM(AI335,AI346)</f>
        <v>0</v>
      </c>
      <c r="O335" s="35">
        <v>0</v>
      </c>
      <c r="P335" s="35">
        <f>SUM(AJ335,AJ346)</f>
        <v>1</v>
      </c>
      <c r="Q335" s="35">
        <v>0</v>
      </c>
      <c r="R335" s="35">
        <f>COUNTIFS($E345:$E369,"4",$F345:$F369,"Pole",$C345:$C369,"FST")</f>
        <v>1</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f>IF($E335="RPX",COUNTIFS($C345:$C369,"FST",$E345:$E369,"4"),"0")</f>
        <v>1</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0" t="s">
        <v>237</v>
      </c>
      <c r="H336" s="291"/>
      <c r="I336" s="35">
        <f>IF(E336=0,0,12-(MOD(I334,12)))</f>
        <v>12</v>
      </c>
      <c r="J336" s="288" t="s">
        <v>238</v>
      </c>
      <c r="K336" s="289"/>
      <c r="L336" s="39">
        <f>I340-I334</f>
        <v>348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0" t="s">
        <v>242</v>
      </c>
      <c r="H337" s="43" t="s">
        <v>243</v>
      </c>
      <c r="I337" s="35">
        <f>IF(E337&lt;&gt;0,1,0)</f>
        <v>1</v>
      </c>
      <c r="J337" s="290" t="s">
        <v>244</v>
      </c>
      <c r="K337" s="291"/>
      <c r="L337" s="44">
        <f>'Cable Calculator'!AR3</f>
        <v>875</v>
      </c>
      <c r="M337" s="196">
        <v>8</v>
      </c>
      <c r="N337" s="35">
        <f>SUM(AI337,AI348)</f>
        <v>0</v>
      </c>
      <c r="O337" s="35">
        <v>0</v>
      </c>
      <c r="P337" s="35">
        <f>SUM(AJ337,AJ348)</f>
        <v>1</v>
      </c>
      <c r="Q337" s="35">
        <v>0</v>
      </c>
      <c r="R337" s="35">
        <f>COUNTIFS($E345:$E369,"8",$F345:$F369,"Pole",$C345:$C369,"FST")</f>
        <v>1</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1</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349</v>
      </c>
      <c r="F338" s="88"/>
      <c r="G338" s="321"/>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0" t="s">
        <v>251</v>
      </c>
      <c r="H339" s="51" t="s">
        <v>252</v>
      </c>
      <c r="I339" s="112">
        <f>E338</f>
        <v>349</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1"/>
      <c r="H340" s="47" t="s">
        <v>257</v>
      </c>
      <c r="I340" s="35">
        <f>IF(E338="","0",IF(AND(E335="EUC",E336=432), I339+(203-E337),IF(E338=0,0,(E338+(E336-E337)-1))))</f>
        <v>360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783</v>
      </c>
      <c r="E345" s="32">
        <v>4</v>
      </c>
      <c r="F345" s="32" t="s">
        <v>483</v>
      </c>
      <c r="G345" s="68" t="s">
        <v>277</v>
      </c>
      <c r="H345" s="69">
        <f>IF(I345=0,0,I345-(E345-1))</f>
        <v>357</v>
      </c>
      <c r="I345" s="70">
        <f>IF(E345=0,0,I340)</f>
        <v>360</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357-360</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784</v>
      </c>
      <c r="E346" s="32">
        <v>8</v>
      </c>
      <c r="F346" s="32" t="s">
        <v>483</v>
      </c>
      <c r="G346" s="68" t="s">
        <v>277</v>
      </c>
      <c r="H346" s="69">
        <f t="shared" ref="H346:H369" si="145">IF(E346=0,0,I346-(E346-1))</f>
        <v>349</v>
      </c>
      <c r="I346" s="70">
        <f t="shared" ref="I346:I369" si="146">IF(E346=0,0,H345-1)</f>
        <v>356</v>
      </c>
      <c r="J346" s="73" t="str">
        <f>IF(C346="","--",IF(AND(C346&lt;&gt;"FST",C346&lt;&gt;"TCF",BA345&lt;&gt;0),BA345,"--"))</f>
        <v>--</v>
      </c>
      <c r="K346" s="32"/>
      <c r="L346" s="233"/>
      <c r="M346" s="277" t="s">
        <v>745</v>
      </c>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349-356</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48</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3" t="s">
        <v>230</v>
      </c>
      <c r="H376" s="304"/>
      <c r="I376" s="33">
        <f>E377-I375</f>
        <v>0</v>
      </c>
      <c r="J376" s="288" t="s">
        <v>231</v>
      </c>
      <c r="K376" s="289"/>
      <c r="L376" s="34">
        <f>I380</f>
        <v>385</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48</v>
      </c>
      <c r="F377" s="88"/>
      <c r="G377" s="290" t="s">
        <v>237</v>
      </c>
      <c r="H377" s="291"/>
      <c r="I377" s="35">
        <f>IF(E377=0,0,12-(MOD(I375,12)))</f>
        <v>12</v>
      </c>
      <c r="J377" s="288" t="s">
        <v>238</v>
      </c>
      <c r="K377" s="289"/>
      <c r="L377" s="39">
        <f>I381-I375</f>
        <v>372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0" t="s">
        <v>242</v>
      </c>
      <c r="H378" s="43" t="s">
        <v>243</v>
      </c>
      <c r="I378" s="35">
        <f>IF(E378&lt;&gt;0,1,0)</f>
        <v>1</v>
      </c>
      <c r="J378" s="290" t="s">
        <v>244</v>
      </c>
      <c r="K378" s="291"/>
      <c r="L378" s="44">
        <f>'Cable Calculator'!AW3</f>
        <v>710</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385</v>
      </c>
      <c r="F379" s="88"/>
      <c r="G379" s="321"/>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4</v>
      </c>
      <c r="F380" s="88"/>
      <c r="G380" s="320" t="s">
        <v>251</v>
      </c>
      <c r="H380" s="51" t="s">
        <v>252</v>
      </c>
      <c r="I380" s="112">
        <f>E379</f>
        <v>385</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1"/>
      <c r="H381" s="47" t="s">
        <v>257</v>
      </c>
      <c r="I381" s="35">
        <f>IF(E379="","0",IF(AND(E376="EUC",E377=432), I380+(203-E378),IF(E379=0,0,(E379+(E377-E378)-1))))</f>
        <v>420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48</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502</v>
      </c>
      <c r="D386" s="102"/>
      <c r="E386" s="32">
        <v>48</v>
      </c>
      <c r="F386" s="32"/>
      <c r="G386" s="68" t="s">
        <v>277</v>
      </c>
      <c r="H386" s="69">
        <f>IF(I386=0,0,I386-(E386-1))</f>
        <v>373</v>
      </c>
      <c r="I386" s="70">
        <f>IF(E386=0,0,I381)</f>
        <v>420</v>
      </c>
      <c r="J386" s="71" t="s">
        <v>278</v>
      </c>
      <c r="K386" s="32"/>
      <c r="L386" s="233"/>
      <c r="M386" s="277" t="s">
        <v>416</v>
      </c>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373-420</v>
      </c>
      <c r="AF386" s="109" t="str">
        <f t="shared" ref="AF386:AF410" si="156">IF(C386="Field SPL","N","Y")</f>
        <v>N</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49</v>
      </c>
      <c r="X397" s="84"/>
      <c r="Y397" s="78">
        <f>SUM(E386:E397)</f>
        <v>48</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49</v>
      </c>
      <c r="X398" s="84"/>
      <c r="Y398" s="78">
        <f>SUM(E386:E398)</f>
        <v>48</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49</v>
      </c>
      <c r="X399" s="84"/>
      <c r="Y399" s="78">
        <f>SUM(E386:E399)</f>
        <v>48</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49</v>
      </c>
      <c r="X400" s="84"/>
      <c r="Y400" s="78">
        <f>SUM(E386:E400)</f>
        <v>48</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49</v>
      </c>
      <c r="X401" s="84"/>
      <c r="Y401" s="78">
        <f>SUM(E386:E401)</f>
        <v>48</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49</v>
      </c>
      <c r="X402" s="84"/>
      <c r="Y402" s="78">
        <f>SUM(E386:E402)</f>
        <v>48</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49</v>
      </c>
      <c r="X403" s="84"/>
      <c r="Y403" s="78">
        <f>SUM(E386:E403)</f>
        <v>48</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49</v>
      </c>
      <c r="X404" s="84"/>
      <c r="Y404" s="78">
        <f>SUM(E386:E404)</f>
        <v>48</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49</v>
      </c>
      <c r="X405" s="84"/>
      <c r="Y405" s="78">
        <f>SUM(E386:E405)</f>
        <v>48</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49</v>
      </c>
      <c r="X406" s="84"/>
      <c r="Y406" s="78">
        <f>SUM(E386:E406)</f>
        <v>48</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49</v>
      </c>
      <c r="X407" s="84"/>
      <c r="Y407" s="78">
        <f>SUM(E386:E407)</f>
        <v>48</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49</v>
      </c>
      <c r="X408" s="84"/>
      <c r="Y408" s="78">
        <f>SUM(E386:E408)</f>
        <v>48</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49</v>
      </c>
      <c r="X409" s="84"/>
      <c r="Y409" s="78">
        <f>SUM(E386:E409)</f>
        <v>48</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48</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12</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304"/>
      <c r="I417" s="33">
        <f>E418-I416</f>
        <v>12</v>
      </c>
      <c r="J417" s="288" t="s">
        <v>231</v>
      </c>
      <c r="K417" s="289"/>
      <c r="L417" s="34">
        <f>I421</f>
        <v>409</v>
      </c>
      <c r="M417" s="196">
        <v>4</v>
      </c>
      <c r="N417" s="35">
        <f>SUM(AI417,AI428)</f>
        <v>0</v>
      </c>
      <c r="O417" s="35">
        <v>0</v>
      </c>
      <c r="P417" s="35">
        <f>SUM(AJ417,AJ428)</f>
        <v>0</v>
      </c>
      <c r="Q417" s="35">
        <v>0</v>
      </c>
      <c r="R417" s="35">
        <f>COUNTIFS($E427:$E451,"4",$F427:$F451,"Pole",$C427:$C451,"FST")</f>
        <v>0</v>
      </c>
      <c r="S417" s="35">
        <f>SUM(AL417,AK428)</f>
        <v>0</v>
      </c>
      <c r="T417" s="35">
        <v>0</v>
      </c>
      <c r="U417" s="35">
        <f>SUM(AK417,AL428)</f>
        <v>2</v>
      </c>
      <c r="V417" s="35">
        <v>0</v>
      </c>
      <c r="W417" s="34">
        <f>COUNTIFS($E427:$E451,"4",$F427:$F451,"HH",$C427:$C451,"FST")</f>
        <v>2</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f>IF($E417="EUC",COUNTIFS($C427:$C451,"FST",$E427:$E451,"4"),"0")</f>
        <v>2</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0" t="s">
        <v>237</v>
      </c>
      <c r="H418" s="291"/>
      <c r="I418" s="35">
        <f>IF(E418=0,0,12-(MOD(I416,12)))</f>
        <v>12</v>
      </c>
      <c r="J418" s="288" t="s">
        <v>238</v>
      </c>
      <c r="K418" s="289"/>
      <c r="L418" s="39">
        <f>I422-I416</f>
        <v>408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0" t="s">
        <v>242</v>
      </c>
      <c r="H419" s="43" t="s">
        <v>243</v>
      </c>
      <c r="I419" s="35">
        <f>IF(E419&lt;&gt;0,1,0)</f>
        <v>1</v>
      </c>
      <c r="J419" s="290" t="s">
        <v>244</v>
      </c>
      <c r="K419" s="291"/>
      <c r="L419" s="44">
        <f>'Cable Calculator'!BB3</f>
        <v>975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409</v>
      </c>
      <c r="F420" s="88"/>
      <c r="G420" s="321"/>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0" t="s">
        <v>251</v>
      </c>
      <c r="H421" s="51" t="s">
        <v>252</v>
      </c>
      <c r="I421" s="112">
        <f>E420</f>
        <v>409</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1"/>
      <c r="H422" s="47" t="s">
        <v>257</v>
      </c>
      <c r="I422" s="35">
        <f>IF(E420="","0",IF(AND(E417="EUC",E418=432), I421+(203-E419),IF(E420=0,0,(E420+(E418-E419)-1))))</f>
        <v>420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793</v>
      </c>
      <c r="E427" s="32">
        <v>4</v>
      </c>
      <c r="F427" s="32" t="s">
        <v>488</v>
      </c>
      <c r="G427" s="68" t="s">
        <v>277</v>
      </c>
      <c r="H427" s="69">
        <f>IF(I427=0,0,I427-(E427-1))</f>
        <v>417</v>
      </c>
      <c r="I427" s="70">
        <f>IF(E427=0,0,I422)</f>
        <v>420</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417-420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794</v>
      </c>
      <c r="E428" s="32">
        <v>4</v>
      </c>
      <c r="F428" s="32" t="s">
        <v>488</v>
      </c>
      <c r="G428" s="68" t="s">
        <v>277</v>
      </c>
      <c r="H428" s="69">
        <f t="shared" ref="H428:H451" si="179">IF(E428=0,0,I428-(E428-1))</f>
        <v>413</v>
      </c>
      <c r="I428" s="70">
        <f t="shared" ref="I428:I451" si="180">IF(E428=0,0,H427-1)</f>
        <v>416</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413-416</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795</v>
      </c>
      <c r="E429" s="32">
        <v>2</v>
      </c>
      <c r="F429" s="32" t="s">
        <v>488</v>
      </c>
      <c r="G429" s="75" t="s">
        <v>277</v>
      </c>
      <c r="H429" s="69">
        <f t="shared" si="179"/>
        <v>411</v>
      </c>
      <c r="I429" s="70">
        <f t="shared" si="180"/>
        <v>412</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411-412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796</v>
      </c>
      <c r="E430" s="32">
        <v>2</v>
      </c>
      <c r="F430" s="32" t="s">
        <v>488</v>
      </c>
      <c r="G430" s="68" t="s">
        <v>277</v>
      </c>
      <c r="H430" s="69">
        <f t="shared" si="179"/>
        <v>409</v>
      </c>
      <c r="I430" s="70">
        <f t="shared" si="180"/>
        <v>410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0</v>
      </c>
      <c r="AE430" s="109" t="str">
        <f t="shared" si="172"/>
        <v>409-410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24</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2</v>
      </c>
      <c r="V457" s="35">
        <v>0</v>
      </c>
      <c r="W457" s="34">
        <f>COUNTIFS($E468:$E492,"2",$F468:$F492,"HH",$C468:$C492,"FST")</f>
        <v>2</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f>IF($E458="EUC",COUNTIFS($C468:$C492,"FST",$E468:$E492,"2"),"0")</f>
        <v>2</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304"/>
      <c r="I458" s="33">
        <f>E459-I457</f>
        <v>0</v>
      </c>
      <c r="J458" s="288" t="s">
        <v>231</v>
      </c>
      <c r="K458" s="289"/>
      <c r="L458" s="34">
        <f>I462</f>
        <v>385</v>
      </c>
      <c r="M458" s="196">
        <v>4</v>
      </c>
      <c r="N458" s="35">
        <f>SUM(AI458,AI469)</f>
        <v>0</v>
      </c>
      <c r="O458" s="35">
        <v>0</v>
      </c>
      <c r="P458" s="35">
        <f>SUM(AJ458,AJ469)</f>
        <v>0</v>
      </c>
      <c r="Q458" s="35">
        <v>0</v>
      </c>
      <c r="R458" s="35">
        <f>COUNTIFS($E468:$E492,"4",$F468:$F492,"Pole",$C468:$C492,"FST")</f>
        <v>0</v>
      </c>
      <c r="S458" s="35">
        <f>SUM(AL458,AK469)</f>
        <v>0</v>
      </c>
      <c r="T458" s="35">
        <v>0</v>
      </c>
      <c r="U458" s="35">
        <f>SUM(AK458,AL469)</f>
        <v>5</v>
      </c>
      <c r="V458" s="35">
        <v>0</v>
      </c>
      <c r="W458" s="34">
        <f>COUNTIFS($E468:$E492,"4",$F468:$F492,"HH",$C468:$C492,"FST")</f>
        <v>5</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f>IF($E458="EUC",COUNTIFS($C468:$C492,"FST",$E468:$E492,"4"),"0")</f>
        <v>5</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0" t="s">
        <v>237</v>
      </c>
      <c r="H459" s="291"/>
      <c r="I459" s="35">
        <f>IF(E459=0,0,12-(MOD(I457,12)))</f>
        <v>12</v>
      </c>
      <c r="J459" s="288" t="s">
        <v>238</v>
      </c>
      <c r="K459" s="289"/>
      <c r="L459" s="39">
        <f>I463-I457</f>
        <v>384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0" t="s">
        <v>242</v>
      </c>
      <c r="H460" s="43" t="s">
        <v>243</v>
      </c>
      <c r="I460" s="35">
        <f>IF(E460&lt;&gt;0,1,0)</f>
        <v>0</v>
      </c>
      <c r="J460" s="290" t="s">
        <v>244</v>
      </c>
      <c r="K460" s="291"/>
      <c r="L460" s="44">
        <f>'Cable Calculator'!BG3</f>
        <v>1518</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385</v>
      </c>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0" t="s">
        <v>251</v>
      </c>
      <c r="H462" s="51" t="s">
        <v>252</v>
      </c>
      <c r="I462" s="112">
        <f>E461</f>
        <v>385</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1"/>
      <c r="H463" s="47" t="s">
        <v>257</v>
      </c>
      <c r="I463" s="35">
        <f>IF(E461="","0",IF(AND(E458="EUC",E459=432), I462+(203-E460),IF(E461=0,0,(E461+(E459-E460)-1))))</f>
        <v>408</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805</v>
      </c>
      <c r="E468" s="32">
        <v>2</v>
      </c>
      <c r="F468" s="32" t="s">
        <v>488</v>
      </c>
      <c r="G468" s="68" t="s">
        <v>277</v>
      </c>
      <c r="H468" s="69">
        <f>IF(I468=0,0,I468-(E468-1))</f>
        <v>407</v>
      </c>
      <c r="I468" s="70">
        <f>IF(E468=0,0,I463)</f>
        <v>408</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407-408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2</v>
      </c>
    </row>
    <row r="469" spans="1:53" ht="15.75" thickBot="1" x14ac:dyDescent="0.3">
      <c r="A469" s="88"/>
      <c r="B469" s="66" t="s">
        <v>279</v>
      </c>
      <c r="C469" s="67" t="s">
        <v>484</v>
      </c>
      <c r="D469" s="102" t="s">
        <v>797</v>
      </c>
      <c r="E469" s="32">
        <v>4</v>
      </c>
      <c r="F469" s="32" t="s">
        <v>488</v>
      </c>
      <c r="G469" s="68" t="s">
        <v>277</v>
      </c>
      <c r="H469" s="69">
        <f t="shared" ref="H469:H492" si="196">IF(E469=0,0,I469-(E469-1))</f>
        <v>403</v>
      </c>
      <c r="I469" s="70">
        <f t="shared" ref="I469:I492" si="197">IF(E469=0,0,H468-1)</f>
        <v>406</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403-406</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6</v>
      </c>
    </row>
    <row r="470" spans="1:53" ht="15.75" thickBot="1" x14ac:dyDescent="0.3">
      <c r="A470" s="88"/>
      <c r="B470" s="74" t="s">
        <v>280</v>
      </c>
      <c r="C470" s="67" t="s">
        <v>484</v>
      </c>
      <c r="D470" s="102" t="s">
        <v>798</v>
      </c>
      <c r="E470" s="32">
        <v>4</v>
      </c>
      <c r="F470" s="32" t="s">
        <v>488</v>
      </c>
      <c r="G470" s="75" t="s">
        <v>277</v>
      </c>
      <c r="H470" s="69">
        <f t="shared" si="196"/>
        <v>399</v>
      </c>
      <c r="I470" s="70">
        <f t="shared" si="197"/>
        <v>402</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399-402</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2</v>
      </c>
    </row>
    <row r="471" spans="1:53" ht="15.75" thickBot="1" x14ac:dyDescent="0.3">
      <c r="A471" s="88"/>
      <c r="B471" s="66" t="s">
        <v>281</v>
      </c>
      <c r="C471" s="67" t="s">
        <v>484</v>
      </c>
      <c r="D471" s="102" t="s">
        <v>785</v>
      </c>
      <c r="E471" s="32">
        <v>4</v>
      </c>
      <c r="F471" s="32" t="s">
        <v>488</v>
      </c>
      <c r="G471" s="68" t="s">
        <v>277</v>
      </c>
      <c r="H471" s="69">
        <f t="shared" si="196"/>
        <v>395</v>
      </c>
      <c r="I471" s="70">
        <f t="shared" si="197"/>
        <v>398</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395-398</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6</v>
      </c>
    </row>
    <row r="472" spans="1:53" ht="15.75" thickBot="1" x14ac:dyDescent="0.3">
      <c r="A472" s="88"/>
      <c r="B472" s="66" t="s">
        <v>282</v>
      </c>
      <c r="C472" s="67" t="s">
        <v>484</v>
      </c>
      <c r="D472" s="102" t="s">
        <v>786</v>
      </c>
      <c r="E472" s="32">
        <v>4</v>
      </c>
      <c r="F472" s="32" t="s">
        <v>488</v>
      </c>
      <c r="G472" s="68" t="s">
        <v>277</v>
      </c>
      <c r="H472" s="69">
        <f t="shared" si="196"/>
        <v>391</v>
      </c>
      <c r="I472" s="70">
        <f t="shared" si="197"/>
        <v>394</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391-394</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10</v>
      </c>
    </row>
    <row r="473" spans="1:53" ht="15.75" thickBot="1" x14ac:dyDescent="0.3">
      <c r="A473" s="88"/>
      <c r="B473" s="66" t="s">
        <v>283</v>
      </c>
      <c r="C473" s="67" t="s">
        <v>484</v>
      </c>
      <c r="D473" s="102" t="s">
        <v>787</v>
      </c>
      <c r="E473" s="32">
        <v>4</v>
      </c>
      <c r="F473" s="32" t="s">
        <v>488</v>
      </c>
      <c r="G473" s="68" t="s">
        <v>277</v>
      </c>
      <c r="H473" s="69">
        <f t="shared" si="196"/>
        <v>387</v>
      </c>
      <c r="I473" s="70">
        <f t="shared" si="197"/>
        <v>390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0</v>
      </c>
      <c r="AE473" s="109" t="str">
        <f t="shared" si="189"/>
        <v>387-390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t="s">
        <v>484</v>
      </c>
      <c r="D474" s="102" t="s">
        <v>788</v>
      </c>
      <c r="E474" s="32">
        <v>2</v>
      </c>
      <c r="F474" s="32" t="s">
        <v>488</v>
      </c>
      <c r="G474" s="68" t="s">
        <v>277</v>
      </c>
      <c r="H474" s="69">
        <f t="shared" si="196"/>
        <v>385</v>
      </c>
      <c r="I474" s="70">
        <f t="shared" si="197"/>
        <v>386</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0</v>
      </c>
      <c r="AE474" s="109" t="str">
        <f t="shared" si="189"/>
        <v>385-386</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18</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12</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12</v>
      </c>
      <c r="J499" s="288" t="s">
        <v>231</v>
      </c>
      <c r="K499" s="289"/>
      <c r="L499" s="34">
        <f>I503</f>
        <v>421</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0" t="s">
        <v>237</v>
      </c>
      <c r="H500" s="291"/>
      <c r="I500" s="35">
        <f>IF(E500=0,0,12-(MOD(I498,12)))</f>
        <v>12</v>
      </c>
      <c r="J500" s="288" t="s">
        <v>238</v>
      </c>
      <c r="K500" s="289"/>
      <c r="L500" s="39">
        <f>I504-I498</f>
        <v>420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0" t="s">
        <v>242</v>
      </c>
      <c r="H501" s="43" t="s">
        <v>243</v>
      </c>
      <c r="I501" s="35">
        <f>IF(E501&lt;&gt;0,1,0)</f>
        <v>1</v>
      </c>
      <c r="J501" s="290" t="s">
        <v>244</v>
      </c>
      <c r="K501" s="291"/>
      <c r="L501" s="44">
        <f>'Cable Calculator'!BL3</f>
        <v>760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421</v>
      </c>
      <c r="F502" s="88"/>
      <c r="G502" s="321"/>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1</v>
      </c>
      <c r="V502" s="35">
        <f>IF($E499="EUC",SUM($AN534,AP534,AR534),"0")</f>
        <v>0</v>
      </c>
      <c r="W502" s="34">
        <f>COUNTIFS($E509:$E533,"12",$F509:$F533,"HH",$C509:$C533,"FST")</f>
        <v>1</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1</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0" t="s">
        <v>251</v>
      </c>
      <c r="H503" s="51" t="s">
        <v>252</v>
      </c>
      <c r="I503" s="112">
        <f>E502</f>
        <v>421</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432</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792</v>
      </c>
      <c r="E509" s="32">
        <v>12</v>
      </c>
      <c r="F509" s="32" t="s">
        <v>488</v>
      </c>
      <c r="G509" s="68" t="s">
        <v>277</v>
      </c>
      <c r="H509" s="69">
        <f>IF(I509=0,0,I509-(E509-1))</f>
        <v>421</v>
      </c>
      <c r="I509" s="70">
        <f>IF(E509=0,0,I504)</f>
        <v>432</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421-432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24</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36</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3" t="s">
        <v>230</v>
      </c>
      <c r="H540" s="304"/>
      <c r="I540" s="33">
        <f>E541-I539</f>
        <v>12</v>
      </c>
      <c r="J540" s="288" t="s">
        <v>231</v>
      </c>
      <c r="K540" s="289"/>
      <c r="L540" s="34">
        <f>I544</f>
        <v>385</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0" t="s">
        <v>237</v>
      </c>
      <c r="H541" s="291"/>
      <c r="I541" s="35">
        <f>IF(E541=0,0,12-(MOD(I539,12)))</f>
        <v>12</v>
      </c>
      <c r="J541" s="288" t="s">
        <v>238</v>
      </c>
      <c r="K541" s="289"/>
      <c r="L541" s="39">
        <f>I545-I539</f>
        <v>384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0" t="s">
        <v>242</v>
      </c>
      <c r="H542" s="43" t="s">
        <v>243</v>
      </c>
      <c r="I542" s="35">
        <f>IF(E542&lt;&gt;0,1,0)</f>
        <v>1</v>
      </c>
      <c r="J542" s="290" t="s">
        <v>244</v>
      </c>
      <c r="K542" s="291"/>
      <c r="L542" s="44">
        <f>'Cable Calculator'!BQ3</f>
        <v>200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385</v>
      </c>
      <c r="F543" s="88"/>
      <c r="G543" s="321"/>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0" t="s">
        <v>251</v>
      </c>
      <c r="H544" s="51" t="s">
        <v>252</v>
      </c>
      <c r="I544" s="112">
        <f>E543</f>
        <v>385</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321"/>
      <c r="H545" s="47" t="s">
        <v>257</v>
      </c>
      <c r="I545" s="35">
        <f>IF(E543="","0",IF(AND(E540="EUC",E541=432), I544+(203-E542),IF(E543=0,0,(E543+(E541-E542)-1))))</f>
        <v>420</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502</v>
      </c>
      <c r="D550" s="102"/>
      <c r="E550" s="32">
        <v>12</v>
      </c>
      <c r="F550" s="32"/>
      <c r="G550" s="68" t="s">
        <v>277</v>
      </c>
      <c r="H550" s="69">
        <f>IF(I550=0,0,I550-(E550-1))</f>
        <v>409</v>
      </c>
      <c r="I550" s="70">
        <f>IF(E550=0,0,I545)</f>
        <v>420</v>
      </c>
      <c r="J550" s="71" t="s">
        <v>278</v>
      </c>
      <c r="K550" s="32"/>
      <c r="L550" s="233"/>
      <c r="M550" s="277" t="s">
        <v>413</v>
      </c>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409-420</v>
      </c>
      <c r="AF550" s="109" t="str">
        <f t="shared" ref="AF550:AF574" si="224">IF(C550="Field SPL","N","Y")</f>
        <v>N</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24</v>
      </c>
      <c r="F551" s="32"/>
      <c r="G551" s="68" t="s">
        <v>277</v>
      </c>
      <c r="H551" s="69">
        <f t="shared" ref="H551:H574" si="230">IF(E551=0,0,I551-(E551-1))</f>
        <v>385</v>
      </c>
      <c r="I551" s="70">
        <f t="shared" ref="I551:I574" si="231">IF(E551=0,0,H550-1)</f>
        <v>408</v>
      </c>
      <c r="J551" s="73" t="str">
        <f>IF(C551="","--",IF(AND(C551&lt;&gt;"FST",C551&lt;&gt;"TCF",BA550&lt;&gt;0),BA550,"--"))</f>
        <v>--</v>
      </c>
      <c r="K551" s="32"/>
      <c r="L551" s="233"/>
      <c r="M551" s="277" t="s">
        <v>414</v>
      </c>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385-408</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0</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3" t="s">
        <v>230</v>
      </c>
      <c r="H581" s="304"/>
      <c r="I581" s="33">
        <f>E582-I580</f>
        <v>0</v>
      </c>
      <c r="J581" s="288" t="s">
        <v>231</v>
      </c>
      <c r="K581" s="289"/>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290" t="s">
        <v>237</v>
      </c>
      <c r="H582" s="291"/>
      <c r="I582" s="35">
        <f>IF(E582=0,0,12-(MOD(I580,12)))</f>
        <v>0</v>
      </c>
      <c r="J582" s="288" t="s">
        <v>238</v>
      </c>
      <c r="K582" s="289"/>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320" t="s">
        <v>242</v>
      </c>
      <c r="H583" s="43" t="s">
        <v>243</v>
      </c>
      <c r="I583" s="35">
        <f>IF(E583&lt;&gt;0,1,0)</f>
        <v>0</v>
      </c>
      <c r="J583" s="290" t="s">
        <v>244</v>
      </c>
      <c r="K583" s="291"/>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321"/>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320" t="s">
        <v>251</v>
      </c>
      <c r="H585" s="51" t="s">
        <v>252</v>
      </c>
      <c r="I585" s="112">
        <f>E584</f>
        <v>0</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321"/>
      <c r="H586" s="47" t="s">
        <v>257</v>
      </c>
      <c r="I586" s="35" t="str">
        <f>IF(E584="","0",IF(AND(E581="EUC",E582=432), I585+(203-E583),IF(E584=0,0,(E584+(E582-E583)-1))))</f>
        <v>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0</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3" t="s">
        <v>230</v>
      </c>
      <c r="H622" s="304"/>
      <c r="I622" s="33">
        <f>E623-I621</f>
        <v>0</v>
      </c>
      <c r="J622" s="288" t="s">
        <v>231</v>
      </c>
      <c r="K622" s="289"/>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290" t="s">
        <v>237</v>
      </c>
      <c r="H623" s="291"/>
      <c r="I623" s="35">
        <f>IF(E623=0,0,12-(MOD(I621,12)))</f>
        <v>0</v>
      </c>
      <c r="J623" s="288" t="s">
        <v>238</v>
      </c>
      <c r="K623" s="289"/>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320" t="s">
        <v>242</v>
      </c>
      <c r="H624" s="43" t="s">
        <v>243</v>
      </c>
      <c r="I624" s="35">
        <f>IF(E624&lt;&gt;0,1,0)</f>
        <v>0</v>
      </c>
      <c r="J624" s="290" t="s">
        <v>244</v>
      </c>
      <c r="K624" s="291"/>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320" t="s">
        <v>251</v>
      </c>
      <c r="H626" s="51" t="s">
        <v>252</v>
      </c>
      <c r="I626" s="112">
        <f>E625</f>
        <v>0</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321"/>
      <c r="H627" s="47" t="s">
        <v>257</v>
      </c>
      <c r="I627" s="35" t="str">
        <f>IF(E625="","0",IF(AND(E622="EUC",E623=432), I626+(203-E624),IF(E625=0,0,(E625+(E623-E624)-1))))</f>
        <v>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64" priority="3282" operator="containsText" text="error">
      <formula>NOT(ISERROR(SEARCH("error",J17)))</formula>
    </cfRule>
  </conditionalFormatting>
  <conditionalFormatting sqref="J17:J41">
    <cfRule type="cellIs" dxfId="1563" priority="3280" operator="lessThan">
      <formula>12</formula>
    </cfRule>
    <cfRule type="cellIs" dxfId="1562" priority="3281" operator="equal">
      <formula>"4,6,8"</formula>
    </cfRule>
  </conditionalFormatting>
  <conditionalFormatting sqref="L8">
    <cfRule type="cellIs" dxfId="1561" priority="3278" operator="lessThan">
      <formula>$L$7</formula>
    </cfRule>
  </conditionalFormatting>
  <conditionalFormatting sqref="I7">
    <cfRule type="cellIs" dxfId="1560" priority="3277" operator="lessThan">
      <formula>0</formula>
    </cfRule>
  </conditionalFormatting>
  <conditionalFormatting sqref="H17:I41">
    <cfRule type="cellIs" dxfId="1559" priority="3276" operator="lessThan">
      <formula>0</formula>
    </cfRule>
  </conditionalFormatting>
  <conditionalFormatting sqref="K84:L84 K83">
    <cfRule type="containsText" dxfId="1558" priority="3275" operator="containsText" text="error">
      <formula>NOT(ISERROR(SEARCH("error",K83)))</formula>
    </cfRule>
  </conditionalFormatting>
  <conditionalFormatting sqref="K125:L125 K124">
    <cfRule type="containsText" dxfId="1557" priority="3269" operator="containsText" text="error">
      <formula>NOT(ISERROR(SEARCH("error",K124)))</formula>
    </cfRule>
  </conditionalFormatting>
  <conditionalFormatting sqref="K166:L166 K165">
    <cfRule type="containsText" dxfId="1556" priority="3263" operator="containsText" text="error">
      <formula>NOT(ISERROR(SEARCH("error",K165)))</formula>
    </cfRule>
  </conditionalFormatting>
  <conditionalFormatting sqref="K207:L207 K206">
    <cfRule type="containsText" dxfId="1555" priority="3257" operator="containsText" text="error">
      <formula>NOT(ISERROR(SEARCH("error",K206)))</formula>
    </cfRule>
  </conditionalFormatting>
  <conditionalFormatting sqref="K248:L248 K247">
    <cfRule type="containsText" dxfId="1554" priority="3251" operator="containsText" text="error">
      <formula>NOT(ISERROR(SEARCH("error",K247)))</formula>
    </cfRule>
  </conditionalFormatting>
  <conditionalFormatting sqref="K289:L289 K288">
    <cfRule type="containsText" dxfId="1553" priority="3245" operator="containsText" text="error">
      <formula>NOT(ISERROR(SEARCH("error",K288)))</formula>
    </cfRule>
  </conditionalFormatting>
  <conditionalFormatting sqref="K330:L330 K329">
    <cfRule type="containsText" dxfId="1552" priority="3239" operator="containsText" text="error">
      <formula>NOT(ISERROR(SEARCH("error",K329)))</formula>
    </cfRule>
  </conditionalFormatting>
  <conditionalFormatting sqref="K371:L371 K370">
    <cfRule type="containsText" dxfId="1551" priority="3233" operator="containsText" text="error">
      <formula>NOT(ISERROR(SEARCH("error",K370)))</formula>
    </cfRule>
  </conditionalFormatting>
  <conditionalFormatting sqref="K412:L412 K411">
    <cfRule type="containsText" dxfId="1550" priority="3227" operator="containsText" text="error">
      <formula>NOT(ISERROR(SEARCH("error",K411)))</formula>
    </cfRule>
  </conditionalFormatting>
  <conditionalFormatting sqref="K453:L453 K452">
    <cfRule type="containsText" dxfId="1549" priority="3221" operator="containsText" text="error">
      <formula>NOT(ISERROR(SEARCH("error",K452)))</formula>
    </cfRule>
  </conditionalFormatting>
  <conditionalFormatting sqref="K494:L494 K493">
    <cfRule type="containsText" dxfId="1548" priority="3215" operator="containsText" text="error">
      <formula>NOT(ISERROR(SEARCH("error",K493)))</formula>
    </cfRule>
  </conditionalFormatting>
  <conditionalFormatting sqref="K535:L535 K534">
    <cfRule type="containsText" dxfId="1547" priority="3209" operator="containsText" text="error">
      <formula>NOT(ISERROR(SEARCH("error",K534)))</formula>
    </cfRule>
  </conditionalFormatting>
  <conditionalFormatting sqref="K576:L576 K575">
    <cfRule type="containsText" dxfId="1546" priority="3203" operator="containsText" text="error">
      <formula>NOT(ISERROR(SEARCH("error",K575)))</formula>
    </cfRule>
  </conditionalFormatting>
  <conditionalFormatting sqref="K617:L617 K616">
    <cfRule type="containsText" dxfId="1545" priority="3197" operator="containsText" text="error">
      <formula>NOT(ISERROR(SEARCH("error",K616)))</formula>
    </cfRule>
  </conditionalFormatting>
  <conditionalFormatting sqref="K658:L658 K657">
    <cfRule type="containsText" dxfId="1544" priority="3191" operator="containsText" text="error">
      <formula>NOT(ISERROR(SEARCH("error",K657)))</formula>
    </cfRule>
  </conditionalFormatting>
  <conditionalFormatting sqref="K699:L699 K698">
    <cfRule type="containsText" dxfId="1543" priority="3185" operator="containsText" text="error">
      <formula>NOT(ISERROR(SEARCH("error",K698)))</formula>
    </cfRule>
  </conditionalFormatting>
  <conditionalFormatting sqref="K740:L740 K739">
    <cfRule type="containsText" dxfId="1542" priority="3179" operator="containsText" text="error">
      <formula>NOT(ISERROR(SEARCH("error",K739)))</formula>
    </cfRule>
  </conditionalFormatting>
  <conditionalFormatting sqref="K781:L781 K780">
    <cfRule type="containsText" dxfId="1541" priority="3173" operator="containsText" text="error">
      <formula>NOT(ISERROR(SEARCH("error",K780)))</formula>
    </cfRule>
  </conditionalFormatting>
  <conditionalFormatting sqref="K822:L822 K821">
    <cfRule type="containsText" dxfId="1540" priority="3167" operator="containsText" text="error">
      <formula>NOT(ISERROR(SEARCH("error",K821)))</formula>
    </cfRule>
  </conditionalFormatting>
  <conditionalFormatting sqref="C128 C169 C210 C251 C292 C333 C374 C415 C456 C497 C538 C579 C620 C661 C702 C743 C784 C825">
    <cfRule type="expression" dxfId="1539" priority="3082">
      <formula>AND(OR(C129="NO",C129="REV T",C129="DBL REV"),C128="Field SPL")</formula>
    </cfRule>
  </conditionalFormatting>
  <conditionalFormatting sqref="K863:L863 K862">
    <cfRule type="containsText" dxfId="1538" priority="3080" operator="containsText" text="error">
      <formula>NOT(ISERROR(SEARCH("error",K862)))</formula>
    </cfRule>
  </conditionalFormatting>
  <conditionalFormatting sqref="K904:L904 K903">
    <cfRule type="containsText" dxfId="1537" priority="3073" operator="containsText" text="error">
      <formula>NOT(ISERROR(SEARCH("error",K903)))</formula>
    </cfRule>
  </conditionalFormatting>
  <conditionalFormatting sqref="K945:L945 K944">
    <cfRule type="containsText" dxfId="1536" priority="3066" operator="containsText" text="error">
      <formula>NOT(ISERROR(SEARCH("error",K944)))</formula>
    </cfRule>
  </conditionalFormatting>
  <conditionalFormatting sqref="K986:L986 K985">
    <cfRule type="containsText" dxfId="1535" priority="3059" operator="containsText" text="error">
      <formula>NOT(ISERROR(SEARCH("error",K985)))</formula>
    </cfRule>
  </conditionalFormatting>
  <conditionalFormatting sqref="K1027:L1027 K1026">
    <cfRule type="containsText" dxfId="1534" priority="3052" operator="containsText" text="error">
      <formula>NOT(ISERROR(SEARCH("error",K1026)))</formula>
    </cfRule>
  </conditionalFormatting>
  <conditionalFormatting sqref="K1068:L1068 K1067">
    <cfRule type="containsText" dxfId="1533" priority="3045" operator="containsText" text="error">
      <formula>NOT(ISERROR(SEARCH("error",K1067)))</formula>
    </cfRule>
  </conditionalFormatting>
  <conditionalFormatting sqref="K1109:L1109 K1108">
    <cfRule type="containsText" dxfId="1532" priority="3038" operator="containsText" text="error">
      <formula>NOT(ISERROR(SEARCH("error",K1108)))</formula>
    </cfRule>
  </conditionalFormatting>
  <conditionalFormatting sqref="K1150:L1150 K1149">
    <cfRule type="containsText" dxfId="1531" priority="3031" operator="containsText" text="error">
      <formula>NOT(ISERROR(SEARCH("error",K1149)))</formula>
    </cfRule>
  </conditionalFormatting>
  <conditionalFormatting sqref="K1191:L1191 K1190">
    <cfRule type="containsText" dxfId="1530" priority="3024" operator="containsText" text="error">
      <formula>NOT(ISERROR(SEARCH("error",K1190)))</formula>
    </cfRule>
  </conditionalFormatting>
  <conditionalFormatting sqref="K1232:L1232 K1231">
    <cfRule type="containsText" dxfId="1529" priority="3017" operator="containsText" text="error">
      <formula>NOT(ISERROR(SEARCH("error",K1231)))</formula>
    </cfRule>
  </conditionalFormatting>
  <conditionalFormatting sqref="K1273:L1273 K1272">
    <cfRule type="containsText" dxfId="1528" priority="3010" operator="containsText" text="error">
      <formula>NOT(ISERROR(SEARCH("error",K1272)))</formula>
    </cfRule>
  </conditionalFormatting>
  <conditionalFormatting sqref="K1314:L1314 K1313">
    <cfRule type="containsText" dxfId="1527" priority="3003" operator="containsText" text="error">
      <formula>NOT(ISERROR(SEARCH("error",K1313)))</formula>
    </cfRule>
  </conditionalFormatting>
  <conditionalFormatting sqref="K1355:L1355 K1354">
    <cfRule type="containsText" dxfId="1526" priority="2996" operator="containsText" text="error">
      <formula>NOT(ISERROR(SEARCH("error",K1354)))</formula>
    </cfRule>
  </conditionalFormatting>
  <conditionalFormatting sqref="K1396:L1396 K1395">
    <cfRule type="containsText" dxfId="1525" priority="2989" operator="containsText" text="error">
      <formula>NOT(ISERROR(SEARCH("error",K1395)))</formula>
    </cfRule>
  </conditionalFormatting>
  <conditionalFormatting sqref="K1437:L1437 K1436">
    <cfRule type="containsText" dxfId="1524" priority="2982" operator="containsText" text="error">
      <formula>NOT(ISERROR(SEARCH("error",K1436)))</formula>
    </cfRule>
  </conditionalFormatting>
  <conditionalFormatting sqref="K1478:L1478 K1477">
    <cfRule type="containsText" dxfId="1523" priority="2975" operator="containsText" text="error">
      <formula>NOT(ISERROR(SEARCH("error",K1477)))</formula>
    </cfRule>
  </conditionalFormatting>
  <conditionalFormatting sqref="K1519:L1519 K1518">
    <cfRule type="containsText" dxfId="1522" priority="2968" operator="containsText" text="error">
      <formula>NOT(ISERROR(SEARCH("error",K1518)))</formula>
    </cfRule>
  </conditionalFormatting>
  <conditionalFormatting sqref="K1560:L1560 K1559">
    <cfRule type="containsText" dxfId="1521" priority="2961" operator="containsText" text="error">
      <formula>NOT(ISERROR(SEARCH("error",K1559)))</formula>
    </cfRule>
  </conditionalFormatting>
  <conditionalFormatting sqref="K1601:L1601 K1600">
    <cfRule type="containsText" dxfId="1520" priority="2954" operator="containsText" text="error">
      <formula>NOT(ISERROR(SEARCH("error",K1600)))</formula>
    </cfRule>
  </conditionalFormatting>
  <conditionalFormatting sqref="K1642:L1642 K1641">
    <cfRule type="containsText" dxfId="1519" priority="2947" operator="containsText" text="error">
      <formula>NOT(ISERROR(SEARCH("error",K1641)))</formula>
    </cfRule>
  </conditionalFormatting>
  <conditionalFormatting sqref="E41">
    <cfRule type="expression" dxfId="1518" priority="2920">
      <formula>AND(OR(C41="NO",C41="REV T",C41="DBL REV",C41="TPL REV",C41="QD REV"),E41&gt;12)</formula>
    </cfRule>
  </conditionalFormatting>
  <conditionalFormatting sqref="J17">
    <cfRule type="expression" dxfId="1517" priority="2795">
      <formula>AND(C17="NO",E17&lt;12,C18="")</formula>
    </cfRule>
  </conditionalFormatting>
  <conditionalFormatting sqref="B29:B41">
    <cfRule type="expression" dxfId="1516" priority="2636">
      <formula>Z29="error"</formula>
    </cfRule>
  </conditionalFormatting>
  <conditionalFormatting sqref="B29:B41">
    <cfRule type="expression" dxfId="1515" priority="2634">
      <formula>AA31="error"</formula>
    </cfRule>
  </conditionalFormatting>
  <conditionalFormatting sqref="E41">
    <cfRule type="expression" dxfId="1514" priority="2627">
      <formula>AND(OR(C41="NO",C41="REV T",C41="DBL REV",C41="TPL REV",C41="QD REV"),E41&gt;12)</formula>
    </cfRule>
  </conditionalFormatting>
  <conditionalFormatting sqref="E12">
    <cfRule type="expression" dxfId="1513" priority="2569">
      <formula>AND(E7="EUC",E8&gt;48,E12="Y")</formula>
    </cfRule>
    <cfRule type="expression" dxfId="1512" priority="2570">
      <formula>AND(E7="RPX",E8&gt;48,E12="Y")</formula>
    </cfRule>
    <cfRule type="expression" dxfId="1511" priority="2571">
      <formula>AND(E7="SS",E8&gt;48,E12="Y")</formula>
    </cfRule>
  </conditionalFormatting>
  <conditionalFormatting sqref="I11">
    <cfRule type="expression" dxfId="1510" priority="2408">
      <formula>I11=0</formula>
    </cfRule>
    <cfRule type="expression" dxfId="1509" priority="2409">
      <formula>MOD(I11,2)=0</formula>
    </cfRule>
  </conditionalFormatting>
  <conditionalFormatting sqref="E35:E40">
    <cfRule type="expression" dxfId="1508" priority="2325">
      <formula>AND(OR(C35="NO",C35="REV T",C35="DBL REV",C35="TPL REV",C35="QD REV"),E35&gt;12)</formula>
    </cfRule>
  </conditionalFormatting>
  <conditionalFormatting sqref="C35:C41">
    <cfRule type="expression" dxfId="1507" priority="2324">
      <formula>AND(OR(C36="FST",C36="REV T",C36="DBL REV",C36="TPL REV",C36="QD REV"),C35="Field SPL")</formula>
    </cfRule>
  </conditionalFormatting>
  <conditionalFormatting sqref="I6">
    <cfRule type="expression" dxfId="1506" priority="2317">
      <formula>AND(E7="EUC",E8=432,I6&gt;204)</formula>
    </cfRule>
  </conditionalFormatting>
  <conditionalFormatting sqref="K1683:L1683 K1682">
    <cfRule type="containsText" dxfId="1505" priority="2257" operator="containsText" text="error">
      <formula>NOT(ISERROR(SEARCH("error",K1682)))</formula>
    </cfRule>
  </conditionalFormatting>
  <conditionalFormatting sqref="K1724:L1724 K1723">
    <cfRule type="containsText" dxfId="1504" priority="2231" operator="containsText" text="error">
      <formula>NOT(ISERROR(SEARCH("error",K1723)))</formula>
    </cfRule>
  </conditionalFormatting>
  <conditionalFormatting sqref="K1765:L1765 K1764">
    <cfRule type="containsText" dxfId="1503" priority="2205" operator="containsText" text="error">
      <formula>NOT(ISERROR(SEARCH("error",K1764)))</formula>
    </cfRule>
  </conditionalFormatting>
  <conditionalFormatting sqref="K1806:L1806 K1805">
    <cfRule type="containsText" dxfId="1502" priority="2179" operator="containsText" text="error">
      <formula>NOT(ISERROR(SEARCH("error",K1805)))</formula>
    </cfRule>
  </conditionalFormatting>
  <conditionalFormatting sqref="K1847:L1847 K1846">
    <cfRule type="containsText" dxfId="1501" priority="2153" operator="containsText" text="error">
      <formula>NOT(ISERROR(SEARCH("error",K1846)))</formula>
    </cfRule>
  </conditionalFormatting>
  <conditionalFormatting sqref="K1888:L1888 K1887">
    <cfRule type="containsText" dxfId="1500" priority="2127" operator="containsText" text="error">
      <formula>NOT(ISERROR(SEARCH("error",K1887)))</formula>
    </cfRule>
  </conditionalFormatting>
  <conditionalFormatting sqref="K1929:L1929 K1928">
    <cfRule type="containsText" dxfId="1499" priority="2101" operator="containsText" text="error">
      <formula>NOT(ISERROR(SEARCH("error",K1928)))</formula>
    </cfRule>
  </conditionalFormatting>
  <conditionalFormatting sqref="K1970:L1970 K1969">
    <cfRule type="containsText" dxfId="1498" priority="2075" operator="containsText" text="error">
      <formula>NOT(ISERROR(SEARCH("error",K1969)))</formula>
    </cfRule>
  </conditionalFormatting>
  <conditionalFormatting sqref="K2011:L2011 K2010">
    <cfRule type="containsText" dxfId="1497" priority="2049" operator="containsText" text="error">
      <formula>NOT(ISERROR(SEARCH("error",K2010)))</formula>
    </cfRule>
  </conditionalFormatting>
  <conditionalFormatting sqref="K2052:L2052 K2051">
    <cfRule type="containsText" dxfId="1496" priority="2023" operator="containsText" text="error">
      <formula>NOT(ISERROR(SEARCH("error",K2051)))</formula>
    </cfRule>
  </conditionalFormatting>
  <conditionalFormatting sqref="E8">
    <cfRule type="expression" dxfId="1495" priority="1798">
      <formula>(AND(E7="EUC",E8=432))</formula>
    </cfRule>
    <cfRule type="expression" dxfId="1494" priority="1799">
      <formula>AND(E7="SS",E8&gt;216)</formula>
    </cfRule>
    <cfRule type="expression" dxfId="1493" priority="1800">
      <formula>(AND(E7="EUC",E8&gt;216))</formula>
    </cfRule>
    <cfRule type="expression" dxfId="1492" priority="1801">
      <formula>AND(E7="RPX",E8&gt;216)</formula>
    </cfRule>
  </conditionalFormatting>
  <conditionalFormatting sqref="E20:E34">
    <cfRule type="expression" dxfId="1491" priority="1797">
      <formula>AND(OR(C20="NO",C20="REV T",C20="DBL REV",C20="TPL REV",C20="QD REV"),E20&gt;12)</formula>
    </cfRule>
  </conditionalFormatting>
  <conditionalFormatting sqref="C20:C34">
    <cfRule type="expression" dxfId="1490" priority="1796">
      <formula>AND(OR(C21="FST",C21="REV T",C21="DBL REV",C21="TPL REV",C21="QD REV"),C20="Field SPL")</formula>
    </cfRule>
  </conditionalFormatting>
  <conditionalFormatting sqref="L49">
    <cfRule type="cellIs" dxfId="1489" priority="1750" operator="lessThan">
      <formula>$L$7</formula>
    </cfRule>
  </conditionalFormatting>
  <conditionalFormatting sqref="I48">
    <cfRule type="cellIs" dxfId="1488" priority="1749" operator="lessThan">
      <formula>0</formula>
    </cfRule>
  </conditionalFormatting>
  <conditionalFormatting sqref="H58:I82">
    <cfRule type="cellIs" dxfId="1487" priority="1748" operator="lessThan">
      <formula>0</formula>
    </cfRule>
  </conditionalFormatting>
  <conditionalFormatting sqref="E82">
    <cfRule type="expression" dxfId="1486" priority="1747">
      <formula>AND(OR(C82="NO",C82="REV T",C82="DBL REV",C82="TPL REV",C82="QD REV"),E82&gt;12)</formula>
    </cfRule>
  </conditionalFormatting>
  <conditionalFormatting sqref="B70:B82">
    <cfRule type="expression" dxfId="1485" priority="1745">
      <formula>Z70="error"</formula>
    </cfRule>
  </conditionalFormatting>
  <conditionalFormatting sqref="B70:B82">
    <cfRule type="expression" dxfId="1484" priority="1744">
      <formula>AA72="error"</formula>
    </cfRule>
  </conditionalFormatting>
  <conditionalFormatting sqref="E82">
    <cfRule type="expression" dxfId="1483" priority="1743">
      <formula>AND(OR(C82="NO",C82="REV T",C82="DBL REV",C82="TPL REV",C82="QD REV"),E82&gt;12)</formula>
    </cfRule>
  </conditionalFormatting>
  <conditionalFormatting sqref="E53">
    <cfRule type="expression" dxfId="1482" priority="1740">
      <formula>AND(E48="EUC",E49&gt;48,E53="Y")</formula>
    </cfRule>
    <cfRule type="expression" dxfId="1481" priority="1741">
      <formula>AND(E48="RPX",E49&gt;48,E53="Y")</formula>
    </cfRule>
    <cfRule type="expression" dxfId="1480" priority="1742">
      <formula>AND(E48="SS",E49&gt;48,E53="Y")</formula>
    </cfRule>
  </conditionalFormatting>
  <conditionalFormatting sqref="I52">
    <cfRule type="expression" dxfId="1479" priority="1737">
      <formula>I52=0</formula>
    </cfRule>
    <cfRule type="expression" dxfId="1478" priority="1738">
      <formula>MOD(I52,2)=0</formula>
    </cfRule>
  </conditionalFormatting>
  <conditionalFormatting sqref="E77:E81">
    <cfRule type="expression" dxfId="1477" priority="1736">
      <formula>AND(OR(C77="NO",C77="REV T",C77="DBL REV",C77="TPL REV",C77="QD REV"),E77&gt;12)</formula>
    </cfRule>
  </conditionalFormatting>
  <conditionalFormatting sqref="C77:C82">
    <cfRule type="expression" dxfId="1476" priority="1735">
      <formula>AND(OR(C78="FST",C78="REV T",C78="DBL REV",C78="TPL REV",C78="QD REV"),C77="Field SPL")</formula>
    </cfRule>
  </conditionalFormatting>
  <conditionalFormatting sqref="I47">
    <cfRule type="expression" dxfId="1475" priority="1734">
      <formula>AND(E48="EUC",E49=432,I47&gt;204)</formula>
    </cfRule>
  </conditionalFormatting>
  <conditionalFormatting sqref="E49">
    <cfRule type="expression" dxfId="1474" priority="1730">
      <formula>(AND(E48="EUC",E49=432))</formula>
    </cfRule>
    <cfRule type="expression" dxfId="1473" priority="1731">
      <formula>AND(E48="SS",E49&gt;216)</formula>
    </cfRule>
    <cfRule type="expression" dxfId="1472" priority="1732">
      <formula>(AND(E48="EUC",E49&gt;216))</formula>
    </cfRule>
    <cfRule type="expression" dxfId="1471" priority="1733">
      <formula>AND(E48="RPX",E49&gt;216)</formula>
    </cfRule>
  </conditionalFormatting>
  <conditionalFormatting sqref="L90">
    <cfRule type="cellIs" dxfId="1470" priority="1724" operator="lessThan">
      <formula>$L$7</formula>
    </cfRule>
  </conditionalFormatting>
  <conditionalFormatting sqref="I89">
    <cfRule type="cellIs" dxfId="1469" priority="1723" operator="lessThan">
      <formula>0</formula>
    </cfRule>
  </conditionalFormatting>
  <conditionalFormatting sqref="H99:I123">
    <cfRule type="cellIs" dxfId="1468" priority="1722" operator="lessThan">
      <formula>0</formula>
    </cfRule>
  </conditionalFormatting>
  <conditionalFormatting sqref="E123">
    <cfRule type="expression" dxfId="1467" priority="1721">
      <formula>AND(OR(C123="NO",C123="REV T",C123="DBL REV",C123="TPL REV",C123="QD REV"),E123&gt;12)</formula>
    </cfRule>
  </conditionalFormatting>
  <conditionalFormatting sqref="B111:B123">
    <cfRule type="expression" dxfId="1466" priority="1719">
      <formula>Z111="error"</formula>
    </cfRule>
  </conditionalFormatting>
  <conditionalFormatting sqref="B111:B123">
    <cfRule type="expression" dxfId="1465" priority="1718">
      <formula>AA113="error"</formula>
    </cfRule>
  </conditionalFormatting>
  <conditionalFormatting sqref="E123">
    <cfRule type="expression" dxfId="1464" priority="1717">
      <formula>AND(OR(C123="NO",C123="REV T",C123="DBL REV",C123="TPL REV",C123="QD REV"),E123&gt;12)</formula>
    </cfRule>
  </conditionalFormatting>
  <conditionalFormatting sqref="E94">
    <cfRule type="expression" dxfId="1463" priority="1714">
      <formula>AND(E89="EUC",E90&gt;48,E94="Y")</formula>
    </cfRule>
    <cfRule type="expression" dxfId="1462" priority="1715">
      <formula>AND(E89="RPX",E90&gt;48,E94="Y")</formula>
    </cfRule>
    <cfRule type="expression" dxfId="1461" priority="1716">
      <formula>AND(E89="SS",E90&gt;48,E94="Y")</formula>
    </cfRule>
  </conditionalFormatting>
  <conditionalFormatting sqref="I93">
    <cfRule type="expression" dxfId="1460" priority="1711">
      <formula>I93=0</formula>
    </cfRule>
    <cfRule type="expression" dxfId="1459" priority="1712">
      <formula>MOD(I93,2)=0</formula>
    </cfRule>
  </conditionalFormatting>
  <conditionalFormatting sqref="E117:E122">
    <cfRule type="expression" dxfId="1458" priority="1710">
      <formula>AND(OR(C117="NO",C117="REV T",C117="DBL REV",C117="TPL REV",C117="QD REV"),E117&gt;12)</formula>
    </cfRule>
  </conditionalFormatting>
  <conditionalFormatting sqref="C117:C123">
    <cfRule type="expression" dxfId="1457" priority="1709">
      <formula>AND(OR(C118="FST",C118="REV T",C118="DBL REV",C118="TPL REV",C118="QD REV"),C117="Field SPL")</formula>
    </cfRule>
  </conditionalFormatting>
  <conditionalFormatting sqref="I88">
    <cfRule type="expression" dxfId="1456" priority="1708">
      <formula>AND(E89="EUC",E90=432,I88&gt;204)</formula>
    </cfRule>
  </conditionalFormatting>
  <conditionalFormatting sqref="E90">
    <cfRule type="expression" dxfId="1455" priority="1704">
      <formula>(AND(E89="EUC",E90=432))</formula>
    </cfRule>
    <cfRule type="expression" dxfId="1454" priority="1705">
      <formula>AND(E89="SS",E90&gt;216)</formula>
    </cfRule>
    <cfRule type="expression" dxfId="1453" priority="1706">
      <formula>(AND(E89="EUC",E90&gt;216))</formula>
    </cfRule>
    <cfRule type="expression" dxfId="1452" priority="1707">
      <formula>AND(E89="RPX",E90&gt;216)</formula>
    </cfRule>
  </conditionalFormatting>
  <conditionalFormatting sqref="E109:E116">
    <cfRule type="expression" dxfId="1451" priority="1703">
      <formula>AND(OR(C109="NO",C109="REV T",C109="DBL REV",C109="TPL REV",C109="QD REV"),E109&gt;12)</formula>
    </cfRule>
  </conditionalFormatting>
  <conditionalFormatting sqref="C109:C116">
    <cfRule type="expression" dxfId="1450" priority="1702">
      <formula>AND(OR(C110="FST",C110="REV T",C110="DBL REV",C110="TPL REV",C110="QD REV"),C109="Field SPL")</formula>
    </cfRule>
  </conditionalFormatting>
  <conditionalFormatting sqref="L131">
    <cfRule type="cellIs" dxfId="1449" priority="1698" operator="lessThan">
      <formula>$L$7</formula>
    </cfRule>
  </conditionalFormatting>
  <conditionalFormatting sqref="I130">
    <cfRule type="cellIs" dxfId="1448" priority="1697" operator="lessThan">
      <formula>0</formula>
    </cfRule>
  </conditionalFormatting>
  <conditionalFormatting sqref="H140:I164">
    <cfRule type="cellIs" dxfId="1447" priority="1696" operator="lessThan">
      <formula>0</formula>
    </cfRule>
  </conditionalFormatting>
  <conditionalFormatting sqref="E164">
    <cfRule type="expression" dxfId="1446" priority="1695">
      <formula>AND(OR(C164="NO",C164="REV T",C164="DBL REV",C164="TPL REV",C164="QD REV"),E164&gt;12)</formula>
    </cfRule>
  </conditionalFormatting>
  <conditionalFormatting sqref="B152:B164">
    <cfRule type="expression" dxfId="1445" priority="1693">
      <formula>Z152="error"</formula>
    </cfRule>
  </conditionalFormatting>
  <conditionalFormatting sqref="B152:B164">
    <cfRule type="expression" dxfId="1444" priority="1692">
      <formula>AA154="error"</formula>
    </cfRule>
  </conditionalFormatting>
  <conditionalFormatting sqref="E164">
    <cfRule type="expression" dxfId="1443" priority="1691">
      <formula>AND(OR(C164="NO",C164="REV T",C164="DBL REV",C164="TPL REV",C164="QD REV"),E164&gt;12)</formula>
    </cfRule>
  </conditionalFormatting>
  <conditionalFormatting sqref="E135">
    <cfRule type="expression" dxfId="1442" priority="1688">
      <formula>AND(E130="EUC",E131&gt;48,E135="Y")</formula>
    </cfRule>
    <cfRule type="expression" dxfId="1441" priority="1689">
      <formula>AND(E130="RPX",E131&gt;48,E135="Y")</formula>
    </cfRule>
    <cfRule type="expression" dxfId="1440" priority="1690">
      <formula>AND(E130="SS",E131&gt;48,E135="Y")</formula>
    </cfRule>
  </conditionalFormatting>
  <conditionalFormatting sqref="I134">
    <cfRule type="expression" dxfId="1439" priority="1685">
      <formula>I134=0</formula>
    </cfRule>
    <cfRule type="expression" dxfId="1438" priority="1686">
      <formula>MOD(I134,2)=0</formula>
    </cfRule>
  </conditionalFormatting>
  <conditionalFormatting sqref="E158:E163">
    <cfRule type="expression" dxfId="1437" priority="1684">
      <formula>AND(OR(C158="NO",C158="REV T",C158="DBL REV",C158="TPL REV",C158="QD REV"),E158&gt;12)</formula>
    </cfRule>
  </conditionalFormatting>
  <conditionalFormatting sqref="C158:C164">
    <cfRule type="expression" dxfId="1436" priority="1683">
      <formula>AND(OR(C159="FST",C159="REV T",C159="DBL REV",C159="TPL REV",C159="QD REV"),C158="Field SPL")</formula>
    </cfRule>
  </conditionalFormatting>
  <conditionalFormatting sqref="I129">
    <cfRule type="expression" dxfId="1435" priority="1682">
      <formula>AND(E130="EUC",E131=432,I129&gt;204)</formula>
    </cfRule>
  </conditionalFormatting>
  <conditionalFormatting sqref="E131">
    <cfRule type="expression" dxfId="1434" priority="1678">
      <formula>(AND(E130="EUC",E131=432))</formula>
    </cfRule>
    <cfRule type="expression" dxfId="1433" priority="1679">
      <formula>AND(E130="SS",E131&gt;216)</formula>
    </cfRule>
    <cfRule type="expression" dxfId="1432" priority="1680">
      <formula>(AND(E130="EUC",E131&gt;216))</formula>
    </cfRule>
    <cfRule type="expression" dxfId="1431" priority="1681">
      <formula>AND(E130="RPX",E131&gt;216)</formula>
    </cfRule>
  </conditionalFormatting>
  <conditionalFormatting sqref="E152:E157">
    <cfRule type="expression" dxfId="1430" priority="1677">
      <formula>AND(OR(C152="NO",C152="REV T",C152="DBL REV",C152="TPL REV",C152="QD REV"),E152&gt;12)</formula>
    </cfRule>
  </conditionalFormatting>
  <conditionalFormatting sqref="C152:C157">
    <cfRule type="expression" dxfId="1429" priority="1676">
      <formula>AND(OR(C153="FST",C153="REV T",C153="DBL REV",C153="TPL REV",C153="QD REV"),C152="Field SPL")</formula>
    </cfRule>
  </conditionalFormatting>
  <conditionalFormatting sqref="L172">
    <cfRule type="cellIs" dxfId="1428" priority="1672" operator="lessThan">
      <formula>$L$7</formula>
    </cfRule>
  </conditionalFormatting>
  <conditionalFormatting sqref="I171">
    <cfRule type="cellIs" dxfId="1427" priority="1671" operator="lessThan">
      <formula>0</formula>
    </cfRule>
  </conditionalFormatting>
  <conditionalFormatting sqref="H181:I205">
    <cfRule type="cellIs" dxfId="1426" priority="1670" operator="lessThan">
      <formula>0</formula>
    </cfRule>
  </conditionalFormatting>
  <conditionalFormatting sqref="E205">
    <cfRule type="expression" dxfId="1425" priority="1669">
      <formula>AND(OR(C205="NO",C205="REV T",C205="DBL REV",C205="TPL REV",C205="QD REV"),E205&gt;12)</formula>
    </cfRule>
  </conditionalFormatting>
  <conditionalFormatting sqref="B193:B205">
    <cfRule type="expression" dxfId="1424" priority="1667">
      <formula>Z193="error"</formula>
    </cfRule>
  </conditionalFormatting>
  <conditionalFormatting sqref="B193:B205">
    <cfRule type="expression" dxfId="1423" priority="1666">
      <formula>AA195="error"</formula>
    </cfRule>
  </conditionalFormatting>
  <conditionalFormatting sqref="E205">
    <cfRule type="expression" dxfId="1422" priority="1665">
      <formula>AND(OR(C205="NO",C205="REV T",C205="DBL REV",C205="TPL REV",C205="QD REV"),E205&gt;12)</formula>
    </cfRule>
  </conditionalFormatting>
  <conditionalFormatting sqref="E176">
    <cfRule type="expression" dxfId="1421" priority="1662">
      <formula>AND(E171="EUC",E172&gt;48,E176="Y")</formula>
    </cfRule>
    <cfRule type="expression" dxfId="1420" priority="1663">
      <formula>AND(E171="RPX",E172&gt;48,E176="Y")</formula>
    </cfRule>
    <cfRule type="expression" dxfId="1419" priority="1664">
      <formula>AND(E171="SS",E172&gt;48,E176="Y")</formula>
    </cfRule>
  </conditionalFormatting>
  <conditionalFormatting sqref="I175">
    <cfRule type="expression" dxfId="1418" priority="1659">
      <formula>I175=0</formula>
    </cfRule>
    <cfRule type="expression" dxfId="1417" priority="1660">
      <formula>MOD(I175,2)=0</formula>
    </cfRule>
  </conditionalFormatting>
  <conditionalFormatting sqref="E199:E204">
    <cfRule type="expression" dxfId="1416" priority="1658">
      <formula>AND(OR(C199="NO",C199="REV T",C199="DBL REV",C199="TPL REV",C199="QD REV"),E199&gt;12)</formula>
    </cfRule>
  </conditionalFormatting>
  <conditionalFormatting sqref="C199:C205">
    <cfRule type="expression" dxfId="1415" priority="1657">
      <formula>AND(OR(C200="FST",C200="REV T",C200="DBL REV",C200="TPL REV",C200="QD REV"),C199="Field SPL")</formula>
    </cfRule>
  </conditionalFormatting>
  <conditionalFormatting sqref="I170">
    <cfRule type="expression" dxfId="1414" priority="1656">
      <formula>AND(E171="EUC",E172=432,I170&gt;204)</formula>
    </cfRule>
  </conditionalFormatting>
  <conditionalFormatting sqref="E172">
    <cfRule type="expression" dxfId="1413" priority="1652">
      <formula>(AND(E171="EUC",E172=432))</formula>
    </cfRule>
    <cfRule type="expression" dxfId="1412" priority="1653">
      <formula>AND(E171="SS",E172&gt;216)</formula>
    </cfRule>
    <cfRule type="expression" dxfId="1411" priority="1654">
      <formula>(AND(E171="EUC",E172&gt;216))</formula>
    </cfRule>
    <cfRule type="expression" dxfId="1410" priority="1655">
      <formula>AND(E171="RPX",E172&gt;216)</formula>
    </cfRule>
  </conditionalFormatting>
  <conditionalFormatting sqref="E192:E198">
    <cfRule type="expression" dxfId="1409" priority="1651">
      <formula>AND(OR(C192="NO",C192="REV T",C192="DBL REV",C192="TPL REV",C192="QD REV"),E192&gt;12)</formula>
    </cfRule>
  </conditionalFormatting>
  <conditionalFormatting sqref="C192:C198">
    <cfRule type="expression" dxfId="1408" priority="1650">
      <formula>AND(OR(C193="FST",C193="REV T",C193="DBL REV",C193="TPL REV",C193="QD REV"),C192="Field SPL")</formula>
    </cfRule>
  </conditionalFormatting>
  <conditionalFormatting sqref="L213">
    <cfRule type="cellIs" dxfId="1407" priority="1646" operator="lessThan">
      <formula>$L$7</formula>
    </cfRule>
  </conditionalFormatting>
  <conditionalFormatting sqref="I212">
    <cfRule type="cellIs" dxfId="1406" priority="1645" operator="lessThan">
      <formula>0</formula>
    </cfRule>
  </conditionalFormatting>
  <conditionalFormatting sqref="H222:I246">
    <cfRule type="cellIs" dxfId="1405" priority="1644" operator="lessThan">
      <formula>0</formula>
    </cfRule>
  </conditionalFormatting>
  <conditionalFormatting sqref="E246">
    <cfRule type="expression" dxfId="1404" priority="1643">
      <formula>AND(OR(C246="NO",C246="REV T",C246="DBL REV",C246="TPL REV",C246="QD REV"),E246&gt;12)</formula>
    </cfRule>
  </conditionalFormatting>
  <conditionalFormatting sqref="B234:B246">
    <cfRule type="expression" dxfId="1403" priority="1641">
      <formula>Z234="error"</formula>
    </cfRule>
  </conditionalFormatting>
  <conditionalFormatting sqref="B234:B246">
    <cfRule type="expression" dxfId="1402" priority="1640">
      <formula>AA236="error"</formula>
    </cfRule>
  </conditionalFormatting>
  <conditionalFormatting sqref="E246">
    <cfRule type="expression" dxfId="1401" priority="1639">
      <formula>AND(OR(C246="NO",C246="REV T",C246="DBL REV",C246="TPL REV",C246="QD REV"),E246&gt;12)</formula>
    </cfRule>
  </conditionalFormatting>
  <conditionalFormatting sqref="E217">
    <cfRule type="expression" dxfId="1400" priority="1636">
      <formula>AND(E212="EUC",E213&gt;48,E217="Y")</formula>
    </cfRule>
    <cfRule type="expression" dxfId="1399" priority="1637">
      <formula>AND(E212="RPX",E213&gt;48,E217="Y")</formula>
    </cfRule>
    <cfRule type="expression" dxfId="1398" priority="1638">
      <formula>AND(E212="SS",E213&gt;48,E217="Y")</formula>
    </cfRule>
  </conditionalFormatting>
  <conditionalFormatting sqref="I216">
    <cfRule type="expression" dxfId="1397" priority="1633">
      <formula>I216=0</formula>
    </cfRule>
    <cfRule type="expression" dxfId="1396" priority="1634">
      <formula>MOD(I216,2)=0</formula>
    </cfRule>
  </conditionalFormatting>
  <conditionalFormatting sqref="E240:E245">
    <cfRule type="expression" dxfId="1395" priority="1632">
      <formula>AND(OR(C240="NO",C240="REV T",C240="DBL REV",C240="TPL REV",C240="QD REV"),E240&gt;12)</formula>
    </cfRule>
  </conditionalFormatting>
  <conditionalFormatting sqref="C240:C246">
    <cfRule type="expression" dxfId="1394" priority="1631">
      <formula>AND(OR(C241="FST",C241="REV T",C241="DBL REV",C241="TPL REV",C241="QD REV"),C240="Field SPL")</formula>
    </cfRule>
  </conditionalFormatting>
  <conditionalFormatting sqref="I211">
    <cfRule type="expression" dxfId="1393" priority="1630">
      <formula>AND(E212="EUC",E213=432,I211&gt;204)</formula>
    </cfRule>
  </conditionalFormatting>
  <conditionalFormatting sqref="E213">
    <cfRule type="expression" dxfId="1392" priority="1626">
      <formula>(AND(E212="EUC",E213=432))</formula>
    </cfRule>
    <cfRule type="expression" dxfId="1391" priority="1627">
      <formula>AND(E212="SS",E213&gt;216)</formula>
    </cfRule>
    <cfRule type="expression" dxfId="1390" priority="1628">
      <formula>(AND(E212="EUC",E213&gt;216))</formula>
    </cfRule>
    <cfRule type="expression" dxfId="1389" priority="1629">
      <formula>AND(E212="RPX",E213&gt;216)</formula>
    </cfRule>
  </conditionalFormatting>
  <conditionalFormatting sqref="E234:E239">
    <cfRule type="expression" dxfId="1388" priority="1625">
      <formula>AND(OR(C234="NO",C234="REV T",C234="DBL REV",C234="TPL REV",C234="QD REV"),E234&gt;12)</formula>
    </cfRule>
  </conditionalFormatting>
  <conditionalFormatting sqref="C234:C239">
    <cfRule type="expression" dxfId="1387" priority="1624">
      <formula>AND(OR(C235="FST",C235="REV T",C235="DBL REV",C235="TPL REV",C235="QD REV"),C234="Field SPL")</formula>
    </cfRule>
  </conditionalFormatting>
  <conditionalFormatting sqref="L254">
    <cfRule type="cellIs" dxfId="1386" priority="1620" operator="lessThan">
      <formula>$L$7</formula>
    </cfRule>
  </conditionalFormatting>
  <conditionalFormatting sqref="I253">
    <cfRule type="cellIs" dxfId="1385" priority="1619" operator="lessThan">
      <formula>0</formula>
    </cfRule>
  </conditionalFormatting>
  <conditionalFormatting sqref="H263:I287">
    <cfRule type="cellIs" dxfId="1384" priority="1618" operator="lessThan">
      <formula>0</formula>
    </cfRule>
  </conditionalFormatting>
  <conditionalFormatting sqref="E287">
    <cfRule type="expression" dxfId="1383" priority="1617">
      <formula>AND(OR(C287="NO",C287="REV T",C287="DBL REV",C287="TPL REV",C287="QD REV"),E287&gt;12)</formula>
    </cfRule>
  </conditionalFormatting>
  <conditionalFormatting sqref="B275:B287">
    <cfRule type="expression" dxfId="1382" priority="1615">
      <formula>Z275="error"</formula>
    </cfRule>
  </conditionalFormatting>
  <conditionalFormatting sqref="B275:B287">
    <cfRule type="expression" dxfId="1381" priority="1614">
      <formula>AA277="error"</formula>
    </cfRule>
  </conditionalFormatting>
  <conditionalFormatting sqref="E287">
    <cfRule type="expression" dxfId="1380" priority="1613">
      <formula>AND(OR(C287="NO",C287="REV T",C287="DBL REV",C287="TPL REV",C287="QD REV"),E287&gt;12)</formula>
    </cfRule>
  </conditionalFormatting>
  <conditionalFormatting sqref="E258">
    <cfRule type="expression" dxfId="1379" priority="1610">
      <formula>AND(E253="EUC",E254&gt;48,E258="Y")</formula>
    </cfRule>
    <cfRule type="expression" dxfId="1378" priority="1611">
      <formula>AND(E253="RPX",E254&gt;48,E258="Y")</formula>
    </cfRule>
    <cfRule type="expression" dxfId="1377" priority="1612">
      <formula>AND(E253="SS",E254&gt;48,E258="Y")</formula>
    </cfRule>
  </conditionalFormatting>
  <conditionalFormatting sqref="I257">
    <cfRule type="expression" dxfId="1376" priority="1607">
      <formula>I257=0</formula>
    </cfRule>
    <cfRule type="expression" dxfId="1375" priority="1608">
      <formula>MOD(I257,2)=0</formula>
    </cfRule>
  </conditionalFormatting>
  <conditionalFormatting sqref="E281:E286">
    <cfRule type="expression" dxfId="1374" priority="1606">
      <formula>AND(OR(C281="NO",C281="REV T",C281="DBL REV",C281="TPL REV",C281="QD REV"),E281&gt;12)</formula>
    </cfRule>
  </conditionalFormatting>
  <conditionalFormatting sqref="C281:C287">
    <cfRule type="expression" dxfId="1373" priority="1605">
      <formula>AND(OR(C282="FST",C282="REV T",C282="DBL REV",C282="TPL REV",C282="QD REV"),C281="Field SPL")</formula>
    </cfRule>
  </conditionalFormatting>
  <conditionalFormatting sqref="I252">
    <cfRule type="expression" dxfId="1372" priority="1604">
      <formula>AND(E253="EUC",E254=432,I252&gt;204)</formula>
    </cfRule>
  </conditionalFormatting>
  <conditionalFormatting sqref="E254">
    <cfRule type="expression" dxfId="1371" priority="1600">
      <formula>(AND(E253="EUC",E254=432))</formula>
    </cfRule>
    <cfRule type="expression" dxfId="1370" priority="1601">
      <formula>AND(E253="SS",E254&gt;216)</formula>
    </cfRule>
    <cfRule type="expression" dxfId="1369" priority="1602">
      <formula>(AND(E253="EUC",E254&gt;216))</formula>
    </cfRule>
    <cfRule type="expression" dxfId="1368" priority="1603">
      <formula>AND(E253="RPX",E254&gt;216)</formula>
    </cfRule>
  </conditionalFormatting>
  <conditionalFormatting sqref="E271:E280">
    <cfRule type="expression" dxfId="1367" priority="1599">
      <formula>AND(OR(C271="NO",C271="REV T",C271="DBL REV",C271="TPL REV",C271="QD REV"),E271&gt;12)</formula>
    </cfRule>
  </conditionalFormatting>
  <conditionalFormatting sqref="C271:C280">
    <cfRule type="expression" dxfId="1366" priority="1598">
      <formula>AND(OR(C272="FST",C272="REV T",C272="DBL REV",C272="TPL REV",C272="QD REV"),C271="Field SPL")</formula>
    </cfRule>
  </conditionalFormatting>
  <conditionalFormatting sqref="L295">
    <cfRule type="cellIs" dxfId="1365" priority="1594" operator="lessThan">
      <formula>$L$7</formula>
    </cfRule>
  </conditionalFormatting>
  <conditionalFormatting sqref="I294">
    <cfRule type="cellIs" dxfId="1364" priority="1593" operator="lessThan">
      <formula>0</formula>
    </cfRule>
  </conditionalFormatting>
  <conditionalFormatting sqref="H304:I328">
    <cfRule type="cellIs" dxfId="1363" priority="1592" operator="lessThan">
      <formula>0</formula>
    </cfRule>
  </conditionalFormatting>
  <conditionalFormatting sqref="E328">
    <cfRule type="expression" dxfId="1362" priority="1591">
      <formula>AND(OR(C328="NO",C328="REV T",C328="DBL REV",C328="TPL REV",C328="QD REV"),E328&gt;12)</formula>
    </cfRule>
  </conditionalFormatting>
  <conditionalFormatting sqref="B316:B328">
    <cfRule type="expression" dxfId="1361" priority="1589">
      <formula>Z316="error"</formula>
    </cfRule>
  </conditionalFormatting>
  <conditionalFormatting sqref="B316:B328">
    <cfRule type="expression" dxfId="1360" priority="1588">
      <formula>AA318="error"</formula>
    </cfRule>
  </conditionalFormatting>
  <conditionalFormatting sqref="E328">
    <cfRule type="expression" dxfId="1359" priority="1587">
      <formula>AND(OR(C328="NO",C328="REV T",C328="DBL REV",C328="TPL REV",C328="QD REV"),E328&gt;12)</formula>
    </cfRule>
  </conditionalFormatting>
  <conditionalFormatting sqref="E299">
    <cfRule type="expression" dxfId="1358" priority="1584">
      <formula>AND(E294="EUC",E295&gt;48,E299="Y")</formula>
    </cfRule>
    <cfRule type="expression" dxfId="1357" priority="1585">
      <formula>AND(E294="RPX",E295&gt;48,E299="Y")</formula>
    </cfRule>
    <cfRule type="expression" dxfId="1356" priority="1586">
      <formula>AND(E294="SS",E295&gt;48,E299="Y")</formula>
    </cfRule>
  </conditionalFormatting>
  <conditionalFormatting sqref="I298">
    <cfRule type="expression" dxfId="1355" priority="1581">
      <formula>I298=0</formula>
    </cfRule>
    <cfRule type="expression" dxfId="1354" priority="1582">
      <formula>MOD(I298,2)=0</formula>
    </cfRule>
  </conditionalFormatting>
  <conditionalFormatting sqref="E322:E327">
    <cfRule type="expression" dxfId="1353" priority="1580">
      <formula>AND(OR(C322="NO",C322="REV T",C322="DBL REV",C322="TPL REV",C322="QD REV"),E322&gt;12)</formula>
    </cfRule>
  </conditionalFormatting>
  <conditionalFormatting sqref="C322:C328">
    <cfRule type="expression" dxfId="1352" priority="1579">
      <formula>AND(OR(C323="FST",C323="REV T",C323="DBL REV",C323="TPL REV",C323="QD REV"),C322="Field SPL")</formula>
    </cfRule>
  </conditionalFormatting>
  <conditionalFormatting sqref="I293">
    <cfRule type="expression" dxfId="1351" priority="1578">
      <formula>AND(E294="EUC",E295=432,I293&gt;204)</formula>
    </cfRule>
  </conditionalFormatting>
  <conditionalFormatting sqref="E295">
    <cfRule type="expression" dxfId="1350" priority="1574">
      <formula>(AND(E294="EUC",E295=432))</formula>
    </cfRule>
    <cfRule type="expression" dxfId="1349" priority="1575">
      <formula>AND(E294="SS",E295&gt;216)</formula>
    </cfRule>
    <cfRule type="expression" dxfId="1348" priority="1576">
      <formula>(AND(E294="EUC",E295&gt;216))</formula>
    </cfRule>
    <cfRule type="expression" dxfId="1347" priority="1577">
      <formula>AND(E294="RPX",E295&gt;216)</formula>
    </cfRule>
  </conditionalFormatting>
  <conditionalFormatting sqref="E306 E320:E321 E312:E313">
    <cfRule type="expression" dxfId="1346" priority="1573">
      <formula>AND(OR(C306="NO",C306="REV T",C306="DBL REV",C306="TPL REV",C306="QD REV"),E306&gt;12)</formula>
    </cfRule>
  </conditionalFormatting>
  <conditionalFormatting sqref="C306 C320:C321 C312:C313">
    <cfRule type="expression" dxfId="1345" priority="1572">
      <formula>AND(OR(C307="FST",C307="REV T",C307="DBL REV",C307="TPL REV",C307="QD REV"),C306="Field SPL")</formula>
    </cfRule>
  </conditionalFormatting>
  <conditionalFormatting sqref="L336">
    <cfRule type="cellIs" dxfId="1344" priority="1568" operator="lessThan">
      <formula>$L$7</formula>
    </cfRule>
  </conditionalFormatting>
  <conditionalFormatting sqref="I335">
    <cfRule type="cellIs" dxfId="1343" priority="1567" operator="lessThan">
      <formula>0</formula>
    </cfRule>
  </conditionalFormatting>
  <conditionalFormatting sqref="H345:I369">
    <cfRule type="cellIs" dxfId="1342" priority="1566" operator="lessThan">
      <formula>0</formula>
    </cfRule>
  </conditionalFormatting>
  <conditionalFormatting sqref="E369">
    <cfRule type="expression" dxfId="1341" priority="1565">
      <formula>AND(OR(C369="NO",C369="REV T",C369="DBL REV",C369="TPL REV",C369="QD REV"),E369&gt;12)</formula>
    </cfRule>
  </conditionalFormatting>
  <conditionalFormatting sqref="B357:B369">
    <cfRule type="expression" dxfId="1340" priority="1563">
      <formula>Z357="error"</formula>
    </cfRule>
  </conditionalFormatting>
  <conditionalFormatting sqref="B357:B369">
    <cfRule type="expression" dxfId="1339" priority="1562">
      <formula>AA359="error"</formula>
    </cfRule>
  </conditionalFormatting>
  <conditionalFormatting sqref="E369">
    <cfRule type="expression" dxfId="1338" priority="1561">
      <formula>AND(OR(C369="NO",C369="REV T",C369="DBL REV",C369="TPL REV",C369="QD REV"),E369&gt;12)</formula>
    </cfRule>
  </conditionalFormatting>
  <conditionalFormatting sqref="E340">
    <cfRule type="expression" dxfId="1337" priority="1558">
      <formula>AND(E335="EUC",E336&gt;48,E340="Y")</formula>
    </cfRule>
    <cfRule type="expression" dxfId="1336" priority="1559">
      <formula>AND(E335="RPX",E336&gt;48,E340="Y")</formula>
    </cfRule>
    <cfRule type="expression" dxfId="1335" priority="1560">
      <formula>AND(E335="SS",E336&gt;48,E340="Y")</formula>
    </cfRule>
  </conditionalFormatting>
  <conditionalFormatting sqref="I339">
    <cfRule type="expression" dxfId="1334" priority="1555">
      <formula>I339=0</formula>
    </cfRule>
    <cfRule type="expression" dxfId="1333" priority="1556">
      <formula>MOD(I339,2)=0</formula>
    </cfRule>
  </conditionalFormatting>
  <conditionalFormatting sqref="E363:E368">
    <cfRule type="expression" dxfId="1332" priority="1554">
      <formula>AND(OR(C363="NO",C363="REV T",C363="DBL REV",C363="TPL REV",C363="QD REV"),E363&gt;12)</formula>
    </cfRule>
  </conditionalFormatting>
  <conditionalFormatting sqref="C363:C369">
    <cfRule type="expression" dxfId="1331" priority="1553">
      <formula>AND(OR(C364="FST",C364="REV T",C364="DBL REV",C364="TPL REV",C364="QD REV"),C363="Field SPL")</formula>
    </cfRule>
  </conditionalFormatting>
  <conditionalFormatting sqref="I334">
    <cfRule type="expression" dxfId="1330" priority="1552">
      <formula>AND(E335="EUC",E336=432,I334&gt;204)</formula>
    </cfRule>
  </conditionalFormatting>
  <conditionalFormatting sqref="E336">
    <cfRule type="expression" dxfId="1329" priority="1548">
      <formula>(AND(E335="EUC",E336=432))</formula>
    </cfRule>
    <cfRule type="expression" dxfId="1328" priority="1549">
      <formula>AND(E335="SS",E336&gt;216)</formula>
    </cfRule>
    <cfRule type="expression" dxfId="1327" priority="1550">
      <formula>(AND(E335="EUC",E336&gt;216))</formula>
    </cfRule>
    <cfRule type="expression" dxfId="1326" priority="1551">
      <formula>AND(E335="RPX",E336&gt;216)</formula>
    </cfRule>
  </conditionalFormatting>
  <conditionalFormatting sqref="E350:E353 E356:E362">
    <cfRule type="expression" dxfId="1325" priority="1547">
      <formula>AND(OR(C350="NO",C350="REV T",C350="DBL REV",C350="TPL REV",C350="QD REV"),E350&gt;12)</formula>
    </cfRule>
  </conditionalFormatting>
  <conditionalFormatting sqref="C350:C353 C356:C362">
    <cfRule type="expression" dxfId="1324" priority="1546">
      <formula>AND(OR(C351="FST",C351="REV T",C351="DBL REV",C351="TPL REV",C351="QD REV"),C350="Field SPL")</formula>
    </cfRule>
  </conditionalFormatting>
  <conditionalFormatting sqref="L377">
    <cfRule type="cellIs" dxfId="1323" priority="1542" operator="lessThan">
      <formula>$L$7</formula>
    </cfRule>
  </conditionalFormatting>
  <conditionalFormatting sqref="I376">
    <cfRule type="cellIs" dxfId="1322" priority="1541" operator="lessThan">
      <formula>0</formula>
    </cfRule>
  </conditionalFormatting>
  <conditionalFormatting sqref="H386:I410">
    <cfRule type="cellIs" dxfId="1321" priority="1540" operator="lessThan">
      <formula>0</formula>
    </cfRule>
  </conditionalFormatting>
  <conditionalFormatting sqref="E410">
    <cfRule type="expression" dxfId="1320" priority="1539">
      <formula>AND(OR(C410="NO",C410="REV T",C410="DBL REV",C410="TPL REV",C410="QD REV"),E410&gt;12)</formula>
    </cfRule>
  </conditionalFormatting>
  <conditionalFormatting sqref="B398:B410">
    <cfRule type="expression" dxfId="1319" priority="1537">
      <formula>Z398="error"</formula>
    </cfRule>
  </conditionalFormatting>
  <conditionalFormatting sqref="B398:B410">
    <cfRule type="expression" dxfId="1318" priority="1536">
      <formula>AA400="error"</formula>
    </cfRule>
  </conditionalFormatting>
  <conditionalFormatting sqref="E410">
    <cfRule type="expression" dxfId="1317" priority="1535">
      <formula>AND(OR(C410="NO",C410="REV T",C410="DBL REV",C410="TPL REV",C410="QD REV"),E410&gt;12)</formula>
    </cfRule>
  </conditionalFormatting>
  <conditionalFormatting sqref="E381">
    <cfRule type="expression" dxfId="1316" priority="1532">
      <formula>AND(E376="EUC",E377&gt;48,E381="Y")</formula>
    </cfRule>
    <cfRule type="expression" dxfId="1315" priority="1533">
      <formula>AND(E376="RPX",E377&gt;48,E381="Y")</formula>
    </cfRule>
    <cfRule type="expression" dxfId="1314" priority="1534">
      <formula>AND(E376="SS",E377&gt;48,E381="Y")</formula>
    </cfRule>
  </conditionalFormatting>
  <conditionalFormatting sqref="I380">
    <cfRule type="expression" dxfId="1313" priority="1529">
      <formula>I380=0</formula>
    </cfRule>
    <cfRule type="expression" dxfId="1312" priority="1530">
      <formula>MOD(I380,2)=0</formula>
    </cfRule>
  </conditionalFormatting>
  <conditionalFormatting sqref="E404:E409">
    <cfRule type="expression" dxfId="1311" priority="1528">
      <formula>AND(OR(C404="NO",C404="REV T",C404="DBL REV",C404="TPL REV",C404="QD REV"),E404&gt;12)</formula>
    </cfRule>
  </conditionalFormatting>
  <conditionalFormatting sqref="C404:C410">
    <cfRule type="expression" dxfId="1310" priority="1527">
      <formula>AND(OR(C405="FST",C405="REV T",C405="DBL REV",C405="TPL REV",C405="QD REV"),C404="Field SPL")</formula>
    </cfRule>
  </conditionalFormatting>
  <conditionalFormatting sqref="I375">
    <cfRule type="expression" dxfId="1309" priority="1526">
      <formula>AND(E376="EUC",E377=432,I375&gt;204)</formula>
    </cfRule>
  </conditionalFormatting>
  <conditionalFormatting sqref="E377">
    <cfRule type="expression" dxfId="1308" priority="1522">
      <formula>(AND(E376="EUC",E377=432))</formula>
    </cfRule>
    <cfRule type="expression" dxfId="1307" priority="1523">
      <formula>AND(E376="SS",E377&gt;216)</formula>
    </cfRule>
    <cfRule type="expression" dxfId="1306" priority="1524">
      <formula>(AND(E376="EUC",E377&gt;216))</formula>
    </cfRule>
    <cfRule type="expression" dxfId="1305" priority="1525">
      <formula>AND(E376="RPX",E377&gt;216)</formula>
    </cfRule>
  </conditionalFormatting>
  <conditionalFormatting sqref="E392:E403">
    <cfRule type="expression" dxfId="1304" priority="1521">
      <formula>AND(OR(C392="NO",C392="REV T",C392="DBL REV",C392="TPL REV",C392="QD REV"),E392&gt;12)</formula>
    </cfRule>
  </conditionalFormatting>
  <conditionalFormatting sqref="C392:C403">
    <cfRule type="expression" dxfId="1303" priority="1520">
      <formula>AND(OR(C393="FST",C393="REV T",C393="DBL REV",C393="TPL REV",C393="QD REV"),C392="Field SPL")</formula>
    </cfRule>
  </conditionalFormatting>
  <conditionalFormatting sqref="L418">
    <cfRule type="cellIs" dxfId="1302" priority="1516" operator="lessThan">
      <formula>$L$7</formula>
    </cfRule>
  </conditionalFormatting>
  <conditionalFormatting sqref="I417">
    <cfRule type="cellIs" dxfId="1301" priority="1515" operator="lessThan">
      <formula>0</formula>
    </cfRule>
  </conditionalFormatting>
  <conditionalFormatting sqref="H427:I451">
    <cfRule type="cellIs" dxfId="1300" priority="1514" operator="lessThan">
      <formula>0</formula>
    </cfRule>
  </conditionalFormatting>
  <conditionalFormatting sqref="E451">
    <cfRule type="expression" dxfId="1299" priority="1513">
      <formula>AND(OR(C451="NO",C451="REV T",C451="DBL REV",C451="TPL REV",C451="QD REV"),E451&gt;12)</formula>
    </cfRule>
  </conditionalFormatting>
  <conditionalFormatting sqref="B439:B451">
    <cfRule type="expression" dxfId="1298" priority="1511">
      <formula>Z439="error"</formula>
    </cfRule>
  </conditionalFormatting>
  <conditionalFormatting sqref="B439:B451">
    <cfRule type="expression" dxfId="1297" priority="1510">
      <formula>AA441="error"</formula>
    </cfRule>
  </conditionalFormatting>
  <conditionalFormatting sqref="E451">
    <cfRule type="expression" dxfId="1296" priority="1509">
      <formula>AND(OR(C451="NO",C451="REV T",C451="DBL REV",C451="TPL REV",C451="QD REV"),E451&gt;12)</formula>
    </cfRule>
  </conditionalFormatting>
  <conditionalFormatting sqref="E422">
    <cfRule type="expression" dxfId="1295" priority="1506">
      <formula>AND(E417="EUC",E418&gt;48,E422="Y")</formula>
    </cfRule>
    <cfRule type="expression" dxfId="1294" priority="1507">
      <formula>AND(E417="RPX",E418&gt;48,E422="Y")</formula>
    </cfRule>
    <cfRule type="expression" dxfId="1293" priority="1508">
      <formula>AND(E417="SS",E418&gt;48,E422="Y")</formula>
    </cfRule>
  </conditionalFormatting>
  <conditionalFormatting sqref="I421">
    <cfRule type="expression" dxfId="1292" priority="1503">
      <formula>I421=0</formula>
    </cfRule>
    <cfRule type="expression" dxfId="1291" priority="1504">
      <formula>MOD(I421,2)=0</formula>
    </cfRule>
  </conditionalFormatting>
  <conditionalFormatting sqref="E445:E450">
    <cfRule type="expression" dxfId="1290" priority="1502">
      <formula>AND(OR(C445="NO",C445="REV T",C445="DBL REV",C445="TPL REV",C445="QD REV"),E445&gt;12)</formula>
    </cfRule>
  </conditionalFormatting>
  <conditionalFormatting sqref="C445:C451">
    <cfRule type="expression" dxfId="1289" priority="1501">
      <formula>AND(OR(C446="FST",C446="REV T",C446="DBL REV",C446="TPL REV",C446="QD REV"),C445="Field SPL")</formula>
    </cfRule>
  </conditionalFormatting>
  <conditionalFormatting sqref="I416">
    <cfRule type="expression" dxfId="1288" priority="1500">
      <formula>AND(E417="EUC",E418=432,I416&gt;204)</formula>
    </cfRule>
  </conditionalFormatting>
  <conditionalFormatting sqref="E418">
    <cfRule type="expression" dxfId="1287" priority="1496">
      <formula>(AND(E417="EUC",E418=432))</formula>
    </cfRule>
    <cfRule type="expression" dxfId="1286" priority="1497">
      <formula>AND(E417="SS",E418&gt;216)</formula>
    </cfRule>
    <cfRule type="expression" dxfId="1285" priority="1498">
      <formula>(AND(E417="EUC",E418&gt;216))</formula>
    </cfRule>
    <cfRule type="expression" dxfId="1284" priority="1499">
      <formula>AND(E417="RPX",E418&gt;216)</formula>
    </cfRule>
  </conditionalFormatting>
  <conditionalFormatting sqref="E433 E442:E444 E435">
    <cfRule type="expression" dxfId="1283" priority="1495">
      <formula>AND(OR(C433="NO",C433="REV T",C433="DBL REV",C433="TPL REV",C433="QD REV"),E433&gt;12)</formula>
    </cfRule>
  </conditionalFormatting>
  <conditionalFormatting sqref="C433 C442:C444 C435">
    <cfRule type="expression" dxfId="1282" priority="1494">
      <formula>AND(OR(C434="FST",C434="REV T",C434="DBL REV",C434="TPL REV",C434="QD REV"),C433="Field SPL")</formula>
    </cfRule>
  </conditionalFormatting>
  <conditionalFormatting sqref="L459">
    <cfRule type="cellIs" dxfId="1281" priority="1490" operator="lessThan">
      <formula>$L$7</formula>
    </cfRule>
  </conditionalFormatting>
  <conditionalFormatting sqref="I458">
    <cfRule type="cellIs" dxfId="1280" priority="1489" operator="lessThan">
      <formula>0</formula>
    </cfRule>
  </conditionalFormatting>
  <conditionalFormatting sqref="H468:I492">
    <cfRule type="cellIs" dxfId="1279" priority="1488" operator="lessThan">
      <formula>0</formula>
    </cfRule>
  </conditionalFormatting>
  <conditionalFormatting sqref="E492">
    <cfRule type="expression" dxfId="1278" priority="1487">
      <formula>AND(OR(C492="NO",C492="REV T",C492="DBL REV",C492="TPL REV",C492="QD REV"),E492&gt;12)</formula>
    </cfRule>
  </conditionalFormatting>
  <conditionalFormatting sqref="B480:B492">
    <cfRule type="expression" dxfId="1277" priority="1485">
      <formula>Z480="error"</formula>
    </cfRule>
  </conditionalFormatting>
  <conditionalFormatting sqref="B480:B492">
    <cfRule type="expression" dxfId="1276" priority="1484">
      <formula>AA482="error"</formula>
    </cfRule>
  </conditionalFormatting>
  <conditionalFormatting sqref="E492">
    <cfRule type="expression" dxfId="1275" priority="1483">
      <formula>AND(OR(C492="NO",C492="REV T",C492="DBL REV",C492="TPL REV",C492="QD REV"),E492&gt;12)</formula>
    </cfRule>
  </conditionalFormatting>
  <conditionalFormatting sqref="E463">
    <cfRule type="expression" dxfId="1274" priority="1480">
      <formula>AND(E458="EUC",E459&gt;48,E463="Y")</formula>
    </cfRule>
    <cfRule type="expression" dxfId="1273" priority="1481">
      <formula>AND(E458="RPX",E459&gt;48,E463="Y")</formula>
    </cfRule>
    <cfRule type="expression" dxfId="1272" priority="1482">
      <formula>AND(E458="SS",E459&gt;48,E463="Y")</formula>
    </cfRule>
  </conditionalFormatting>
  <conditionalFormatting sqref="I462">
    <cfRule type="expression" dxfId="1271" priority="1477">
      <formula>I462=0</formula>
    </cfRule>
    <cfRule type="expression" dxfId="1270" priority="1478">
      <formula>MOD(I462,2)=0</formula>
    </cfRule>
  </conditionalFormatting>
  <conditionalFormatting sqref="E486:E491">
    <cfRule type="expression" dxfId="1269" priority="1476">
      <formula>AND(OR(C486="NO",C486="REV T",C486="DBL REV",C486="TPL REV",C486="QD REV"),E486&gt;12)</formula>
    </cfRule>
  </conditionalFormatting>
  <conditionalFormatting sqref="C486:C492">
    <cfRule type="expression" dxfId="1268" priority="1475">
      <formula>AND(OR(C487="FST",C487="REV T",C487="DBL REV",C487="TPL REV",C487="QD REV"),C486="Field SPL")</formula>
    </cfRule>
  </conditionalFormatting>
  <conditionalFormatting sqref="I457">
    <cfRule type="expression" dxfId="1267" priority="1474">
      <formula>AND(E458="EUC",E459=432,I457&gt;204)</formula>
    </cfRule>
  </conditionalFormatting>
  <conditionalFormatting sqref="E459">
    <cfRule type="expression" dxfId="1266" priority="1470">
      <formula>(AND(E458="EUC",E459=432))</formula>
    </cfRule>
    <cfRule type="expression" dxfId="1265" priority="1471">
      <formula>AND(E458="SS",E459&gt;216)</formula>
    </cfRule>
    <cfRule type="expression" dxfId="1264" priority="1472">
      <formula>(AND(E458="EUC",E459&gt;216))</formula>
    </cfRule>
    <cfRule type="expression" dxfId="1263" priority="1473">
      <formula>AND(E458="RPX",E459&gt;216)</formula>
    </cfRule>
  </conditionalFormatting>
  <conditionalFormatting sqref="L500">
    <cfRule type="cellIs" dxfId="1262" priority="1464" operator="lessThan">
      <formula>$L$7</formula>
    </cfRule>
  </conditionalFormatting>
  <conditionalFormatting sqref="I499">
    <cfRule type="cellIs" dxfId="1261" priority="1463" operator="lessThan">
      <formula>0</formula>
    </cfRule>
  </conditionalFormatting>
  <conditionalFormatting sqref="H509:I533">
    <cfRule type="cellIs" dxfId="1260" priority="1462" operator="lessThan">
      <formula>0</formula>
    </cfRule>
  </conditionalFormatting>
  <conditionalFormatting sqref="E533">
    <cfRule type="expression" dxfId="1259" priority="1461">
      <formula>AND(OR(C533="NO",C533="REV T",C533="DBL REV",C533="TPL REV",C533="QD REV"),E533&gt;12)</formula>
    </cfRule>
  </conditionalFormatting>
  <conditionalFormatting sqref="B521:B533">
    <cfRule type="expression" dxfId="1258" priority="1459">
      <formula>Z521="error"</formula>
    </cfRule>
  </conditionalFormatting>
  <conditionalFormatting sqref="B521:B533">
    <cfRule type="expression" dxfId="1257" priority="1458">
      <formula>AA523="error"</formula>
    </cfRule>
  </conditionalFormatting>
  <conditionalFormatting sqref="E533">
    <cfRule type="expression" dxfId="1256" priority="1457">
      <formula>AND(OR(C533="NO",C533="REV T",C533="DBL REV",C533="TPL REV",C533="QD REV"),E533&gt;12)</formula>
    </cfRule>
  </conditionalFormatting>
  <conditionalFormatting sqref="E504">
    <cfRule type="expression" dxfId="1255" priority="1454">
      <formula>AND(E499="EUC",E500&gt;48,E504="Y")</formula>
    </cfRule>
    <cfRule type="expression" dxfId="1254" priority="1455">
      <formula>AND(E499="RPX",E500&gt;48,E504="Y")</formula>
    </cfRule>
    <cfRule type="expression" dxfId="1253" priority="1456">
      <formula>AND(E499="SS",E500&gt;48,E504="Y")</formula>
    </cfRule>
  </conditionalFormatting>
  <conditionalFormatting sqref="I503">
    <cfRule type="expression" dxfId="1252" priority="1451">
      <formula>I503=0</formula>
    </cfRule>
    <cfRule type="expression" dxfId="1251" priority="1452">
      <formula>MOD(I503,2)=0</formula>
    </cfRule>
  </conditionalFormatting>
  <conditionalFormatting sqref="E532">
    <cfRule type="expression" dxfId="1250" priority="1450">
      <formula>AND(OR(C532="NO",C532="REV T",C532="DBL REV",C532="TPL REV",C532="QD REV"),E532&gt;12)</formula>
    </cfRule>
  </conditionalFormatting>
  <conditionalFormatting sqref="C532:C533">
    <cfRule type="expression" dxfId="1249" priority="1449">
      <formula>AND(OR(C533="FST",C533="REV T",C533="DBL REV",C533="TPL REV",C533="QD REV"),C532="Field SPL")</formula>
    </cfRule>
  </conditionalFormatting>
  <conditionalFormatting sqref="I498">
    <cfRule type="expression" dxfId="1248" priority="1448">
      <formula>AND(E499="EUC",E500=432,I498&gt;204)</formula>
    </cfRule>
  </conditionalFormatting>
  <conditionalFormatting sqref="E500">
    <cfRule type="expression" dxfId="1247" priority="1444">
      <formula>(AND(E499="EUC",E500=432))</formula>
    </cfRule>
    <cfRule type="expression" dxfId="1246" priority="1445">
      <formula>AND(E499="SS",E500&gt;216)</formula>
    </cfRule>
    <cfRule type="expression" dxfId="1245" priority="1446">
      <formula>(AND(E499="EUC",E500&gt;216))</formula>
    </cfRule>
    <cfRule type="expression" dxfId="1244" priority="1447">
      <formula>AND(E499="RPX",E500&gt;216)</formula>
    </cfRule>
  </conditionalFormatting>
  <conditionalFormatting sqref="E515:E518 E525">
    <cfRule type="expression" dxfId="1243" priority="1443">
      <formula>AND(OR(C515="NO",C515="REV T",C515="DBL REV",C515="TPL REV",C515="QD REV"),E515&gt;12)</formula>
    </cfRule>
  </conditionalFormatting>
  <conditionalFormatting sqref="C515:C518 C525">
    <cfRule type="expression" dxfId="1242" priority="1442">
      <formula>AND(OR(C516="FST",C516="REV T",C516="DBL REV",C516="TPL REV",C516="QD REV"),C515="Field SPL")</formula>
    </cfRule>
  </conditionalFormatting>
  <conditionalFormatting sqref="L541">
    <cfRule type="cellIs" dxfId="1241" priority="1438" operator="lessThan">
      <formula>$L$7</formula>
    </cfRule>
  </conditionalFormatting>
  <conditionalFormatting sqref="I540">
    <cfRule type="cellIs" dxfId="1240" priority="1437" operator="lessThan">
      <formula>0</formula>
    </cfRule>
  </conditionalFormatting>
  <conditionalFormatting sqref="H550:I574">
    <cfRule type="cellIs" dxfId="1239" priority="1436" operator="lessThan">
      <formula>0</formula>
    </cfRule>
  </conditionalFormatting>
  <conditionalFormatting sqref="E574">
    <cfRule type="expression" dxfId="1238" priority="1435">
      <formula>AND(OR(C574="NO",C574="REV T",C574="DBL REV",C574="TPL REV",C574="QD REV"),E574&gt;12)</formula>
    </cfRule>
  </conditionalFormatting>
  <conditionalFormatting sqref="B562:B574">
    <cfRule type="expression" dxfId="1237" priority="1433">
      <formula>Z562="error"</formula>
    </cfRule>
  </conditionalFormatting>
  <conditionalFormatting sqref="B562:B574">
    <cfRule type="expression" dxfId="1236" priority="1432">
      <formula>AA564="error"</formula>
    </cfRule>
  </conditionalFormatting>
  <conditionalFormatting sqref="E574">
    <cfRule type="expression" dxfId="1235" priority="1431">
      <formula>AND(OR(C574="NO",C574="REV T",C574="DBL REV",C574="TPL REV",C574="QD REV"),E574&gt;12)</formula>
    </cfRule>
  </conditionalFormatting>
  <conditionalFormatting sqref="E545">
    <cfRule type="expression" dxfId="1234" priority="1428">
      <formula>AND(E540="EUC",E541&gt;48,E545="Y")</formula>
    </cfRule>
    <cfRule type="expression" dxfId="1233" priority="1429">
      <formula>AND(E540="RPX",E541&gt;48,E545="Y")</formula>
    </cfRule>
    <cfRule type="expression" dxfId="1232" priority="1430">
      <formula>AND(E540="SS",E541&gt;48,E545="Y")</formula>
    </cfRule>
  </conditionalFormatting>
  <conditionalFormatting sqref="I544">
    <cfRule type="expression" dxfId="1231" priority="1425">
      <formula>I544=0</formula>
    </cfRule>
    <cfRule type="expression" dxfId="1230" priority="1426">
      <formula>MOD(I544,2)=0</formula>
    </cfRule>
  </conditionalFormatting>
  <conditionalFormatting sqref="E568:E573">
    <cfRule type="expression" dxfId="1229" priority="1424">
      <formula>AND(OR(C568="NO",C568="REV T",C568="DBL REV",C568="TPL REV",C568="QD REV"),E568&gt;12)</formula>
    </cfRule>
  </conditionalFormatting>
  <conditionalFormatting sqref="C568:C574">
    <cfRule type="expression" dxfId="1228" priority="1423">
      <formula>AND(OR(C569="FST",C569="REV T",C569="DBL REV",C569="TPL REV",C569="QD REV"),C568="Field SPL")</formula>
    </cfRule>
  </conditionalFormatting>
  <conditionalFormatting sqref="I539">
    <cfRule type="expression" dxfId="1227" priority="1422">
      <formula>AND(E540="EUC",E541=432,I539&gt;204)</formula>
    </cfRule>
  </conditionalFormatting>
  <conditionalFormatting sqref="E541">
    <cfRule type="expression" dxfId="1226" priority="1418">
      <formula>(AND(E540="EUC",E541=432))</formula>
    </cfRule>
    <cfRule type="expression" dxfId="1225" priority="1419">
      <formula>AND(E540="SS",E541&gt;216)</formula>
    </cfRule>
    <cfRule type="expression" dxfId="1224" priority="1420">
      <formula>(AND(E540="EUC",E541&gt;216))</formula>
    </cfRule>
    <cfRule type="expression" dxfId="1223" priority="1421">
      <formula>AND(E540="RPX",E541&gt;216)</formula>
    </cfRule>
  </conditionalFormatting>
  <conditionalFormatting sqref="E556:E567">
    <cfRule type="expression" dxfId="1222" priority="1417">
      <formula>AND(OR(C556="NO",C556="REV T",C556="DBL REV",C556="TPL REV",C556="QD REV"),E556&gt;12)</formula>
    </cfRule>
  </conditionalFormatting>
  <conditionalFormatting sqref="C556:C567">
    <cfRule type="expression" dxfId="1221" priority="1416">
      <formula>AND(OR(C557="FST",C557="REV T",C557="DBL REV",C557="TPL REV",C557="QD REV"),C556="Field SPL")</formula>
    </cfRule>
  </conditionalFormatting>
  <conditionalFormatting sqref="L582">
    <cfRule type="cellIs" dxfId="1220" priority="1412" operator="lessThan">
      <formula>$L$7</formula>
    </cfRule>
  </conditionalFormatting>
  <conditionalFormatting sqref="I581">
    <cfRule type="cellIs" dxfId="1219" priority="1411" operator="lessThan">
      <formula>0</formula>
    </cfRule>
  </conditionalFormatting>
  <conditionalFormatting sqref="H591:I615">
    <cfRule type="cellIs" dxfId="1218" priority="1410" operator="lessThan">
      <formula>0</formula>
    </cfRule>
  </conditionalFormatting>
  <conditionalFormatting sqref="E615">
    <cfRule type="expression" dxfId="1217" priority="1409">
      <formula>AND(OR(C615="NO",C615="REV T",C615="DBL REV",C615="TPL REV",C615="QD REV"),E615&gt;12)</formula>
    </cfRule>
  </conditionalFormatting>
  <conditionalFormatting sqref="B603:B615">
    <cfRule type="expression" dxfId="1216" priority="1407">
      <formula>Z603="error"</formula>
    </cfRule>
  </conditionalFormatting>
  <conditionalFormatting sqref="B603:B615">
    <cfRule type="expression" dxfId="1215" priority="1406">
      <formula>AA605="error"</formula>
    </cfRule>
  </conditionalFormatting>
  <conditionalFormatting sqref="E615">
    <cfRule type="expression" dxfId="1214" priority="1405">
      <formula>AND(OR(C615="NO",C615="REV T",C615="DBL REV",C615="TPL REV",C615="QD REV"),E615&gt;12)</formula>
    </cfRule>
  </conditionalFormatting>
  <conditionalFormatting sqref="E586">
    <cfRule type="expression" dxfId="1213" priority="1402">
      <formula>AND(E581="EUC",E582&gt;48,E586="Y")</formula>
    </cfRule>
    <cfRule type="expression" dxfId="1212" priority="1403">
      <formula>AND(E581="RPX",E582&gt;48,E586="Y")</formula>
    </cfRule>
    <cfRule type="expression" dxfId="1211" priority="1404">
      <formula>AND(E581="SS",E582&gt;48,E586="Y")</formula>
    </cfRule>
  </conditionalFormatting>
  <conditionalFormatting sqref="I585">
    <cfRule type="expression" dxfId="1210" priority="1399">
      <formula>I585=0</formula>
    </cfRule>
    <cfRule type="expression" dxfId="1209" priority="1400">
      <formula>MOD(I585,2)=0</formula>
    </cfRule>
  </conditionalFormatting>
  <conditionalFormatting sqref="E609:E614">
    <cfRule type="expression" dxfId="1208" priority="1398">
      <formula>AND(OR(C609="NO",C609="REV T",C609="DBL REV",C609="TPL REV",C609="QD REV"),E609&gt;12)</formula>
    </cfRule>
  </conditionalFormatting>
  <conditionalFormatting sqref="C609:C615">
    <cfRule type="expression" dxfId="1207" priority="1397">
      <formula>AND(OR(C610="FST",C610="REV T",C610="DBL REV",C610="TPL REV",C610="QD REV"),C609="Field SPL")</formula>
    </cfRule>
  </conditionalFormatting>
  <conditionalFormatting sqref="I580">
    <cfRule type="expression" dxfId="1206" priority="1396">
      <formula>AND(E581="EUC",E582=432,I580&gt;204)</formula>
    </cfRule>
  </conditionalFormatting>
  <conditionalFormatting sqref="E582">
    <cfRule type="expression" dxfId="1205" priority="1392">
      <formula>(AND(E581="EUC",E582=432))</formula>
    </cfRule>
    <cfRule type="expression" dxfId="1204" priority="1393">
      <formula>AND(E581="SS",E582&gt;216)</formula>
    </cfRule>
    <cfRule type="expression" dxfId="1203" priority="1394">
      <formula>(AND(E581="EUC",E582&gt;216))</formula>
    </cfRule>
    <cfRule type="expression" dxfId="1202" priority="1395">
      <formula>AND(E581="RPX",E582&gt;216)</formula>
    </cfRule>
  </conditionalFormatting>
  <conditionalFormatting sqref="E591:E608">
    <cfRule type="expression" dxfId="1201" priority="1391">
      <formula>AND(OR(C591="NO",C591="REV T",C591="DBL REV",C591="TPL REV",C591="QD REV"),E591&gt;12)</formula>
    </cfRule>
  </conditionalFormatting>
  <conditionalFormatting sqref="C591:C608">
    <cfRule type="expression" dxfId="1200" priority="1390">
      <formula>AND(OR(C592="FST",C592="REV T",C592="DBL REV",C592="TPL REV",C592="QD REV"),C591="Field SPL")</formula>
    </cfRule>
  </conditionalFormatting>
  <conditionalFormatting sqref="L623">
    <cfRule type="cellIs" dxfId="1199" priority="1386" operator="lessThan">
      <formula>$L$7</formula>
    </cfRule>
  </conditionalFormatting>
  <conditionalFormatting sqref="I622">
    <cfRule type="cellIs" dxfId="1198" priority="1385" operator="lessThan">
      <formula>0</formula>
    </cfRule>
  </conditionalFormatting>
  <conditionalFormatting sqref="H632:I656">
    <cfRule type="cellIs" dxfId="1197" priority="1384" operator="lessThan">
      <formula>0</formula>
    </cfRule>
  </conditionalFormatting>
  <conditionalFormatting sqref="E656">
    <cfRule type="expression" dxfId="1196" priority="1383">
      <formula>AND(OR(C656="NO",C656="REV T",C656="DBL REV",C656="TPL REV",C656="QD REV"),E656&gt;12)</formula>
    </cfRule>
  </conditionalFormatting>
  <conditionalFormatting sqref="B644:B656">
    <cfRule type="expression" dxfId="1195" priority="1381">
      <formula>Z644="error"</formula>
    </cfRule>
  </conditionalFormatting>
  <conditionalFormatting sqref="B644:B656">
    <cfRule type="expression" dxfId="1194" priority="1380">
      <formula>AA646="error"</formula>
    </cfRule>
  </conditionalFormatting>
  <conditionalFormatting sqref="E656">
    <cfRule type="expression" dxfId="1193" priority="1379">
      <formula>AND(OR(C656="NO",C656="REV T",C656="DBL REV",C656="TPL REV",C656="QD REV"),E656&gt;12)</formula>
    </cfRule>
  </conditionalFormatting>
  <conditionalFormatting sqref="E627">
    <cfRule type="expression" dxfId="1192" priority="1376">
      <formula>AND(E622="EUC",E623&gt;48,E627="Y")</formula>
    </cfRule>
    <cfRule type="expression" dxfId="1191" priority="1377">
      <formula>AND(E622="RPX",E623&gt;48,E627="Y")</formula>
    </cfRule>
    <cfRule type="expression" dxfId="1190" priority="1378">
      <formula>AND(E622="SS",E623&gt;48,E627="Y")</formula>
    </cfRule>
  </conditionalFormatting>
  <conditionalFormatting sqref="I626">
    <cfRule type="expression" dxfId="1189" priority="1373">
      <formula>I626=0</formula>
    </cfRule>
    <cfRule type="expression" dxfId="1188" priority="1374">
      <formula>MOD(I626,2)=0</formula>
    </cfRule>
  </conditionalFormatting>
  <conditionalFormatting sqref="E650:E655">
    <cfRule type="expression" dxfId="1187" priority="1372">
      <formula>AND(OR(C650="NO",C650="REV T",C650="DBL REV",C650="TPL REV",C650="QD REV"),E650&gt;12)</formula>
    </cfRule>
  </conditionalFormatting>
  <conditionalFormatting sqref="C650:C656">
    <cfRule type="expression" dxfId="1186" priority="1371">
      <formula>AND(OR(C651="FST",C651="REV T",C651="DBL REV",C651="TPL REV",C651="QD REV"),C650="Field SPL")</formula>
    </cfRule>
  </conditionalFormatting>
  <conditionalFormatting sqref="I621">
    <cfRule type="expression" dxfId="1185" priority="1370">
      <formula>AND(E622="EUC",E623=432,I621&gt;204)</formula>
    </cfRule>
  </conditionalFormatting>
  <conditionalFormatting sqref="E623">
    <cfRule type="expression" dxfId="1184" priority="1366">
      <formula>(AND(E622="EUC",E623=432))</formula>
    </cfRule>
    <cfRule type="expression" dxfId="1183" priority="1367">
      <formula>AND(E622="SS",E623&gt;216)</formula>
    </cfRule>
    <cfRule type="expression" dxfId="1182" priority="1368">
      <formula>(AND(E622="EUC",E623&gt;216))</formula>
    </cfRule>
    <cfRule type="expression" dxfId="1181" priority="1369">
      <formula>AND(E622="RPX",E623&gt;216)</formula>
    </cfRule>
  </conditionalFormatting>
  <conditionalFormatting sqref="E632:E649">
    <cfRule type="expression" dxfId="1180" priority="1365">
      <formula>AND(OR(C632="NO",C632="REV T",C632="DBL REV",C632="TPL REV",C632="QD REV"),E632&gt;12)</formula>
    </cfRule>
  </conditionalFormatting>
  <conditionalFormatting sqref="C632:C649">
    <cfRule type="expression" dxfId="1179" priority="1364">
      <formula>AND(OR(C633="FST",C633="REV T",C633="DBL REV",C633="TPL REV",C633="QD REV"),C632="Field SPL")</formula>
    </cfRule>
  </conditionalFormatting>
  <conditionalFormatting sqref="L664">
    <cfRule type="cellIs" dxfId="1178" priority="1360" operator="lessThan">
      <formula>$L$7</formula>
    </cfRule>
  </conditionalFormatting>
  <conditionalFormatting sqref="I663">
    <cfRule type="cellIs" dxfId="1177" priority="1359" operator="lessThan">
      <formula>0</formula>
    </cfRule>
  </conditionalFormatting>
  <conditionalFormatting sqref="H673:I697">
    <cfRule type="cellIs" dxfId="1176" priority="1358" operator="lessThan">
      <formula>0</formula>
    </cfRule>
  </conditionalFormatting>
  <conditionalFormatting sqref="E697">
    <cfRule type="expression" dxfId="1175" priority="1357">
      <formula>AND(OR(C697="NO",C697="REV T",C697="DBL REV",C697="TPL REV",C697="QD REV"),E697&gt;12)</formula>
    </cfRule>
  </conditionalFormatting>
  <conditionalFormatting sqref="B685:B697">
    <cfRule type="expression" dxfId="1174" priority="1355">
      <formula>Z685="error"</formula>
    </cfRule>
  </conditionalFormatting>
  <conditionalFormatting sqref="B685:B697">
    <cfRule type="expression" dxfId="1173" priority="1354">
      <formula>AA687="error"</formula>
    </cfRule>
  </conditionalFormatting>
  <conditionalFormatting sqref="E697">
    <cfRule type="expression" dxfId="1172" priority="1353">
      <formula>AND(OR(C697="NO",C697="REV T",C697="DBL REV",C697="TPL REV",C697="QD REV"),E697&gt;12)</formula>
    </cfRule>
  </conditionalFormatting>
  <conditionalFormatting sqref="E668">
    <cfRule type="expression" dxfId="1171" priority="1350">
      <formula>AND(E663="EUC",E664&gt;48,E668="Y")</formula>
    </cfRule>
    <cfRule type="expression" dxfId="1170" priority="1351">
      <formula>AND(E663="RPX",E664&gt;48,E668="Y")</formula>
    </cfRule>
    <cfRule type="expression" dxfId="1169" priority="1352">
      <formula>AND(E663="SS",E664&gt;48,E668="Y")</formula>
    </cfRule>
  </conditionalFormatting>
  <conditionalFormatting sqref="I667">
    <cfRule type="expression" dxfId="1168" priority="1347">
      <formula>I667=0</formula>
    </cfRule>
    <cfRule type="expression" dxfId="1167" priority="1348">
      <formula>MOD(I667,2)=0</formula>
    </cfRule>
  </conditionalFormatting>
  <conditionalFormatting sqref="E691:E696">
    <cfRule type="expression" dxfId="1166" priority="1346">
      <formula>AND(OR(C691="NO",C691="REV T",C691="DBL REV",C691="TPL REV",C691="QD REV"),E691&gt;12)</formula>
    </cfRule>
  </conditionalFormatting>
  <conditionalFormatting sqref="C691:C697">
    <cfRule type="expression" dxfId="1165" priority="1345">
      <formula>AND(OR(C692="FST",C692="REV T",C692="DBL REV",C692="TPL REV",C692="QD REV"),C691="Field SPL")</formula>
    </cfRule>
  </conditionalFormatting>
  <conditionalFormatting sqref="I662">
    <cfRule type="expression" dxfId="1164" priority="1344">
      <formula>AND(E663="EUC",E664=432,I662&gt;204)</formula>
    </cfRule>
  </conditionalFormatting>
  <conditionalFormatting sqref="E664">
    <cfRule type="expression" dxfId="1163" priority="1340">
      <formula>(AND(E663="EUC",E664=432))</formula>
    </cfRule>
    <cfRule type="expression" dxfId="1162" priority="1341">
      <formula>AND(E663="SS",E664&gt;216)</formula>
    </cfRule>
    <cfRule type="expression" dxfId="1161" priority="1342">
      <formula>(AND(E663="EUC",E664&gt;216))</formula>
    </cfRule>
    <cfRule type="expression" dxfId="1160" priority="1343">
      <formula>AND(E663="RPX",E664&gt;216)</formula>
    </cfRule>
  </conditionalFormatting>
  <conditionalFormatting sqref="E673:E690">
    <cfRule type="expression" dxfId="1159" priority="1339">
      <formula>AND(OR(C673="NO",C673="REV T",C673="DBL REV",C673="TPL REV",C673="QD REV"),E673&gt;12)</formula>
    </cfRule>
  </conditionalFormatting>
  <conditionalFormatting sqref="C673:C690">
    <cfRule type="expression" dxfId="1158" priority="1338">
      <formula>AND(OR(C674="FST",C674="REV T",C674="DBL REV",C674="TPL REV",C674="QD REV"),C673="Field SPL")</formula>
    </cfRule>
  </conditionalFormatting>
  <conditionalFormatting sqref="L705">
    <cfRule type="cellIs" dxfId="1157" priority="1334" operator="lessThan">
      <formula>$L$7</formula>
    </cfRule>
  </conditionalFormatting>
  <conditionalFormatting sqref="I704">
    <cfRule type="cellIs" dxfId="1156" priority="1333" operator="lessThan">
      <formula>0</formula>
    </cfRule>
  </conditionalFormatting>
  <conditionalFormatting sqref="H714:I738">
    <cfRule type="cellIs" dxfId="1155" priority="1332" operator="lessThan">
      <formula>0</formula>
    </cfRule>
  </conditionalFormatting>
  <conditionalFormatting sqref="E738">
    <cfRule type="expression" dxfId="1154" priority="1331">
      <formula>AND(OR(C738="NO",C738="REV T",C738="DBL REV",C738="TPL REV",C738="QD REV"),E738&gt;12)</formula>
    </cfRule>
  </conditionalFormatting>
  <conditionalFormatting sqref="B726:B738">
    <cfRule type="expression" dxfId="1153" priority="1329">
      <formula>Z726="error"</formula>
    </cfRule>
  </conditionalFormatting>
  <conditionalFormatting sqref="B726:B738">
    <cfRule type="expression" dxfId="1152" priority="1328">
      <formula>AA728="error"</formula>
    </cfRule>
  </conditionalFormatting>
  <conditionalFormatting sqref="E738">
    <cfRule type="expression" dxfId="1151" priority="1327">
      <formula>AND(OR(C738="NO",C738="REV T",C738="DBL REV",C738="TPL REV",C738="QD REV"),E738&gt;12)</formula>
    </cfRule>
  </conditionalFormatting>
  <conditionalFormatting sqref="E709">
    <cfRule type="expression" dxfId="1150" priority="1324">
      <formula>AND(E704="EUC",E705&gt;48,E709="Y")</formula>
    </cfRule>
    <cfRule type="expression" dxfId="1149" priority="1325">
      <formula>AND(E704="RPX",E705&gt;48,E709="Y")</formula>
    </cfRule>
    <cfRule type="expression" dxfId="1148" priority="1326">
      <formula>AND(E704="SS",E705&gt;48,E709="Y")</formula>
    </cfRule>
  </conditionalFormatting>
  <conditionalFormatting sqref="I708">
    <cfRule type="expression" dxfId="1147" priority="1321">
      <formula>I708=0</formula>
    </cfRule>
    <cfRule type="expression" dxfId="1146" priority="1322">
      <formula>MOD(I708,2)=0</formula>
    </cfRule>
  </conditionalFormatting>
  <conditionalFormatting sqref="E732:E737">
    <cfRule type="expression" dxfId="1145" priority="1320">
      <formula>AND(OR(C732="NO",C732="REV T",C732="DBL REV",C732="TPL REV",C732="QD REV"),E732&gt;12)</formula>
    </cfRule>
  </conditionalFormatting>
  <conditionalFormatting sqref="C732:C738">
    <cfRule type="expression" dxfId="1144" priority="1319">
      <formula>AND(OR(C733="FST",C733="REV T",C733="DBL REV",C733="TPL REV",C733="QD REV"),C732="Field SPL")</formula>
    </cfRule>
  </conditionalFormatting>
  <conditionalFormatting sqref="I703">
    <cfRule type="expression" dxfId="1143" priority="1318">
      <formula>AND(E704="EUC",E705=432,I703&gt;204)</formula>
    </cfRule>
  </conditionalFormatting>
  <conditionalFormatting sqref="E705">
    <cfRule type="expression" dxfId="1142" priority="1314">
      <formula>(AND(E704="EUC",E705=432))</formula>
    </cfRule>
    <cfRule type="expression" dxfId="1141" priority="1315">
      <formula>AND(E704="SS",E705&gt;216)</formula>
    </cfRule>
    <cfRule type="expression" dxfId="1140" priority="1316">
      <formula>(AND(E704="EUC",E705&gt;216))</formula>
    </cfRule>
    <cfRule type="expression" dxfId="1139" priority="1317">
      <formula>AND(E704="RPX",E705&gt;216)</formula>
    </cfRule>
  </conditionalFormatting>
  <conditionalFormatting sqref="E714:E731">
    <cfRule type="expression" dxfId="1138" priority="1313">
      <formula>AND(OR(C714="NO",C714="REV T",C714="DBL REV",C714="TPL REV",C714="QD REV"),E714&gt;12)</formula>
    </cfRule>
  </conditionalFormatting>
  <conditionalFormatting sqref="C714:C731">
    <cfRule type="expression" dxfId="1137" priority="1312">
      <formula>AND(OR(C715="FST",C715="REV T",C715="DBL REV",C715="TPL REV",C715="QD REV"),C714="Field SPL")</formula>
    </cfRule>
  </conditionalFormatting>
  <conditionalFormatting sqref="L746">
    <cfRule type="cellIs" dxfId="1136" priority="1308" operator="lessThan">
      <formula>$L$7</formula>
    </cfRule>
  </conditionalFormatting>
  <conditionalFormatting sqref="I745">
    <cfRule type="cellIs" dxfId="1135" priority="1307" operator="lessThan">
      <formula>0</formula>
    </cfRule>
  </conditionalFormatting>
  <conditionalFormatting sqref="H755:I779">
    <cfRule type="cellIs" dxfId="1134" priority="1306" operator="lessThan">
      <formula>0</formula>
    </cfRule>
  </conditionalFormatting>
  <conditionalFormatting sqref="E779">
    <cfRule type="expression" dxfId="1133" priority="1305">
      <formula>AND(OR(C779="NO",C779="REV T",C779="DBL REV",C779="TPL REV",C779="QD REV"),E779&gt;12)</formula>
    </cfRule>
  </conditionalFormatting>
  <conditionalFormatting sqref="B767:B779">
    <cfRule type="expression" dxfId="1132" priority="1303">
      <formula>Z767="error"</formula>
    </cfRule>
  </conditionalFormatting>
  <conditionalFormatting sqref="B767:B779">
    <cfRule type="expression" dxfId="1131" priority="1302">
      <formula>AA769="error"</formula>
    </cfRule>
  </conditionalFormatting>
  <conditionalFormatting sqref="E779">
    <cfRule type="expression" dxfId="1130" priority="1301">
      <formula>AND(OR(C779="NO",C779="REV T",C779="DBL REV",C779="TPL REV",C779="QD REV"),E779&gt;12)</formula>
    </cfRule>
  </conditionalFormatting>
  <conditionalFormatting sqref="E750">
    <cfRule type="expression" dxfId="1129" priority="1298">
      <formula>AND(E745="EUC",E746&gt;48,E750="Y")</formula>
    </cfRule>
    <cfRule type="expression" dxfId="1128" priority="1299">
      <formula>AND(E745="RPX",E746&gt;48,E750="Y")</formula>
    </cfRule>
    <cfRule type="expression" dxfId="1127" priority="1300">
      <formula>AND(E745="SS",E746&gt;48,E750="Y")</formula>
    </cfRule>
  </conditionalFormatting>
  <conditionalFormatting sqref="I749">
    <cfRule type="expression" dxfId="1126" priority="1295">
      <formula>I749=0</formula>
    </cfRule>
    <cfRule type="expression" dxfId="1125" priority="1296">
      <formula>MOD(I749,2)=0</formula>
    </cfRule>
  </conditionalFormatting>
  <conditionalFormatting sqref="E773:E778">
    <cfRule type="expression" dxfId="1124" priority="1294">
      <formula>AND(OR(C773="NO",C773="REV T",C773="DBL REV",C773="TPL REV",C773="QD REV"),E773&gt;12)</formula>
    </cfRule>
  </conditionalFormatting>
  <conditionalFormatting sqref="C773:C779">
    <cfRule type="expression" dxfId="1123" priority="1293">
      <formula>AND(OR(C774="FST",C774="REV T",C774="DBL REV",C774="TPL REV",C774="QD REV"),C773="Field SPL")</formula>
    </cfRule>
  </conditionalFormatting>
  <conditionalFormatting sqref="I744">
    <cfRule type="expression" dxfId="1122" priority="1292">
      <formula>AND(E745="EUC",E746=432,I744&gt;204)</formula>
    </cfRule>
  </conditionalFormatting>
  <conditionalFormatting sqref="E746">
    <cfRule type="expression" dxfId="1121" priority="1288">
      <formula>(AND(E745="EUC",E746=432))</formula>
    </cfRule>
    <cfRule type="expression" dxfId="1120" priority="1289">
      <formula>AND(E745="SS",E746&gt;216)</formula>
    </cfRule>
    <cfRule type="expression" dxfId="1119" priority="1290">
      <formula>(AND(E745="EUC",E746&gt;216))</formula>
    </cfRule>
    <cfRule type="expression" dxfId="1118" priority="1291">
      <formula>AND(E745="RPX",E746&gt;216)</formula>
    </cfRule>
  </conditionalFormatting>
  <conditionalFormatting sqref="E755:E772">
    <cfRule type="expression" dxfId="1117" priority="1287">
      <formula>AND(OR(C755="NO",C755="REV T",C755="DBL REV",C755="TPL REV",C755="QD REV"),E755&gt;12)</formula>
    </cfRule>
  </conditionalFormatting>
  <conditionalFormatting sqref="C755:C772">
    <cfRule type="expression" dxfId="1116" priority="1286">
      <formula>AND(OR(C756="FST",C756="REV T",C756="DBL REV",C756="TPL REV",C756="QD REV"),C755="Field SPL")</formula>
    </cfRule>
  </conditionalFormatting>
  <conditionalFormatting sqref="L787">
    <cfRule type="cellIs" dxfId="1115" priority="1282" operator="lessThan">
      <formula>$L$7</formula>
    </cfRule>
  </conditionalFormatting>
  <conditionalFormatting sqref="I786">
    <cfRule type="cellIs" dxfId="1114" priority="1281" operator="lessThan">
      <formula>0</formula>
    </cfRule>
  </conditionalFormatting>
  <conditionalFormatting sqref="H796:I820">
    <cfRule type="cellIs" dxfId="1113" priority="1280" operator="lessThan">
      <formula>0</formula>
    </cfRule>
  </conditionalFormatting>
  <conditionalFormatting sqref="E820">
    <cfRule type="expression" dxfId="1112" priority="1279">
      <formula>AND(OR(C820="NO",C820="REV T",C820="DBL REV",C820="TPL REV",C820="QD REV"),E820&gt;12)</formula>
    </cfRule>
  </conditionalFormatting>
  <conditionalFormatting sqref="B808:B820">
    <cfRule type="expression" dxfId="1111" priority="1277">
      <formula>Z808="error"</formula>
    </cfRule>
  </conditionalFormatting>
  <conditionalFormatting sqref="B808:B820">
    <cfRule type="expression" dxfId="1110" priority="1276">
      <formula>AA810="error"</formula>
    </cfRule>
  </conditionalFormatting>
  <conditionalFormatting sqref="E820">
    <cfRule type="expression" dxfId="1109" priority="1275">
      <formula>AND(OR(C820="NO",C820="REV T",C820="DBL REV",C820="TPL REV",C820="QD REV"),E820&gt;12)</formula>
    </cfRule>
  </conditionalFormatting>
  <conditionalFormatting sqref="E791">
    <cfRule type="expression" dxfId="1108" priority="1272">
      <formula>AND(E786="EUC",E787&gt;48,E791="Y")</formula>
    </cfRule>
    <cfRule type="expression" dxfId="1107" priority="1273">
      <formula>AND(E786="RPX",E787&gt;48,E791="Y")</formula>
    </cfRule>
    <cfRule type="expression" dxfId="1106" priority="1274">
      <formula>AND(E786="SS",E787&gt;48,E791="Y")</formula>
    </cfRule>
  </conditionalFormatting>
  <conditionalFormatting sqref="I790">
    <cfRule type="expression" dxfId="1105" priority="1269">
      <formula>I790=0</formula>
    </cfRule>
    <cfRule type="expression" dxfId="1104" priority="1270">
      <formula>MOD(I790,2)=0</formula>
    </cfRule>
  </conditionalFormatting>
  <conditionalFormatting sqref="E814:E819">
    <cfRule type="expression" dxfId="1103" priority="1268">
      <formula>AND(OR(C814="NO",C814="REV T",C814="DBL REV",C814="TPL REV",C814="QD REV"),E814&gt;12)</formula>
    </cfRule>
  </conditionalFormatting>
  <conditionalFormatting sqref="C814:C820">
    <cfRule type="expression" dxfId="1102" priority="1267">
      <formula>AND(OR(C815="FST",C815="REV T",C815="DBL REV",C815="TPL REV",C815="QD REV"),C814="Field SPL")</formula>
    </cfRule>
  </conditionalFormatting>
  <conditionalFormatting sqref="I785">
    <cfRule type="expression" dxfId="1101" priority="1266">
      <formula>AND(E786="EUC",E787=432,I785&gt;204)</formula>
    </cfRule>
  </conditionalFormatting>
  <conditionalFormatting sqref="E787">
    <cfRule type="expression" dxfId="1100" priority="1262">
      <formula>(AND(E786="EUC",E787=432))</formula>
    </cfRule>
    <cfRule type="expression" dxfId="1099" priority="1263">
      <formula>AND(E786="SS",E787&gt;216)</formula>
    </cfRule>
    <cfRule type="expression" dxfId="1098" priority="1264">
      <formula>(AND(E786="EUC",E787&gt;216))</formula>
    </cfRule>
    <cfRule type="expression" dxfId="1097" priority="1265">
      <formula>AND(E786="RPX",E787&gt;216)</formula>
    </cfRule>
  </conditionalFormatting>
  <conditionalFormatting sqref="E796:E813">
    <cfRule type="expression" dxfId="1096" priority="1261">
      <formula>AND(OR(C796="NO",C796="REV T",C796="DBL REV",C796="TPL REV",C796="QD REV"),E796&gt;12)</formula>
    </cfRule>
  </conditionalFormatting>
  <conditionalFormatting sqref="C796:C813">
    <cfRule type="expression" dxfId="1095" priority="1260">
      <formula>AND(OR(C797="FST",C797="REV T",C797="DBL REV",C797="TPL REV",C797="QD REV"),C796="Field SPL")</formula>
    </cfRule>
  </conditionalFormatting>
  <conditionalFormatting sqref="L828">
    <cfRule type="cellIs" dxfId="1094" priority="1256" operator="lessThan">
      <formula>$L$7</formula>
    </cfRule>
  </conditionalFormatting>
  <conditionalFormatting sqref="I827">
    <cfRule type="cellIs" dxfId="1093" priority="1255" operator="lessThan">
      <formula>0</formula>
    </cfRule>
  </conditionalFormatting>
  <conditionalFormatting sqref="H837:I861">
    <cfRule type="cellIs" dxfId="1092" priority="1254" operator="lessThan">
      <formula>0</formula>
    </cfRule>
  </conditionalFormatting>
  <conditionalFormatting sqref="E861">
    <cfRule type="expression" dxfId="1091" priority="1253">
      <formula>AND(OR(C861="NO",C861="REV T",C861="DBL REV",C861="TPL REV",C861="QD REV"),E861&gt;12)</formula>
    </cfRule>
  </conditionalFormatting>
  <conditionalFormatting sqref="B849:B861">
    <cfRule type="expression" dxfId="1090" priority="1251">
      <formula>Z849="error"</formula>
    </cfRule>
  </conditionalFormatting>
  <conditionalFormatting sqref="B849:B861">
    <cfRule type="expression" dxfId="1089" priority="1250">
      <formula>AA851="error"</formula>
    </cfRule>
  </conditionalFormatting>
  <conditionalFormatting sqref="E861">
    <cfRule type="expression" dxfId="1088" priority="1249">
      <formula>AND(OR(C861="NO",C861="REV T",C861="DBL REV",C861="TPL REV",C861="QD REV"),E861&gt;12)</formula>
    </cfRule>
  </conditionalFormatting>
  <conditionalFormatting sqref="E832">
    <cfRule type="expression" dxfId="1087" priority="1246">
      <formula>AND(E827="EUC",E828&gt;48,E832="Y")</formula>
    </cfRule>
    <cfRule type="expression" dxfId="1086" priority="1247">
      <formula>AND(E827="RPX",E828&gt;48,E832="Y")</formula>
    </cfRule>
    <cfRule type="expression" dxfId="1085" priority="1248">
      <formula>AND(E827="SS",E828&gt;48,E832="Y")</formula>
    </cfRule>
  </conditionalFormatting>
  <conditionalFormatting sqref="I831">
    <cfRule type="expression" dxfId="1084" priority="1243">
      <formula>I831=0</formula>
    </cfRule>
    <cfRule type="expression" dxfId="1083" priority="1244">
      <formula>MOD(I831,2)=0</formula>
    </cfRule>
  </conditionalFormatting>
  <conditionalFormatting sqref="E855:E860">
    <cfRule type="expression" dxfId="1082" priority="1242">
      <formula>AND(OR(C855="NO",C855="REV T",C855="DBL REV",C855="TPL REV",C855="QD REV"),E855&gt;12)</formula>
    </cfRule>
  </conditionalFormatting>
  <conditionalFormatting sqref="C855:C861">
    <cfRule type="expression" dxfId="1081" priority="1241">
      <formula>AND(OR(C856="FST",C856="REV T",C856="DBL REV",C856="TPL REV",C856="QD REV"),C855="Field SPL")</formula>
    </cfRule>
  </conditionalFormatting>
  <conditionalFormatting sqref="I826">
    <cfRule type="expression" dxfId="1080" priority="1240">
      <formula>AND(E827="EUC",E828=432,I826&gt;204)</formula>
    </cfRule>
  </conditionalFormatting>
  <conditionalFormatting sqref="E828">
    <cfRule type="expression" dxfId="1079" priority="1236">
      <formula>(AND(E827="EUC",E828=432))</formula>
    </cfRule>
    <cfRule type="expression" dxfId="1078" priority="1237">
      <formula>AND(E827="SS",E828&gt;216)</formula>
    </cfRule>
    <cfRule type="expression" dxfId="1077" priority="1238">
      <formula>(AND(E827="EUC",E828&gt;216))</formula>
    </cfRule>
    <cfRule type="expression" dxfId="1076" priority="1239">
      <formula>AND(E827="RPX",E828&gt;216)</formula>
    </cfRule>
  </conditionalFormatting>
  <conditionalFormatting sqref="E837:E854">
    <cfRule type="expression" dxfId="1075" priority="1235">
      <formula>AND(OR(C837="NO",C837="REV T",C837="DBL REV",C837="TPL REV",C837="QD REV"),E837&gt;12)</formula>
    </cfRule>
  </conditionalFormatting>
  <conditionalFormatting sqref="C837:C854">
    <cfRule type="expression" dxfId="1074" priority="1234">
      <formula>AND(OR(C838="FST",C838="REV T",C838="DBL REV",C838="TPL REV",C838="QD REV"),C837="Field SPL")</formula>
    </cfRule>
  </conditionalFormatting>
  <conditionalFormatting sqref="L869">
    <cfRule type="cellIs" dxfId="1073" priority="1230" operator="lessThan">
      <formula>$L$7</formula>
    </cfRule>
  </conditionalFormatting>
  <conditionalFormatting sqref="I868">
    <cfRule type="cellIs" dxfId="1072" priority="1229" operator="lessThan">
      <formula>0</formula>
    </cfRule>
  </conditionalFormatting>
  <conditionalFormatting sqref="H878:I902">
    <cfRule type="cellIs" dxfId="1071" priority="1228" operator="lessThan">
      <formula>0</formula>
    </cfRule>
  </conditionalFormatting>
  <conditionalFormatting sqref="E902">
    <cfRule type="expression" dxfId="1070" priority="1227">
      <formula>AND(OR(C902="NO",C902="REV T",C902="DBL REV",C902="TPL REV",C902="QD REV"),E902&gt;12)</formula>
    </cfRule>
  </conditionalFormatting>
  <conditionalFormatting sqref="B890:B902">
    <cfRule type="expression" dxfId="1069" priority="1225">
      <formula>Z890="error"</formula>
    </cfRule>
  </conditionalFormatting>
  <conditionalFormatting sqref="B890:B902">
    <cfRule type="expression" dxfId="1068" priority="1224">
      <formula>AA892="error"</formula>
    </cfRule>
  </conditionalFormatting>
  <conditionalFormatting sqref="E902">
    <cfRule type="expression" dxfId="1067" priority="1223">
      <formula>AND(OR(C902="NO",C902="REV T",C902="DBL REV",C902="TPL REV",C902="QD REV"),E902&gt;12)</formula>
    </cfRule>
  </conditionalFormatting>
  <conditionalFormatting sqref="E873">
    <cfRule type="expression" dxfId="1066" priority="1220">
      <formula>AND(E868="EUC",E869&gt;48,E873="Y")</formula>
    </cfRule>
    <cfRule type="expression" dxfId="1065" priority="1221">
      <formula>AND(E868="RPX",E869&gt;48,E873="Y")</formula>
    </cfRule>
    <cfRule type="expression" dxfId="1064" priority="1222">
      <formula>AND(E868="SS",E869&gt;48,E873="Y")</formula>
    </cfRule>
  </conditionalFormatting>
  <conditionalFormatting sqref="I872">
    <cfRule type="expression" dxfId="1063" priority="1217">
      <formula>I872=0</formula>
    </cfRule>
    <cfRule type="expression" dxfId="1062" priority="1218">
      <formula>MOD(I872,2)=0</formula>
    </cfRule>
  </conditionalFormatting>
  <conditionalFormatting sqref="E896:E901">
    <cfRule type="expression" dxfId="1061" priority="1216">
      <formula>AND(OR(C896="NO",C896="REV T",C896="DBL REV",C896="TPL REV",C896="QD REV"),E896&gt;12)</formula>
    </cfRule>
  </conditionalFormatting>
  <conditionalFormatting sqref="C896:C902">
    <cfRule type="expression" dxfId="1060" priority="1215">
      <formula>AND(OR(C897="FST",C897="REV T",C897="DBL REV",C897="TPL REV",C897="QD REV"),C896="Field SPL")</formula>
    </cfRule>
  </conditionalFormatting>
  <conditionalFormatting sqref="I867">
    <cfRule type="expression" dxfId="1059" priority="1214">
      <formula>AND(E868="EUC",E869=432,I867&gt;204)</formula>
    </cfRule>
  </conditionalFormatting>
  <conditionalFormatting sqref="E869">
    <cfRule type="expression" dxfId="1058" priority="1210">
      <formula>(AND(E868="EUC",E869=432))</formula>
    </cfRule>
    <cfRule type="expression" dxfId="1057" priority="1211">
      <formula>AND(E868="SS",E869&gt;216)</formula>
    </cfRule>
    <cfRule type="expression" dxfId="1056" priority="1212">
      <formula>(AND(E868="EUC",E869&gt;216))</formula>
    </cfRule>
    <cfRule type="expression" dxfId="1055" priority="1213">
      <formula>AND(E868="RPX",E869&gt;216)</formula>
    </cfRule>
  </conditionalFormatting>
  <conditionalFormatting sqref="E878:E895">
    <cfRule type="expression" dxfId="1054" priority="1209">
      <formula>AND(OR(C878="NO",C878="REV T",C878="DBL REV",C878="TPL REV",C878="QD REV"),E878&gt;12)</formula>
    </cfRule>
  </conditionalFormatting>
  <conditionalFormatting sqref="C878:C895">
    <cfRule type="expression" dxfId="1053" priority="1208">
      <formula>AND(OR(C879="FST",C879="REV T",C879="DBL REV",C879="TPL REV",C879="QD REV"),C878="Field SPL")</formula>
    </cfRule>
  </conditionalFormatting>
  <conditionalFormatting sqref="L910">
    <cfRule type="cellIs" dxfId="1052" priority="1204" operator="lessThan">
      <formula>$L$7</formula>
    </cfRule>
  </conditionalFormatting>
  <conditionalFormatting sqref="I909">
    <cfRule type="cellIs" dxfId="1051" priority="1203" operator="lessThan">
      <formula>0</formula>
    </cfRule>
  </conditionalFormatting>
  <conditionalFormatting sqref="H919:I943">
    <cfRule type="cellIs" dxfId="1050" priority="1202" operator="lessThan">
      <formula>0</formula>
    </cfRule>
  </conditionalFormatting>
  <conditionalFormatting sqref="E943">
    <cfRule type="expression" dxfId="1049" priority="1201">
      <formula>AND(OR(C943="NO",C943="REV T",C943="DBL REV",C943="TPL REV",C943="QD REV"),E943&gt;12)</formula>
    </cfRule>
  </conditionalFormatting>
  <conditionalFormatting sqref="B931:B943">
    <cfRule type="expression" dxfId="1048" priority="1199">
      <formula>Z931="error"</formula>
    </cfRule>
  </conditionalFormatting>
  <conditionalFormatting sqref="B931:B943">
    <cfRule type="expression" dxfId="1047" priority="1198">
      <formula>AA933="error"</formula>
    </cfRule>
  </conditionalFormatting>
  <conditionalFormatting sqref="E943">
    <cfRule type="expression" dxfId="1046" priority="1197">
      <formula>AND(OR(C943="NO",C943="REV T",C943="DBL REV",C943="TPL REV",C943="QD REV"),E943&gt;12)</formula>
    </cfRule>
  </conditionalFormatting>
  <conditionalFormatting sqref="E914">
    <cfRule type="expression" dxfId="1045" priority="1194">
      <formula>AND(E909="EUC",E910&gt;48,E914="Y")</formula>
    </cfRule>
    <cfRule type="expression" dxfId="1044" priority="1195">
      <formula>AND(E909="RPX",E910&gt;48,E914="Y")</formula>
    </cfRule>
    <cfRule type="expression" dxfId="1043" priority="1196">
      <formula>AND(E909="SS",E910&gt;48,E914="Y")</formula>
    </cfRule>
  </conditionalFormatting>
  <conditionalFormatting sqref="I913">
    <cfRule type="expression" dxfId="1042" priority="1191">
      <formula>I913=0</formula>
    </cfRule>
    <cfRule type="expression" dxfId="1041" priority="1192">
      <formula>MOD(I913,2)=0</formula>
    </cfRule>
  </conditionalFormatting>
  <conditionalFormatting sqref="E937:E942">
    <cfRule type="expression" dxfId="1040" priority="1190">
      <formula>AND(OR(C937="NO",C937="REV T",C937="DBL REV",C937="TPL REV",C937="QD REV"),E937&gt;12)</formula>
    </cfRule>
  </conditionalFormatting>
  <conditionalFormatting sqref="C937:C943">
    <cfRule type="expression" dxfId="1039" priority="1189">
      <formula>AND(OR(C938="FST",C938="REV T",C938="DBL REV",C938="TPL REV",C938="QD REV"),C937="Field SPL")</formula>
    </cfRule>
  </conditionalFormatting>
  <conditionalFormatting sqref="I908">
    <cfRule type="expression" dxfId="1038" priority="1188">
      <formula>AND(E909="EUC",E910=432,I908&gt;204)</formula>
    </cfRule>
  </conditionalFormatting>
  <conditionalFormatting sqref="E910">
    <cfRule type="expression" dxfId="1037" priority="1184">
      <formula>(AND(E909="EUC",E910=432))</formula>
    </cfRule>
    <cfRule type="expression" dxfId="1036" priority="1185">
      <formula>AND(E909="SS",E910&gt;216)</formula>
    </cfRule>
    <cfRule type="expression" dxfId="1035" priority="1186">
      <formula>(AND(E909="EUC",E910&gt;216))</formula>
    </cfRule>
    <cfRule type="expression" dxfId="1034" priority="1187">
      <formula>AND(E909="RPX",E910&gt;216)</formula>
    </cfRule>
  </conditionalFormatting>
  <conditionalFormatting sqref="E919:E936">
    <cfRule type="expression" dxfId="1033" priority="1183">
      <formula>AND(OR(C919="NO",C919="REV T",C919="DBL REV",C919="TPL REV",C919="QD REV"),E919&gt;12)</formula>
    </cfRule>
  </conditionalFormatting>
  <conditionalFormatting sqref="C919:C936">
    <cfRule type="expression" dxfId="1032" priority="1182">
      <formula>AND(OR(C920="FST",C920="REV T",C920="DBL REV",C920="TPL REV",C920="QD REV"),C919="Field SPL")</formula>
    </cfRule>
  </conditionalFormatting>
  <conditionalFormatting sqref="L951">
    <cfRule type="cellIs" dxfId="1031" priority="1178" operator="lessThan">
      <formula>$L$7</formula>
    </cfRule>
  </conditionalFormatting>
  <conditionalFormatting sqref="I950">
    <cfRule type="cellIs" dxfId="1030" priority="1177" operator="lessThan">
      <formula>0</formula>
    </cfRule>
  </conditionalFormatting>
  <conditionalFormatting sqref="H960:I984">
    <cfRule type="cellIs" dxfId="1029" priority="1176" operator="lessThan">
      <formula>0</formula>
    </cfRule>
  </conditionalFormatting>
  <conditionalFormatting sqref="E984">
    <cfRule type="expression" dxfId="1028" priority="1175">
      <formula>AND(OR(C984="NO",C984="REV T",C984="DBL REV",C984="TPL REV",C984="QD REV"),E984&gt;12)</formula>
    </cfRule>
  </conditionalFormatting>
  <conditionalFormatting sqref="B972:B984">
    <cfRule type="expression" dxfId="1027" priority="1173">
      <formula>Z972="error"</formula>
    </cfRule>
  </conditionalFormatting>
  <conditionalFormatting sqref="B972:B984">
    <cfRule type="expression" dxfId="1026" priority="1172">
      <formula>AA974="error"</formula>
    </cfRule>
  </conditionalFormatting>
  <conditionalFormatting sqref="E984">
    <cfRule type="expression" dxfId="1025" priority="1171">
      <formula>AND(OR(C984="NO",C984="REV T",C984="DBL REV",C984="TPL REV",C984="QD REV"),E984&gt;12)</formula>
    </cfRule>
  </conditionalFormatting>
  <conditionalFormatting sqref="E955">
    <cfRule type="expression" dxfId="1024" priority="1168">
      <formula>AND(E950="EUC",E951&gt;48,E955="Y")</formula>
    </cfRule>
    <cfRule type="expression" dxfId="1023" priority="1169">
      <formula>AND(E950="RPX",E951&gt;48,E955="Y")</formula>
    </cfRule>
    <cfRule type="expression" dxfId="1022" priority="1170">
      <formula>AND(E950="SS",E951&gt;48,E955="Y")</formula>
    </cfRule>
  </conditionalFormatting>
  <conditionalFormatting sqref="I954">
    <cfRule type="expression" dxfId="1021" priority="1165">
      <formula>I954=0</formula>
    </cfRule>
    <cfRule type="expression" dxfId="1020" priority="1166">
      <formula>MOD(I954,2)=0</formula>
    </cfRule>
  </conditionalFormatting>
  <conditionalFormatting sqref="E978:E983">
    <cfRule type="expression" dxfId="1019" priority="1164">
      <formula>AND(OR(C978="NO",C978="REV T",C978="DBL REV",C978="TPL REV",C978="QD REV"),E978&gt;12)</formula>
    </cfRule>
  </conditionalFormatting>
  <conditionalFormatting sqref="C978:C984">
    <cfRule type="expression" dxfId="1018" priority="1163">
      <formula>AND(OR(C979="FST",C979="REV T",C979="DBL REV",C979="TPL REV",C979="QD REV"),C978="Field SPL")</formula>
    </cfRule>
  </conditionalFormatting>
  <conditionalFormatting sqref="I949">
    <cfRule type="expression" dxfId="1017" priority="1162">
      <formula>AND(E950="EUC",E951=432,I949&gt;204)</formula>
    </cfRule>
  </conditionalFormatting>
  <conditionalFormatting sqref="E951">
    <cfRule type="expression" dxfId="1016" priority="1158">
      <formula>(AND(E950="EUC",E951=432))</formula>
    </cfRule>
    <cfRule type="expression" dxfId="1015" priority="1159">
      <formula>AND(E950="SS",E951&gt;216)</formula>
    </cfRule>
    <cfRule type="expression" dxfId="1014" priority="1160">
      <formula>(AND(E950="EUC",E951&gt;216))</formula>
    </cfRule>
    <cfRule type="expression" dxfId="1013" priority="1161">
      <formula>AND(E950="RPX",E951&gt;216)</formula>
    </cfRule>
  </conditionalFormatting>
  <conditionalFormatting sqref="E960:E977">
    <cfRule type="expression" dxfId="1012" priority="1157">
      <formula>AND(OR(C960="NO",C960="REV T",C960="DBL REV",C960="TPL REV",C960="QD REV"),E960&gt;12)</formula>
    </cfRule>
  </conditionalFormatting>
  <conditionalFormatting sqref="C960:C977">
    <cfRule type="expression" dxfId="1011" priority="1156">
      <formula>AND(OR(C961="FST",C961="REV T",C961="DBL REV",C961="TPL REV",C961="QD REV"),C960="Field SPL")</formula>
    </cfRule>
  </conditionalFormatting>
  <conditionalFormatting sqref="L992">
    <cfRule type="cellIs" dxfId="1010" priority="1152" operator="lessThan">
      <formula>$L$7</formula>
    </cfRule>
  </conditionalFormatting>
  <conditionalFormatting sqref="I991">
    <cfRule type="cellIs" dxfId="1009" priority="1151" operator="lessThan">
      <formula>0</formula>
    </cfRule>
  </conditionalFormatting>
  <conditionalFormatting sqref="H1001:I1025">
    <cfRule type="cellIs" dxfId="1008" priority="1150" operator="lessThan">
      <formula>0</formula>
    </cfRule>
  </conditionalFormatting>
  <conditionalFormatting sqref="E1025">
    <cfRule type="expression" dxfId="1007" priority="1149">
      <formula>AND(OR(C1025="NO",C1025="REV T",C1025="DBL REV",C1025="TPL REV",C1025="QD REV"),E1025&gt;12)</formula>
    </cfRule>
  </conditionalFormatting>
  <conditionalFormatting sqref="B1013:B1025">
    <cfRule type="expression" dxfId="1006" priority="1147">
      <formula>Z1013="error"</formula>
    </cfRule>
  </conditionalFormatting>
  <conditionalFormatting sqref="B1013:B1025">
    <cfRule type="expression" dxfId="1005" priority="1146">
      <formula>AA1015="error"</formula>
    </cfRule>
  </conditionalFormatting>
  <conditionalFormatting sqref="E1025">
    <cfRule type="expression" dxfId="1004" priority="1145">
      <formula>AND(OR(C1025="NO",C1025="REV T",C1025="DBL REV",C1025="TPL REV",C1025="QD REV"),E1025&gt;12)</formula>
    </cfRule>
  </conditionalFormatting>
  <conditionalFormatting sqref="E996">
    <cfRule type="expression" dxfId="1003" priority="1142">
      <formula>AND(E991="EUC",E992&gt;48,E996="Y")</formula>
    </cfRule>
    <cfRule type="expression" dxfId="1002" priority="1143">
      <formula>AND(E991="RPX",E992&gt;48,E996="Y")</formula>
    </cfRule>
    <cfRule type="expression" dxfId="1001" priority="1144">
      <formula>AND(E991="SS",E992&gt;48,E996="Y")</formula>
    </cfRule>
  </conditionalFormatting>
  <conditionalFormatting sqref="I995">
    <cfRule type="expression" dxfId="1000" priority="1139">
      <formula>I995=0</formula>
    </cfRule>
    <cfRule type="expression" dxfId="999" priority="1140">
      <formula>MOD(I995,2)=0</formula>
    </cfRule>
  </conditionalFormatting>
  <conditionalFormatting sqref="E1019:E1024">
    <cfRule type="expression" dxfId="998" priority="1138">
      <formula>AND(OR(C1019="NO",C1019="REV T",C1019="DBL REV",C1019="TPL REV",C1019="QD REV"),E1019&gt;12)</formula>
    </cfRule>
  </conditionalFormatting>
  <conditionalFormatting sqref="C1019:C1025">
    <cfRule type="expression" dxfId="997" priority="1137">
      <formula>AND(OR(C1020="FST",C1020="REV T",C1020="DBL REV",C1020="TPL REV",C1020="QD REV"),C1019="Field SPL")</formula>
    </cfRule>
  </conditionalFormatting>
  <conditionalFormatting sqref="I990">
    <cfRule type="expression" dxfId="996" priority="1136">
      <formula>AND(E991="EUC",E992=432,I990&gt;204)</formula>
    </cfRule>
  </conditionalFormatting>
  <conditionalFormatting sqref="E992">
    <cfRule type="expression" dxfId="995" priority="1132">
      <formula>(AND(E991="EUC",E992=432))</formula>
    </cfRule>
    <cfRule type="expression" dxfId="994" priority="1133">
      <formula>AND(E991="SS",E992&gt;216)</formula>
    </cfRule>
    <cfRule type="expression" dxfId="993" priority="1134">
      <formula>(AND(E991="EUC",E992&gt;216))</formula>
    </cfRule>
    <cfRule type="expression" dxfId="992" priority="1135">
      <formula>AND(E991="RPX",E992&gt;216)</formula>
    </cfRule>
  </conditionalFormatting>
  <conditionalFormatting sqref="E1001:E1018">
    <cfRule type="expression" dxfId="991" priority="1131">
      <formula>AND(OR(C1001="NO",C1001="REV T",C1001="DBL REV",C1001="TPL REV",C1001="QD REV"),E1001&gt;12)</formula>
    </cfRule>
  </conditionalFormatting>
  <conditionalFormatting sqref="C1001:C1018">
    <cfRule type="expression" dxfId="990" priority="1130">
      <formula>AND(OR(C1002="FST",C1002="REV T",C1002="DBL REV",C1002="TPL REV",C1002="QD REV"),C1001="Field SPL")</formula>
    </cfRule>
  </conditionalFormatting>
  <conditionalFormatting sqref="L1033">
    <cfRule type="cellIs" dxfId="989" priority="1126" operator="lessThan">
      <formula>$L$7</formula>
    </cfRule>
  </conditionalFormatting>
  <conditionalFormatting sqref="I1032">
    <cfRule type="cellIs" dxfId="988" priority="1125" operator="lessThan">
      <formula>0</formula>
    </cfRule>
  </conditionalFormatting>
  <conditionalFormatting sqref="H1042:I1066">
    <cfRule type="cellIs" dxfId="987" priority="1124" operator="lessThan">
      <formula>0</formula>
    </cfRule>
  </conditionalFormatting>
  <conditionalFormatting sqref="E1066">
    <cfRule type="expression" dxfId="986" priority="1123">
      <formula>AND(OR(C1066="NO",C1066="REV T",C1066="DBL REV",C1066="TPL REV",C1066="QD REV"),E1066&gt;12)</formula>
    </cfRule>
  </conditionalFormatting>
  <conditionalFormatting sqref="B1054:B1066">
    <cfRule type="expression" dxfId="985" priority="1121">
      <formula>Z1054="error"</formula>
    </cfRule>
  </conditionalFormatting>
  <conditionalFormatting sqref="B1054:B1066">
    <cfRule type="expression" dxfId="984" priority="1120">
      <formula>AA1056="error"</formula>
    </cfRule>
  </conditionalFormatting>
  <conditionalFormatting sqref="E1066">
    <cfRule type="expression" dxfId="983" priority="1119">
      <formula>AND(OR(C1066="NO",C1066="REV T",C1066="DBL REV",C1066="TPL REV",C1066="QD REV"),E1066&gt;12)</formula>
    </cfRule>
  </conditionalFormatting>
  <conditionalFormatting sqref="E1037">
    <cfRule type="expression" dxfId="982" priority="1116">
      <formula>AND(E1032="EUC",E1033&gt;48,E1037="Y")</formula>
    </cfRule>
    <cfRule type="expression" dxfId="981" priority="1117">
      <formula>AND(E1032="RPX",E1033&gt;48,E1037="Y")</formula>
    </cfRule>
    <cfRule type="expression" dxfId="980" priority="1118">
      <formula>AND(E1032="SS",E1033&gt;48,E1037="Y")</formula>
    </cfRule>
  </conditionalFormatting>
  <conditionalFormatting sqref="I1036">
    <cfRule type="expression" dxfId="979" priority="1113">
      <formula>I1036=0</formula>
    </cfRule>
    <cfRule type="expression" dxfId="978" priority="1114">
      <formula>MOD(I1036,2)=0</formula>
    </cfRule>
  </conditionalFormatting>
  <conditionalFormatting sqref="E1060:E1065">
    <cfRule type="expression" dxfId="977" priority="1112">
      <formula>AND(OR(C1060="NO",C1060="REV T",C1060="DBL REV",C1060="TPL REV",C1060="QD REV"),E1060&gt;12)</formula>
    </cfRule>
  </conditionalFormatting>
  <conditionalFormatting sqref="C1060:C1066">
    <cfRule type="expression" dxfId="976" priority="1111">
      <formula>AND(OR(C1061="FST",C1061="REV T",C1061="DBL REV",C1061="TPL REV",C1061="QD REV"),C1060="Field SPL")</formula>
    </cfRule>
  </conditionalFormatting>
  <conditionalFormatting sqref="I1031">
    <cfRule type="expression" dxfId="975" priority="1110">
      <formula>AND(E1032="EUC",E1033=432,I1031&gt;204)</formula>
    </cfRule>
  </conditionalFormatting>
  <conditionalFormatting sqref="E1033">
    <cfRule type="expression" dxfId="974" priority="1106">
      <formula>(AND(E1032="EUC",E1033=432))</formula>
    </cfRule>
    <cfRule type="expression" dxfId="973" priority="1107">
      <formula>AND(E1032="SS",E1033&gt;216)</formula>
    </cfRule>
    <cfRule type="expression" dxfId="972" priority="1108">
      <formula>(AND(E1032="EUC",E1033&gt;216))</formula>
    </cfRule>
    <cfRule type="expression" dxfId="971" priority="1109">
      <formula>AND(E1032="RPX",E1033&gt;216)</formula>
    </cfRule>
  </conditionalFormatting>
  <conditionalFormatting sqref="E1042:E1059">
    <cfRule type="expression" dxfId="970" priority="1105">
      <formula>AND(OR(C1042="NO",C1042="REV T",C1042="DBL REV",C1042="TPL REV",C1042="QD REV"),E1042&gt;12)</formula>
    </cfRule>
  </conditionalFormatting>
  <conditionalFormatting sqref="C1042:C1059">
    <cfRule type="expression" dxfId="969" priority="1104">
      <formula>AND(OR(C1043="FST",C1043="REV T",C1043="DBL REV",C1043="TPL REV",C1043="QD REV"),C1042="Field SPL")</formula>
    </cfRule>
  </conditionalFormatting>
  <conditionalFormatting sqref="L1074">
    <cfRule type="cellIs" dxfId="968" priority="1100" operator="lessThan">
      <formula>$L$7</formula>
    </cfRule>
  </conditionalFormatting>
  <conditionalFormatting sqref="I1073">
    <cfRule type="cellIs" dxfId="967" priority="1099" operator="lessThan">
      <formula>0</formula>
    </cfRule>
  </conditionalFormatting>
  <conditionalFormatting sqref="H1083:I1107">
    <cfRule type="cellIs" dxfId="966" priority="1098" operator="lessThan">
      <formula>0</formula>
    </cfRule>
  </conditionalFormatting>
  <conditionalFormatting sqref="E1107">
    <cfRule type="expression" dxfId="965" priority="1097">
      <formula>AND(OR(C1107="NO",C1107="REV T",C1107="DBL REV",C1107="TPL REV",C1107="QD REV"),E1107&gt;12)</formula>
    </cfRule>
  </conditionalFormatting>
  <conditionalFormatting sqref="B1095:B1107">
    <cfRule type="expression" dxfId="964" priority="1095">
      <formula>Z1095="error"</formula>
    </cfRule>
  </conditionalFormatting>
  <conditionalFormatting sqref="B1095:B1107">
    <cfRule type="expression" dxfId="963" priority="1094">
      <formula>AA1097="error"</formula>
    </cfRule>
  </conditionalFormatting>
  <conditionalFormatting sqref="E1107">
    <cfRule type="expression" dxfId="962" priority="1093">
      <formula>AND(OR(C1107="NO",C1107="REV T",C1107="DBL REV",C1107="TPL REV",C1107="QD REV"),E1107&gt;12)</formula>
    </cfRule>
  </conditionalFormatting>
  <conditionalFormatting sqref="E1078">
    <cfRule type="expression" dxfId="961" priority="1090">
      <formula>AND(E1073="EUC",E1074&gt;48,E1078="Y")</formula>
    </cfRule>
    <cfRule type="expression" dxfId="960" priority="1091">
      <formula>AND(E1073="RPX",E1074&gt;48,E1078="Y")</formula>
    </cfRule>
    <cfRule type="expression" dxfId="959" priority="1092">
      <formula>AND(E1073="SS",E1074&gt;48,E1078="Y")</formula>
    </cfRule>
  </conditionalFormatting>
  <conditionalFormatting sqref="I1077">
    <cfRule type="expression" dxfId="958" priority="1087">
      <formula>I1077=0</formula>
    </cfRule>
    <cfRule type="expression" dxfId="957" priority="1088">
      <formula>MOD(I1077,2)=0</formula>
    </cfRule>
  </conditionalFormatting>
  <conditionalFormatting sqref="E1101:E1106">
    <cfRule type="expression" dxfId="956" priority="1086">
      <formula>AND(OR(C1101="NO",C1101="REV T",C1101="DBL REV",C1101="TPL REV",C1101="QD REV"),E1101&gt;12)</formula>
    </cfRule>
  </conditionalFormatting>
  <conditionalFormatting sqref="C1101:C1107">
    <cfRule type="expression" dxfId="955" priority="1085">
      <formula>AND(OR(C1102="FST",C1102="REV T",C1102="DBL REV",C1102="TPL REV",C1102="QD REV"),C1101="Field SPL")</formula>
    </cfRule>
  </conditionalFormatting>
  <conditionalFormatting sqref="I1072">
    <cfRule type="expression" dxfId="954" priority="1084">
      <formula>AND(E1073="EUC",E1074=432,I1072&gt;204)</formula>
    </cfRule>
  </conditionalFormatting>
  <conditionalFormatting sqref="E1074">
    <cfRule type="expression" dxfId="953" priority="1080">
      <formula>(AND(E1073="EUC",E1074=432))</formula>
    </cfRule>
    <cfRule type="expression" dxfId="952" priority="1081">
      <formula>AND(E1073="SS",E1074&gt;216)</formula>
    </cfRule>
    <cfRule type="expression" dxfId="951" priority="1082">
      <formula>(AND(E1073="EUC",E1074&gt;216))</formula>
    </cfRule>
    <cfRule type="expression" dxfId="950" priority="1083">
      <formula>AND(E1073="RPX",E1074&gt;216)</formula>
    </cfRule>
  </conditionalFormatting>
  <conditionalFormatting sqref="E1083:E1100">
    <cfRule type="expression" dxfId="949" priority="1079">
      <formula>AND(OR(C1083="NO",C1083="REV T",C1083="DBL REV",C1083="TPL REV",C1083="QD REV"),E1083&gt;12)</formula>
    </cfRule>
  </conditionalFormatting>
  <conditionalFormatting sqref="C1083:C1100">
    <cfRule type="expression" dxfId="948" priority="1078">
      <formula>AND(OR(C1084="FST",C1084="REV T",C1084="DBL REV",C1084="TPL REV",C1084="QD REV"),C1083="Field SPL")</formula>
    </cfRule>
  </conditionalFormatting>
  <conditionalFormatting sqref="L1115">
    <cfRule type="cellIs" dxfId="947" priority="1074" operator="lessThan">
      <formula>$L$7</formula>
    </cfRule>
  </conditionalFormatting>
  <conditionalFormatting sqref="I1114">
    <cfRule type="cellIs" dxfId="946" priority="1073" operator="lessThan">
      <formula>0</formula>
    </cfRule>
  </conditionalFormatting>
  <conditionalFormatting sqref="H1124:I1148">
    <cfRule type="cellIs" dxfId="945" priority="1072" operator="lessThan">
      <formula>0</formula>
    </cfRule>
  </conditionalFormatting>
  <conditionalFormatting sqref="E1148">
    <cfRule type="expression" dxfId="944" priority="1071">
      <formula>AND(OR(C1148="NO",C1148="REV T",C1148="DBL REV",C1148="TPL REV",C1148="QD REV"),E1148&gt;12)</formula>
    </cfRule>
  </conditionalFormatting>
  <conditionalFormatting sqref="B1136:B1148">
    <cfRule type="expression" dxfId="943" priority="1069">
      <formula>Z1136="error"</formula>
    </cfRule>
  </conditionalFormatting>
  <conditionalFormatting sqref="B1136:B1148">
    <cfRule type="expression" dxfId="942" priority="1068">
      <formula>AA1138="error"</formula>
    </cfRule>
  </conditionalFormatting>
  <conditionalFormatting sqref="E1148">
    <cfRule type="expression" dxfId="941" priority="1067">
      <formula>AND(OR(C1148="NO",C1148="REV T",C1148="DBL REV",C1148="TPL REV",C1148="QD REV"),E1148&gt;12)</formula>
    </cfRule>
  </conditionalFormatting>
  <conditionalFormatting sqref="E1119">
    <cfRule type="expression" dxfId="940" priority="1064">
      <formula>AND(E1114="EUC",E1115&gt;48,E1119="Y")</formula>
    </cfRule>
    <cfRule type="expression" dxfId="939" priority="1065">
      <formula>AND(E1114="RPX",E1115&gt;48,E1119="Y")</formula>
    </cfRule>
    <cfRule type="expression" dxfId="938" priority="1066">
      <formula>AND(E1114="SS",E1115&gt;48,E1119="Y")</formula>
    </cfRule>
  </conditionalFormatting>
  <conditionalFormatting sqref="I1118">
    <cfRule type="expression" dxfId="937" priority="1061">
      <formula>I1118=0</formula>
    </cfRule>
    <cfRule type="expression" dxfId="936" priority="1062">
      <formula>MOD(I1118,2)=0</formula>
    </cfRule>
  </conditionalFormatting>
  <conditionalFormatting sqref="E1142:E1147">
    <cfRule type="expression" dxfId="935" priority="1060">
      <formula>AND(OR(C1142="NO",C1142="REV T",C1142="DBL REV",C1142="TPL REV",C1142="QD REV"),E1142&gt;12)</formula>
    </cfRule>
  </conditionalFormatting>
  <conditionalFormatting sqref="C1142:C1148">
    <cfRule type="expression" dxfId="934" priority="1059">
      <formula>AND(OR(C1143="FST",C1143="REV T",C1143="DBL REV",C1143="TPL REV",C1143="QD REV"),C1142="Field SPL")</formula>
    </cfRule>
  </conditionalFormatting>
  <conditionalFormatting sqref="I1113">
    <cfRule type="expression" dxfId="933" priority="1058">
      <formula>AND(E1114="EUC",E1115=432,I1113&gt;204)</formula>
    </cfRule>
  </conditionalFormatting>
  <conditionalFormatting sqref="E1115">
    <cfRule type="expression" dxfId="932" priority="1054">
      <formula>(AND(E1114="EUC",E1115=432))</formula>
    </cfRule>
    <cfRule type="expression" dxfId="931" priority="1055">
      <formula>AND(E1114="SS",E1115&gt;216)</formula>
    </cfRule>
    <cfRule type="expression" dxfId="930" priority="1056">
      <formula>(AND(E1114="EUC",E1115&gt;216))</formula>
    </cfRule>
    <cfRule type="expression" dxfId="929" priority="1057">
      <formula>AND(E1114="RPX",E1115&gt;216)</formula>
    </cfRule>
  </conditionalFormatting>
  <conditionalFormatting sqref="E1124:E1141">
    <cfRule type="expression" dxfId="928" priority="1053">
      <formula>AND(OR(C1124="NO",C1124="REV T",C1124="DBL REV",C1124="TPL REV",C1124="QD REV"),E1124&gt;12)</formula>
    </cfRule>
  </conditionalFormatting>
  <conditionalFormatting sqref="C1124:C1141">
    <cfRule type="expression" dxfId="927" priority="1052">
      <formula>AND(OR(C1125="FST",C1125="REV T",C1125="DBL REV",C1125="TPL REV",C1125="QD REV"),C1124="Field SPL")</formula>
    </cfRule>
  </conditionalFormatting>
  <conditionalFormatting sqref="L1156">
    <cfRule type="cellIs" dxfId="926" priority="1048" operator="lessThan">
      <formula>$L$7</formula>
    </cfRule>
  </conditionalFormatting>
  <conditionalFormatting sqref="I1155">
    <cfRule type="cellIs" dxfId="925" priority="1047" operator="lessThan">
      <formula>0</formula>
    </cfRule>
  </conditionalFormatting>
  <conditionalFormatting sqref="H1165:I1189">
    <cfRule type="cellIs" dxfId="924" priority="1046" operator="lessThan">
      <formula>0</formula>
    </cfRule>
  </conditionalFormatting>
  <conditionalFormatting sqref="E1189">
    <cfRule type="expression" dxfId="923" priority="1045">
      <formula>AND(OR(C1189="NO",C1189="REV T",C1189="DBL REV",C1189="TPL REV",C1189="QD REV"),E1189&gt;12)</formula>
    </cfRule>
  </conditionalFormatting>
  <conditionalFormatting sqref="B1177:B1189">
    <cfRule type="expression" dxfId="922" priority="1043">
      <formula>Z1177="error"</formula>
    </cfRule>
  </conditionalFormatting>
  <conditionalFormatting sqref="B1177:B1189">
    <cfRule type="expression" dxfId="921" priority="1042">
      <formula>AA1179="error"</formula>
    </cfRule>
  </conditionalFormatting>
  <conditionalFormatting sqref="E1189">
    <cfRule type="expression" dxfId="920" priority="1041">
      <formula>AND(OR(C1189="NO",C1189="REV T",C1189="DBL REV",C1189="TPL REV",C1189="QD REV"),E1189&gt;12)</formula>
    </cfRule>
  </conditionalFormatting>
  <conditionalFormatting sqref="E1160">
    <cfRule type="expression" dxfId="919" priority="1038">
      <formula>AND(E1155="EUC",E1156&gt;48,E1160="Y")</formula>
    </cfRule>
    <cfRule type="expression" dxfId="918" priority="1039">
      <formula>AND(E1155="RPX",E1156&gt;48,E1160="Y")</formula>
    </cfRule>
    <cfRule type="expression" dxfId="917" priority="1040">
      <formula>AND(E1155="SS",E1156&gt;48,E1160="Y")</formula>
    </cfRule>
  </conditionalFormatting>
  <conditionalFormatting sqref="I1159">
    <cfRule type="expression" dxfId="916" priority="1035">
      <formula>I1159=0</formula>
    </cfRule>
    <cfRule type="expression" dxfId="915" priority="1036">
      <formula>MOD(I1159,2)=0</formula>
    </cfRule>
  </conditionalFormatting>
  <conditionalFormatting sqref="E1183:E1188">
    <cfRule type="expression" dxfId="914" priority="1034">
      <formula>AND(OR(C1183="NO",C1183="REV T",C1183="DBL REV",C1183="TPL REV",C1183="QD REV"),E1183&gt;12)</formula>
    </cfRule>
  </conditionalFormatting>
  <conditionalFormatting sqref="C1183:C1189">
    <cfRule type="expression" dxfId="913" priority="1033">
      <formula>AND(OR(C1184="FST",C1184="REV T",C1184="DBL REV",C1184="TPL REV",C1184="QD REV"),C1183="Field SPL")</formula>
    </cfRule>
  </conditionalFormatting>
  <conditionalFormatting sqref="I1154">
    <cfRule type="expression" dxfId="912" priority="1032">
      <formula>AND(E1155="EUC",E1156=432,I1154&gt;204)</formula>
    </cfRule>
  </conditionalFormatting>
  <conditionalFormatting sqref="E1156">
    <cfRule type="expression" dxfId="911" priority="1028">
      <formula>(AND(E1155="EUC",E1156=432))</formula>
    </cfRule>
    <cfRule type="expression" dxfId="910" priority="1029">
      <formula>AND(E1155="SS",E1156&gt;216)</formula>
    </cfRule>
    <cfRule type="expression" dxfId="909" priority="1030">
      <formula>(AND(E1155="EUC",E1156&gt;216))</formula>
    </cfRule>
    <cfRule type="expression" dxfId="908" priority="1031">
      <formula>AND(E1155="RPX",E1156&gt;216)</formula>
    </cfRule>
  </conditionalFormatting>
  <conditionalFormatting sqref="E1165:E1182">
    <cfRule type="expression" dxfId="907" priority="1027">
      <formula>AND(OR(C1165="NO",C1165="REV T",C1165="DBL REV",C1165="TPL REV",C1165="QD REV"),E1165&gt;12)</formula>
    </cfRule>
  </conditionalFormatting>
  <conditionalFormatting sqref="C1165:C1182">
    <cfRule type="expression" dxfId="906" priority="1026">
      <formula>AND(OR(C1166="FST",C1166="REV T",C1166="DBL REV",C1166="TPL REV",C1166="QD REV"),C1165="Field SPL")</formula>
    </cfRule>
  </conditionalFormatting>
  <conditionalFormatting sqref="L1197">
    <cfRule type="cellIs" dxfId="905" priority="1022" operator="lessThan">
      <formula>$L$7</formula>
    </cfRule>
  </conditionalFormatting>
  <conditionalFormatting sqref="I1196">
    <cfRule type="cellIs" dxfId="904" priority="1021" operator="lessThan">
      <formula>0</formula>
    </cfRule>
  </conditionalFormatting>
  <conditionalFormatting sqref="H1206:I1230">
    <cfRule type="cellIs" dxfId="903" priority="1020" operator="lessThan">
      <formula>0</formula>
    </cfRule>
  </conditionalFormatting>
  <conditionalFormatting sqref="E1230">
    <cfRule type="expression" dxfId="902" priority="1019">
      <formula>AND(OR(C1230="NO",C1230="REV T",C1230="DBL REV",C1230="TPL REV",C1230="QD REV"),E1230&gt;12)</formula>
    </cfRule>
  </conditionalFormatting>
  <conditionalFormatting sqref="B1218:B1230">
    <cfRule type="expression" dxfId="901" priority="1017">
      <formula>Z1218="error"</formula>
    </cfRule>
  </conditionalFormatting>
  <conditionalFormatting sqref="B1218:B1230">
    <cfRule type="expression" dxfId="900" priority="1016">
      <formula>AA1220="error"</formula>
    </cfRule>
  </conditionalFormatting>
  <conditionalFormatting sqref="E1230">
    <cfRule type="expression" dxfId="899" priority="1015">
      <formula>AND(OR(C1230="NO",C1230="REV T",C1230="DBL REV",C1230="TPL REV",C1230="QD REV"),E1230&gt;12)</formula>
    </cfRule>
  </conditionalFormatting>
  <conditionalFormatting sqref="E1201">
    <cfRule type="expression" dxfId="898" priority="1012">
      <formula>AND(E1196="EUC",E1197&gt;48,E1201="Y")</formula>
    </cfRule>
    <cfRule type="expression" dxfId="897" priority="1013">
      <formula>AND(E1196="RPX",E1197&gt;48,E1201="Y")</formula>
    </cfRule>
    <cfRule type="expression" dxfId="896" priority="1014">
      <formula>AND(E1196="SS",E1197&gt;48,E1201="Y")</formula>
    </cfRule>
  </conditionalFormatting>
  <conditionalFormatting sqref="I1200">
    <cfRule type="expression" dxfId="895" priority="1009">
      <formula>I1200=0</formula>
    </cfRule>
    <cfRule type="expression" dxfId="894" priority="1010">
      <formula>MOD(I1200,2)=0</formula>
    </cfRule>
  </conditionalFormatting>
  <conditionalFormatting sqref="E1224:E1229">
    <cfRule type="expression" dxfId="893" priority="1008">
      <formula>AND(OR(C1224="NO",C1224="REV T",C1224="DBL REV",C1224="TPL REV",C1224="QD REV"),E1224&gt;12)</formula>
    </cfRule>
  </conditionalFormatting>
  <conditionalFormatting sqref="C1224:C1230">
    <cfRule type="expression" dxfId="892" priority="1007">
      <formula>AND(OR(C1225="FST",C1225="REV T",C1225="DBL REV",C1225="TPL REV",C1225="QD REV"),C1224="Field SPL")</formula>
    </cfRule>
  </conditionalFormatting>
  <conditionalFormatting sqref="I1195">
    <cfRule type="expression" dxfId="891" priority="1006">
      <formula>AND(E1196="EUC",E1197=432,I1195&gt;204)</formula>
    </cfRule>
  </conditionalFormatting>
  <conditionalFormatting sqref="E1197">
    <cfRule type="expression" dxfId="890" priority="1002">
      <formula>(AND(E1196="EUC",E1197=432))</formula>
    </cfRule>
    <cfRule type="expression" dxfId="889" priority="1003">
      <formula>AND(E1196="SS",E1197&gt;216)</formula>
    </cfRule>
    <cfRule type="expression" dxfId="888" priority="1004">
      <formula>(AND(E1196="EUC",E1197&gt;216))</formula>
    </cfRule>
    <cfRule type="expression" dxfId="887" priority="1005">
      <formula>AND(E1196="RPX",E1197&gt;216)</formula>
    </cfRule>
  </conditionalFormatting>
  <conditionalFormatting sqref="E1206:E1223">
    <cfRule type="expression" dxfId="886" priority="1001">
      <formula>AND(OR(C1206="NO",C1206="REV T",C1206="DBL REV",C1206="TPL REV",C1206="QD REV"),E1206&gt;12)</formula>
    </cfRule>
  </conditionalFormatting>
  <conditionalFormatting sqref="C1206:C1223">
    <cfRule type="expression" dxfId="885" priority="1000">
      <formula>AND(OR(C1207="FST",C1207="REV T",C1207="DBL REV",C1207="TPL REV",C1207="QD REV"),C1206="Field SPL")</formula>
    </cfRule>
  </conditionalFormatting>
  <conditionalFormatting sqref="L1238">
    <cfRule type="cellIs" dxfId="884" priority="996" operator="lessThan">
      <formula>$L$7</formula>
    </cfRule>
  </conditionalFormatting>
  <conditionalFormatting sqref="I1237">
    <cfRule type="cellIs" dxfId="883" priority="995" operator="lessThan">
      <formula>0</formula>
    </cfRule>
  </conditionalFormatting>
  <conditionalFormatting sqref="H1247:I1271">
    <cfRule type="cellIs" dxfId="882" priority="994" operator="lessThan">
      <formula>0</formula>
    </cfRule>
  </conditionalFormatting>
  <conditionalFormatting sqref="E1271">
    <cfRule type="expression" dxfId="881" priority="993">
      <formula>AND(OR(C1271="NO",C1271="REV T",C1271="DBL REV",C1271="TPL REV",C1271="QD REV"),E1271&gt;12)</formula>
    </cfRule>
  </conditionalFormatting>
  <conditionalFormatting sqref="B1259:B1271">
    <cfRule type="expression" dxfId="880" priority="991">
      <formula>Z1259="error"</formula>
    </cfRule>
  </conditionalFormatting>
  <conditionalFormatting sqref="B1259:B1271">
    <cfRule type="expression" dxfId="879" priority="990">
      <formula>AA1261="error"</formula>
    </cfRule>
  </conditionalFormatting>
  <conditionalFormatting sqref="E1271">
    <cfRule type="expression" dxfId="878" priority="989">
      <formula>AND(OR(C1271="NO",C1271="REV T",C1271="DBL REV",C1271="TPL REV",C1271="QD REV"),E1271&gt;12)</formula>
    </cfRule>
  </conditionalFormatting>
  <conditionalFormatting sqref="E1242">
    <cfRule type="expression" dxfId="877" priority="986">
      <formula>AND(E1237="EUC",E1238&gt;48,E1242="Y")</formula>
    </cfRule>
    <cfRule type="expression" dxfId="876" priority="987">
      <formula>AND(E1237="RPX",E1238&gt;48,E1242="Y")</formula>
    </cfRule>
    <cfRule type="expression" dxfId="875" priority="988">
      <formula>AND(E1237="SS",E1238&gt;48,E1242="Y")</formula>
    </cfRule>
  </conditionalFormatting>
  <conditionalFormatting sqref="I1241">
    <cfRule type="expression" dxfId="874" priority="983">
      <formula>I1241=0</formula>
    </cfRule>
    <cfRule type="expression" dxfId="873" priority="984">
      <formula>MOD(I1241,2)=0</formula>
    </cfRule>
  </conditionalFormatting>
  <conditionalFormatting sqref="E1265:E1270">
    <cfRule type="expression" dxfId="872" priority="982">
      <formula>AND(OR(C1265="NO",C1265="REV T",C1265="DBL REV",C1265="TPL REV",C1265="QD REV"),E1265&gt;12)</formula>
    </cfRule>
  </conditionalFormatting>
  <conditionalFormatting sqref="C1265:C1271">
    <cfRule type="expression" dxfId="871" priority="981">
      <formula>AND(OR(C1266="FST",C1266="REV T",C1266="DBL REV",C1266="TPL REV",C1266="QD REV"),C1265="Field SPL")</formula>
    </cfRule>
  </conditionalFormatting>
  <conditionalFormatting sqref="I1236">
    <cfRule type="expression" dxfId="870" priority="980">
      <formula>AND(E1237="EUC",E1238=432,I1236&gt;204)</formula>
    </cfRule>
  </conditionalFormatting>
  <conditionalFormatting sqref="E1238">
    <cfRule type="expression" dxfId="869" priority="976">
      <formula>(AND(E1237="EUC",E1238=432))</formula>
    </cfRule>
    <cfRule type="expression" dxfId="868" priority="977">
      <formula>AND(E1237="SS",E1238&gt;216)</formula>
    </cfRule>
    <cfRule type="expression" dxfId="867" priority="978">
      <formula>(AND(E1237="EUC",E1238&gt;216))</formula>
    </cfRule>
    <cfRule type="expression" dxfId="866" priority="979">
      <formula>AND(E1237="RPX",E1238&gt;216)</formula>
    </cfRule>
  </conditionalFormatting>
  <conditionalFormatting sqref="E1247:E1264">
    <cfRule type="expression" dxfId="865" priority="975">
      <formula>AND(OR(C1247="NO",C1247="REV T",C1247="DBL REV",C1247="TPL REV",C1247="QD REV"),E1247&gt;12)</formula>
    </cfRule>
  </conditionalFormatting>
  <conditionalFormatting sqref="C1247:C1264">
    <cfRule type="expression" dxfId="864" priority="974">
      <formula>AND(OR(C1248="FST",C1248="REV T",C1248="DBL REV",C1248="TPL REV",C1248="QD REV"),C1247="Field SPL")</formula>
    </cfRule>
  </conditionalFormatting>
  <conditionalFormatting sqref="L1279">
    <cfRule type="cellIs" dxfId="863" priority="970" operator="lessThan">
      <formula>$L$7</formula>
    </cfRule>
  </conditionalFormatting>
  <conditionalFormatting sqref="I1278">
    <cfRule type="cellIs" dxfId="862" priority="969" operator="lessThan">
      <formula>0</formula>
    </cfRule>
  </conditionalFormatting>
  <conditionalFormatting sqref="H1288:I1312">
    <cfRule type="cellIs" dxfId="861" priority="968" operator="lessThan">
      <formula>0</formula>
    </cfRule>
  </conditionalFormatting>
  <conditionalFormatting sqref="E1312">
    <cfRule type="expression" dxfId="860" priority="967">
      <formula>AND(OR(C1312="NO",C1312="REV T",C1312="DBL REV",C1312="TPL REV",C1312="QD REV"),E1312&gt;12)</formula>
    </cfRule>
  </conditionalFormatting>
  <conditionalFormatting sqref="B1300:B1312">
    <cfRule type="expression" dxfId="859" priority="965">
      <formula>Z1300="error"</formula>
    </cfRule>
  </conditionalFormatting>
  <conditionalFormatting sqref="B1300:B1312">
    <cfRule type="expression" dxfId="858" priority="964">
      <formula>AA1302="error"</formula>
    </cfRule>
  </conditionalFormatting>
  <conditionalFormatting sqref="E1312">
    <cfRule type="expression" dxfId="857" priority="963">
      <formula>AND(OR(C1312="NO",C1312="REV T",C1312="DBL REV",C1312="TPL REV",C1312="QD REV"),E1312&gt;12)</formula>
    </cfRule>
  </conditionalFormatting>
  <conditionalFormatting sqref="E1283">
    <cfRule type="expression" dxfId="856" priority="960">
      <formula>AND(E1278="EUC",E1279&gt;48,E1283="Y")</formula>
    </cfRule>
    <cfRule type="expression" dxfId="855" priority="961">
      <formula>AND(E1278="RPX",E1279&gt;48,E1283="Y")</formula>
    </cfRule>
    <cfRule type="expression" dxfId="854" priority="962">
      <formula>AND(E1278="SS",E1279&gt;48,E1283="Y")</formula>
    </cfRule>
  </conditionalFormatting>
  <conditionalFormatting sqref="I1282">
    <cfRule type="expression" dxfId="853" priority="957">
      <formula>I1282=0</formula>
    </cfRule>
    <cfRule type="expression" dxfId="852" priority="958">
      <formula>MOD(I1282,2)=0</formula>
    </cfRule>
  </conditionalFormatting>
  <conditionalFormatting sqref="E1306:E1311">
    <cfRule type="expression" dxfId="851" priority="956">
      <formula>AND(OR(C1306="NO",C1306="REV T",C1306="DBL REV",C1306="TPL REV",C1306="QD REV"),E1306&gt;12)</formula>
    </cfRule>
  </conditionalFormatting>
  <conditionalFormatting sqref="C1306:C1312">
    <cfRule type="expression" dxfId="850" priority="955">
      <formula>AND(OR(C1307="FST",C1307="REV T",C1307="DBL REV",C1307="TPL REV",C1307="QD REV"),C1306="Field SPL")</formula>
    </cfRule>
  </conditionalFormatting>
  <conditionalFormatting sqref="I1277">
    <cfRule type="expression" dxfId="849" priority="954">
      <formula>AND(E1278="EUC",E1279=432,I1277&gt;204)</formula>
    </cfRule>
  </conditionalFormatting>
  <conditionalFormatting sqref="E1279">
    <cfRule type="expression" dxfId="848" priority="950">
      <formula>(AND(E1278="EUC",E1279=432))</formula>
    </cfRule>
    <cfRule type="expression" dxfId="847" priority="951">
      <formula>AND(E1278="SS",E1279&gt;216)</formula>
    </cfRule>
    <cfRule type="expression" dxfId="846" priority="952">
      <formula>(AND(E1278="EUC",E1279&gt;216))</formula>
    </cfRule>
    <cfRule type="expression" dxfId="845" priority="953">
      <formula>AND(E1278="RPX",E1279&gt;216)</formula>
    </cfRule>
  </conditionalFormatting>
  <conditionalFormatting sqref="E1288:E1305">
    <cfRule type="expression" dxfId="844" priority="949">
      <formula>AND(OR(C1288="NO",C1288="REV T",C1288="DBL REV",C1288="TPL REV",C1288="QD REV"),E1288&gt;12)</formula>
    </cfRule>
  </conditionalFormatting>
  <conditionalFormatting sqref="C1288:C1305">
    <cfRule type="expression" dxfId="843" priority="948">
      <formula>AND(OR(C1289="FST",C1289="REV T",C1289="DBL REV",C1289="TPL REV",C1289="QD REV"),C1288="Field SPL")</formula>
    </cfRule>
  </conditionalFormatting>
  <conditionalFormatting sqref="L1320">
    <cfRule type="cellIs" dxfId="842" priority="944" operator="lessThan">
      <formula>$L$7</formula>
    </cfRule>
  </conditionalFormatting>
  <conditionalFormatting sqref="I1319">
    <cfRule type="cellIs" dxfId="841" priority="943" operator="lessThan">
      <formula>0</formula>
    </cfRule>
  </conditionalFormatting>
  <conditionalFormatting sqref="H1329:I1353">
    <cfRule type="cellIs" dxfId="840" priority="942" operator="lessThan">
      <formula>0</formula>
    </cfRule>
  </conditionalFormatting>
  <conditionalFormatting sqref="E1353">
    <cfRule type="expression" dxfId="839" priority="941">
      <formula>AND(OR(C1353="NO",C1353="REV T",C1353="DBL REV",C1353="TPL REV",C1353="QD REV"),E1353&gt;12)</formula>
    </cfRule>
  </conditionalFormatting>
  <conditionalFormatting sqref="B1341:B1353">
    <cfRule type="expression" dxfId="838" priority="939">
      <formula>Z1341="error"</formula>
    </cfRule>
  </conditionalFormatting>
  <conditionalFormatting sqref="B1341:B1353">
    <cfRule type="expression" dxfId="837" priority="938">
      <formula>AA1343="error"</formula>
    </cfRule>
  </conditionalFormatting>
  <conditionalFormatting sqref="E1353">
    <cfRule type="expression" dxfId="836" priority="937">
      <formula>AND(OR(C1353="NO",C1353="REV T",C1353="DBL REV",C1353="TPL REV",C1353="QD REV"),E1353&gt;12)</formula>
    </cfRule>
  </conditionalFormatting>
  <conditionalFormatting sqref="E1324">
    <cfRule type="expression" dxfId="835" priority="934">
      <formula>AND(E1319="EUC",E1320&gt;48,E1324="Y")</formula>
    </cfRule>
    <cfRule type="expression" dxfId="834" priority="935">
      <formula>AND(E1319="RPX",E1320&gt;48,E1324="Y")</formula>
    </cfRule>
    <cfRule type="expression" dxfId="833" priority="936">
      <formula>AND(E1319="SS",E1320&gt;48,E1324="Y")</formula>
    </cfRule>
  </conditionalFormatting>
  <conditionalFormatting sqref="I1323">
    <cfRule type="expression" dxfId="832" priority="931">
      <formula>I1323=0</formula>
    </cfRule>
    <cfRule type="expression" dxfId="831" priority="932">
      <formula>MOD(I1323,2)=0</formula>
    </cfRule>
  </conditionalFormatting>
  <conditionalFormatting sqref="E1347:E1352">
    <cfRule type="expression" dxfId="830" priority="930">
      <formula>AND(OR(C1347="NO",C1347="REV T",C1347="DBL REV",C1347="TPL REV",C1347="QD REV"),E1347&gt;12)</formula>
    </cfRule>
  </conditionalFormatting>
  <conditionalFormatting sqref="C1347:C1353">
    <cfRule type="expression" dxfId="829" priority="929">
      <formula>AND(OR(C1348="FST",C1348="REV T",C1348="DBL REV",C1348="TPL REV",C1348="QD REV"),C1347="Field SPL")</formula>
    </cfRule>
  </conditionalFormatting>
  <conditionalFormatting sqref="I1318">
    <cfRule type="expression" dxfId="828" priority="928">
      <formula>AND(E1319="EUC",E1320=432,I1318&gt;204)</formula>
    </cfRule>
  </conditionalFormatting>
  <conditionalFormatting sqref="E1320">
    <cfRule type="expression" dxfId="827" priority="924">
      <formula>(AND(E1319="EUC",E1320=432))</formula>
    </cfRule>
    <cfRule type="expression" dxfId="826" priority="925">
      <formula>AND(E1319="SS",E1320&gt;216)</formula>
    </cfRule>
    <cfRule type="expression" dxfId="825" priority="926">
      <formula>(AND(E1319="EUC",E1320&gt;216))</formula>
    </cfRule>
    <cfRule type="expression" dxfId="824" priority="927">
      <formula>AND(E1319="RPX",E1320&gt;216)</formula>
    </cfRule>
  </conditionalFormatting>
  <conditionalFormatting sqref="E1329:E1346">
    <cfRule type="expression" dxfId="823" priority="923">
      <formula>AND(OR(C1329="NO",C1329="REV T",C1329="DBL REV",C1329="TPL REV",C1329="QD REV"),E1329&gt;12)</formula>
    </cfRule>
  </conditionalFormatting>
  <conditionalFormatting sqref="C1329:C1346">
    <cfRule type="expression" dxfId="822" priority="922">
      <formula>AND(OR(C1330="FST",C1330="REV T",C1330="DBL REV",C1330="TPL REV",C1330="QD REV"),C1329="Field SPL")</formula>
    </cfRule>
  </conditionalFormatting>
  <conditionalFormatting sqref="L1361">
    <cfRule type="cellIs" dxfId="821" priority="918" operator="lessThan">
      <formula>$L$7</formula>
    </cfRule>
  </conditionalFormatting>
  <conditionalFormatting sqref="I1360">
    <cfRule type="cellIs" dxfId="820" priority="917" operator="lessThan">
      <formula>0</formula>
    </cfRule>
  </conditionalFormatting>
  <conditionalFormatting sqref="H1370:I1394">
    <cfRule type="cellIs" dxfId="819" priority="916" operator="lessThan">
      <formula>0</formula>
    </cfRule>
  </conditionalFormatting>
  <conditionalFormatting sqref="E1394">
    <cfRule type="expression" dxfId="818" priority="915">
      <formula>AND(OR(C1394="NO",C1394="REV T",C1394="DBL REV",C1394="TPL REV",C1394="QD REV"),E1394&gt;12)</formula>
    </cfRule>
  </conditionalFormatting>
  <conditionalFormatting sqref="B1382:B1394">
    <cfRule type="expression" dxfId="817" priority="913">
      <formula>Z1382="error"</formula>
    </cfRule>
  </conditionalFormatting>
  <conditionalFormatting sqref="B1382:B1394">
    <cfRule type="expression" dxfId="816" priority="912">
      <formula>AA1384="error"</formula>
    </cfRule>
  </conditionalFormatting>
  <conditionalFormatting sqref="E1394">
    <cfRule type="expression" dxfId="815" priority="911">
      <formula>AND(OR(C1394="NO",C1394="REV T",C1394="DBL REV",C1394="TPL REV",C1394="QD REV"),E1394&gt;12)</formula>
    </cfRule>
  </conditionalFormatting>
  <conditionalFormatting sqref="E1365">
    <cfRule type="expression" dxfId="814" priority="908">
      <formula>AND(E1360="EUC",E1361&gt;48,E1365="Y")</formula>
    </cfRule>
    <cfRule type="expression" dxfId="813" priority="909">
      <formula>AND(E1360="RPX",E1361&gt;48,E1365="Y")</formula>
    </cfRule>
    <cfRule type="expression" dxfId="812" priority="910">
      <formula>AND(E1360="SS",E1361&gt;48,E1365="Y")</formula>
    </cfRule>
  </conditionalFormatting>
  <conditionalFormatting sqref="I1364">
    <cfRule type="expression" dxfId="811" priority="905">
      <formula>I1364=0</formula>
    </cfRule>
    <cfRule type="expression" dxfId="810" priority="906">
      <formula>MOD(I1364,2)=0</formula>
    </cfRule>
  </conditionalFormatting>
  <conditionalFormatting sqref="E1388:E1393">
    <cfRule type="expression" dxfId="809" priority="904">
      <formula>AND(OR(C1388="NO",C1388="REV T",C1388="DBL REV",C1388="TPL REV",C1388="QD REV"),E1388&gt;12)</formula>
    </cfRule>
  </conditionalFormatting>
  <conditionalFormatting sqref="C1388:C1394">
    <cfRule type="expression" dxfId="808" priority="903">
      <formula>AND(OR(C1389="FST",C1389="REV T",C1389="DBL REV",C1389="TPL REV",C1389="QD REV"),C1388="Field SPL")</formula>
    </cfRule>
  </conditionalFormatting>
  <conditionalFormatting sqref="I1359">
    <cfRule type="expression" dxfId="807" priority="902">
      <formula>AND(E1360="EUC",E1361=432,I1359&gt;204)</formula>
    </cfRule>
  </conditionalFormatting>
  <conditionalFormatting sqref="E1361">
    <cfRule type="expression" dxfId="806" priority="898">
      <formula>(AND(E1360="EUC",E1361=432))</formula>
    </cfRule>
    <cfRule type="expression" dxfId="805" priority="899">
      <formula>AND(E1360="SS",E1361&gt;216)</formula>
    </cfRule>
    <cfRule type="expression" dxfId="804" priority="900">
      <formula>(AND(E1360="EUC",E1361&gt;216))</formula>
    </cfRule>
    <cfRule type="expression" dxfId="803" priority="901">
      <formula>AND(E1360="RPX",E1361&gt;216)</formula>
    </cfRule>
  </conditionalFormatting>
  <conditionalFormatting sqref="E1370:E1387">
    <cfRule type="expression" dxfId="802" priority="897">
      <formula>AND(OR(C1370="NO",C1370="REV T",C1370="DBL REV",C1370="TPL REV",C1370="QD REV"),E1370&gt;12)</formula>
    </cfRule>
  </conditionalFormatting>
  <conditionalFormatting sqref="C1370:C1387">
    <cfRule type="expression" dxfId="801" priority="896">
      <formula>AND(OR(C1371="FST",C1371="REV T",C1371="DBL REV",C1371="TPL REV",C1371="QD REV"),C1370="Field SPL")</formula>
    </cfRule>
  </conditionalFormatting>
  <conditionalFormatting sqref="L1402">
    <cfRule type="cellIs" dxfId="800" priority="892" operator="lessThan">
      <formula>$L$7</formula>
    </cfRule>
  </conditionalFormatting>
  <conditionalFormatting sqref="I1401">
    <cfRule type="cellIs" dxfId="799" priority="891" operator="lessThan">
      <formula>0</formula>
    </cfRule>
  </conditionalFormatting>
  <conditionalFormatting sqref="H1411:I1435">
    <cfRule type="cellIs" dxfId="798" priority="890" operator="lessThan">
      <formula>0</formula>
    </cfRule>
  </conditionalFormatting>
  <conditionalFormatting sqref="E1435">
    <cfRule type="expression" dxfId="797" priority="889">
      <formula>AND(OR(C1435="NO",C1435="REV T",C1435="DBL REV",C1435="TPL REV",C1435="QD REV"),E1435&gt;12)</formula>
    </cfRule>
  </conditionalFormatting>
  <conditionalFormatting sqref="B1423:B1435">
    <cfRule type="expression" dxfId="796" priority="887">
      <formula>Z1423="error"</formula>
    </cfRule>
  </conditionalFormatting>
  <conditionalFormatting sqref="B1423:B1435">
    <cfRule type="expression" dxfId="795" priority="886">
      <formula>AA1425="error"</formula>
    </cfRule>
  </conditionalFormatting>
  <conditionalFormatting sqref="E1435">
    <cfRule type="expression" dxfId="794" priority="885">
      <formula>AND(OR(C1435="NO",C1435="REV T",C1435="DBL REV",C1435="TPL REV",C1435="QD REV"),E1435&gt;12)</formula>
    </cfRule>
  </conditionalFormatting>
  <conditionalFormatting sqref="E1406">
    <cfRule type="expression" dxfId="793" priority="882">
      <formula>AND(E1401="EUC",E1402&gt;48,E1406="Y")</formula>
    </cfRule>
    <cfRule type="expression" dxfId="792" priority="883">
      <formula>AND(E1401="RPX",E1402&gt;48,E1406="Y")</formula>
    </cfRule>
    <cfRule type="expression" dxfId="791" priority="884">
      <formula>AND(E1401="SS",E1402&gt;48,E1406="Y")</formula>
    </cfRule>
  </conditionalFormatting>
  <conditionalFormatting sqref="I1405">
    <cfRule type="expression" dxfId="790" priority="879">
      <formula>I1405=0</formula>
    </cfRule>
    <cfRule type="expression" dxfId="789" priority="880">
      <formula>MOD(I1405,2)=0</formula>
    </cfRule>
  </conditionalFormatting>
  <conditionalFormatting sqref="E1429:E1434">
    <cfRule type="expression" dxfId="788" priority="878">
      <formula>AND(OR(C1429="NO",C1429="REV T",C1429="DBL REV",C1429="TPL REV",C1429="QD REV"),E1429&gt;12)</formula>
    </cfRule>
  </conditionalFormatting>
  <conditionalFormatting sqref="C1429:C1435">
    <cfRule type="expression" dxfId="787" priority="877">
      <formula>AND(OR(C1430="FST",C1430="REV T",C1430="DBL REV",C1430="TPL REV",C1430="QD REV"),C1429="Field SPL")</formula>
    </cfRule>
  </conditionalFormatting>
  <conditionalFormatting sqref="I1400">
    <cfRule type="expression" dxfId="786" priority="876">
      <formula>AND(E1401="EUC",E1402=432,I1400&gt;204)</formula>
    </cfRule>
  </conditionalFormatting>
  <conditionalFormatting sqref="E1402">
    <cfRule type="expression" dxfId="785" priority="872">
      <formula>(AND(E1401="EUC",E1402=432))</formula>
    </cfRule>
    <cfRule type="expression" dxfId="784" priority="873">
      <formula>AND(E1401="SS",E1402&gt;216)</formula>
    </cfRule>
    <cfRule type="expression" dxfId="783" priority="874">
      <formula>(AND(E1401="EUC",E1402&gt;216))</formula>
    </cfRule>
    <cfRule type="expression" dxfId="782" priority="875">
      <formula>AND(E1401="RPX",E1402&gt;216)</formula>
    </cfRule>
  </conditionalFormatting>
  <conditionalFormatting sqref="E1411:E1428">
    <cfRule type="expression" dxfId="781" priority="871">
      <formula>AND(OR(C1411="NO",C1411="REV T",C1411="DBL REV",C1411="TPL REV",C1411="QD REV"),E1411&gt;12)</formula>
    </cfRule>
  </conditionalFormatting>
  <conditionalFormatting sqref="C1411:C1428">
    <cfRule type="expression" dxfId="780" priority="870">
      <formula>AND(OR(C1412="FST",C1412="REV T",C1412="DBL REV",C1412="TPL REV",C1412="QD REV"),C1411="Field SPL")</formula>
    </cfRule>
  </conditionalFormatting>
  <conditionalFormatting sqref="L1443">
    <cfRule type="cellIs" dxfId="779" priority="866" operator="lessThan">
      <formula>$L$7</formula>
    </cfRule>
  </conditionalFormatting>
  <conditionalFormatting sqref="I1442">
    <cfRule type="cellIs" dxfId="778" priority="865" operator="lessThan">
      <formula>0</formula>
    </cfRule>
  </conditionalFormatting>
  <conditionalFormatting sqref="H1452:I1476">
    <cfRule type="cellIs" dxfId="777" priority="864" operator="lessThan">
      <formula>0</formula>
    </cfRule>
  </conditionalFormatting>
  <conditionalFormatting sqref="E1476">
    <cfRule type="expression" dxfId="776" priority="863">
      <formula>AND(OR(C1476="NO",C1476="REV T",C1476="DBL REV",C1476="TPL REV",C1476="QD REV"),E1476&gt;12)</formula>
    </cfRule>
  </conditionalFormatting>
  <conditionalFormatting sqref="B1464:B1476">
    <cfRule type="expression" dxfId="775" priority="861">
      <formula>Z1464="error"</formula>
    </cfRule>
  </conditionalFormatting>
  <conditionalFormatting sqref="B1464:B1476">
    <cfRule type="expression" dxfId="774" priority="860">
      <formula>AA1466="error"</formula>
    </cfRule>
  </conditionalFormatting>
  <conditionalFormatting sqref="E1476">
    <cfRule type="expression" dxfId="773" priority="859">
      <formula>AND(OR(C1476="NO",C1476="REV T",C1476="DBL REV",C1476="TPL REV",C1476="QD REV"),E1476&gt;12)</formula>
    </cfRule>
  </conditionalFormatting>
  <conditionalFormatting sqref="E1447">
    <cfRule type="expression" dxfId="772" priority="856">
      <formula>AND(E1442="EUC",E1443&gt;48,E1447="Y")</formula>
    </cfRule>
    <cfRule type="expression" dxfId="771" priority="857">
      <formula>AND(E1442="RPX",E1443&gt;48,E1447="Y")</formula>
    </cfRule>
    <cfRule type="expression" dxfId="770" priority="858">
      <formula>AND(E1442="SS",E1443&gt;48,E1447="Y")</formula>
    </cfRule>
  </conditionalFormatting>
  <conditionalFormatting sqref="I1446">
    <cfRule type="expression" dxfId="769" priority="853">
      <formula>I1446=0</formula>
    </cfRule>
    <cfRule type="expression" dxfId="768" priority="854">
      <formula>MOD(I1446,2)=0</formula>
    </cfRule>
  </conditionalFormatting>
  <conditionalFormatting sqref="E1470:E1475">
    <cfRule type="expression" dxfId="767" priority="852">
      <formula>AND(OR(C1470="NO",C1470="REV T",C1470="DBL REV",C1470="TPL REV",C1470="QD REV"),E1470&gt;12)</formula>
    </cfRule>
  </conditionalFormatting>
  <conditionalFormatting sqref="C1470:C1476">
    <cfRule type="expression" dxfId="766" priority="851">
      <formula>AND(OR(C1471="FST",C1471="REV T",C1471="DBL REV",C1471="TPL REV",C1471="QD REV"),C1470="Field SPL")</formula>
    </cfRule>
  </conditionalFormatting>
  <conditionalFormatting sqref="I1441">
    <cfRule type="expression" dxfId="765" priority="850">
      <formula>AND(E1442="EUC",E1443=432,I1441&gt;204)</formula>
    </cfRule>
  </conditionalFormatting>
  <conditionalFormatting sqref="E1443">
    <cfRule type="expression" dxfId="764" priority="846">
      <formula>(AND(E1442="EUC",E1443=432))</formula>
    </cfRule>
    <cfRule type="expression" dxfId="763" priority="847">
      <formula>AND(E1442="SS",E1443&gt;216)</formula>
    </cfRule>
    <cfRule type="expression" dxfId="762" priority="848">
      <formula>(AND(E1442="EUC",E1443&gt;216))</formula>
    </cfRule>
    <cfRule type="expression" dxfId="761" priority="849">
      <formula>AND(E1442="RPX",E1443&gt;216)</formula>
    </cfRule>
  </conditionalFormatting>
  <conditionalFormatting sqref="E1452:E1469">
    <cfRule type="expression" dxfId="760" priority="845">
      <formula>AND(OR(C1452="NO",C1452="REV T",C1452="DBL REV",C1452="TPL REV",C1452="QD REV"),E1452&gt;12)</formula>
    </cfRule>
  </conditionalFormatting>
  <conditionalFormatting sqref="C1452:C1469">
    <cfRule type="expression" dxfId="759" priority="844">
      <formula>AND(OR(C1453="FST",C1453="REV T",C1453="DBL REV",C1453="TPL REV",C1453="QD REV"),C1452="Field SPL")</formula>
    </cfRule>
  </conditionalFormatting>
  <conditionalFormatting sqref="L1484">
    <cfRule type="cellIs" dxfId="758" priority="840" operator="lessThan">
      <formula>$L$7</formula>
    </cfRule>
  </conditionalFormatting>
  <conditionalFormatting sqref="I1483">
    <cfRule type="cellIs" dxfId="757" priority="839" operator="lessThan">
      <formula>0</formula>
    </cfRule>
  </conditionalFormatting>
  <conditionalFormatting sqref="H1493:I1517">
    <cfRule type="cellIs" dxfId="756" priority="838" operator="lessThan">
      <formula>0</formula>
    </cfRule>
  </conditionalFormatting>
  <conditionalFormatting sqref="E1517">
    <cfRule type="expression" dxfId="755" priority="837">
      <formula>AND(OR(C1517="NO",C1517="REV T",C1517="DBL REV",C1517="TPL REV",C1517="QD REV"),E1517&gt;12)</formula>
    </cfRule>
  </conditionalFormatting>
  <conditionalFormatting sqref="B1505:B1517">
    <cfRule type="expression" dxfId="754" priority="835">
      <formula>Z1505="error"</formula>
    </cfRule>
  </conditionalFormatting>
  <conditionalFormatting sqref="B1505:B1517">
    <cfRule type="expression" dxfId="753" priority="834">
      <formula>AA1507="error"</formula>
    </cfRule>
  </conditionalFormatting>
  <conditionalFormatting sqref="E1517">
    <cfRule type="expression" dxfId="752" priority="833">
      <formula>AND(OR(C1517="NO",C1517="REV T",C1517="DBL REV",C1517="TPL REV",C1517="QD REV"),E1517&gt;12)</formula>
    </cfRule>
  </conditionalFormatting>
  <conditionalFormatting sqref="E1488">
    <cfRule type="expression" dxfId="751" priority="830">
      <formula>AND(E1483="EUC",E1484&gt;48,E1488="Y")</formula>
    </cfRule>
    <cfRule type="expression" dxfId="750" priority="831">
      <formula>AND(E1483="RPX",E1484&gt;48,E1488="Y")</formula>
    </cfRule>
    <cfRule type="expression" dxfId="749" priority="832">
      <formula>AND(E1483="SS",E1484&gt;48,E1488="Y")</formula>
    </cfRule>
  </conditionalFormatting>
  <conditionalFormatting sqref="I1487">
    <cfRule type="expression" dxfId="748" priority="827">
      <formula>I1487=0</formula>
    </cfRule>
    <cfRule type="expression" dxfId="747" priority="828">
      <formula>MOD(I1487,2)=0</formula>
    </cfRule>
  </conditionalFormatting>
  <conditionalFormatting sqref="E1511:E1516">
    <cfRule type="expression" dxfId="746" priority="826">
      <formula>AND(OR(C1511="NO",C1511="REV T",C1511="DBL REV",C1511="TPL REV",C1511="QD REV"),E1511&gt;12)</formula>
    </cfRule>
  </conditionalFormatting>
  <conditionalFormatting sqref="C1511:C1517">
    <cfRule type="expression" dxfId="745" priority="825">
      <formula>AND(OR(C1512="FST",C1512="REV T",C1512="DBL REV",C1512="TPL REV",C1512="QD REV"),C1511="Field SPL")</formula>
    </cfRule>
  </conditionalFormatting>
  <conditionalFormatting sqref="I1482">
    <cfRule type="expression" dxfId="744" priority="824">
      <formula>AND(E1483="EUC",E1484=432,I1482&gt;204)</formula>
    </cfRule>
  </conditionalFormatting>
  <conditionalFormatting sqref="E1484">
    <cfRule type="expression" dxfId="743" priority="820">
      <formula>(AND(E1483="EUC",E1484=432))</formula>
    </cfRule>
    <cfRule type="expression" dxfId="742" priority="821">
      <formula>AND(E1483="SS",E1484&gt;216)</formula>
    </cfRule>
    <cfRule type="expression" dxfId="741" priority="822">
      <formula>(AND(E1483="EUC",E1484&gt;216))</formula>
    </cfRule>
    <cfRule type="expression" dxfId="740" priority="823">
      <formula>AND(E1483="RPX",E1484&gt;216)</formula>
    </cfRule>
  </conditionalFormatting>
  <conditionalFormatting sqref="E1493:E1510">
    <cfRule type="expression" dxfId="739" priority="819">
      <formula>AND(OR(C1493="NO",C1493="REV T",C1493="DBL REV",C1493="TPL REV",C1493="QD REV"),E1493&gt;12)</formula>
    </cfRule>
  </conditionalFormatting>
  <conditionalFormatting sqref="C1493:C1510">
    <cfRule type="expression" dxfId="738" priority="818">
      <formula>AND(OR(C1494="FST",C1494="REV T",C1494="DBL REV",C1494="TPL REV",C1494="QD REV"),C1493="Field SPL")</formula>
    </cfRule>
  </conditionalFormatting>
  <conditionalFormatting sqref="L1525">
    <cfRule type="cellIs" dxfId="737" priority="814" operator="lessThan">
      <formula>$L$7</formula>
    </cfRule>
  </conditionalFormatting>
  <conditionalFormatting sqref="I1524">
    <cfRule type="cellIs" dxfId="736" priority="813" operator="lessThan">
      <formula>0</formula>
    </cfRule>
  </conditionalFormatting>
  <conditionalFormatting sqref="H1534:I1558">
    <cfRule type="cellIs" dxfId="735" priority="812" operator="lessThan">
      <formula>0</formula>
    </cfRule>
  </conditionalFormatting>
  <conditionalFormatting sqref="E1558">
    <cfRule type="expression" dxfId="734" priority="811">
      <formula>AND(OR(C1558="NO",C1558="REV T",C1558="DBL REV",C1558="TPL REV",C1558="QD REV"),E1558&gt;12)</formula>
    </cfRule>
  </conditionalFormatting>
  <conditionalFormatting sqref="B1546:B1558">
    <cfRule type="expression" dxfId="733" priority="809">
      <formula>Z1546="error"</formula>
    </cfRule>
  </conditionalFormatting>
  <conditionalFormatting sqref="B1546:B1558">
    <cfRule type="expression" dxfId="732" priority="808">
      <formula>AA1548="error"</formula>
    </cfRule>
  </conditionalFormatting>
  <conditionalFormatting sqref="E1558">
    <cfRule type="expression" dxfId="731" priority="807">
      <formula>AND(OR(C1558="NO",C1558="REV T",C1558="DBL REV",C1558="TPL REV",C1558="QD REV"),E1558&gt;12)</formula>
    </cfRule>
  </conditionalFormatting>
  <conditionalFormatting sqref="E1529">
    <cfRule type="expression" dxfId="730" priority="804">
      <formula>AND(E1524="EUC",E1525&gt;48,E1529="Y")</formula>
    </cfRule>
    <cfRule type="expression" dxfId="729" priority="805">
      <formula>AND(E1524="RPX",E1525&gt;48,E1529="Y")</formula>
    </cfRule>
    <cfRule type="expression" dxfId="728" priority="806">
      <formula>AND(E1524="SS",E1525&gt;48,E1529="Y")</formula>
    </cfRule>
  </conditionalFormatting>
  <conditionalFormatting sqref="I1528">
    <cfRule type="expression" dxfId="727" priority="801">
      <formula>I1528=0</formula>
    </cfRule>
    <cfRule type="expression" dxfId="726" priority="802">
      <formula>MOD(I1528,2)=0</formula>
    </cfRule>
  </conditionalFormatting>
  <conditionalFormatting sqref="E1552:E1557">
    <cfRule type="expression" dxfId="725" priority="800">
      <formula>AND(OR(C1552="NO",C1552="REV T",C1552="DBL REV",C1552="TPL REV",C1552="QD REV"),E1552&gt;12)</formula>
    </cfRule>
  </conditionalFormatting>
  <conditionalFormatting sqref="C1552:C1558">
    <cfRule type="expression" dxfId="724" priority="799">
      <formula>AND(OR(C1553="FST",C1553="REV T",C1553="DBL REV",C1553="TPL REV",C1553="QD REV"),C1552="Field SPL")</formula>
    </cfRule>
  </conditionalFormatting>
  <conditionalFormatting sqref="I1523">
    <cfRule type="expression" dxfId="723" priority="798">
      <formula>AND(E1524="EUC",E1525=432,I1523&gt;204)</formula>
    </cfRule>
  </conditionalFormatting>
  <conditionalFormatting sqref="E1525">
    <cfRule type="expression" dxfId="722" priority="794">
      <formula>(AND(E1524="EUC",E1525=432))</formula>
    </cfRule>
    <cfRule type="expression" dxfId="721" priority="795">
      <formula>AND(E1524="SS",E1525&gt;216)</formula>
    </cfRule>
    <cfRule type="expression" dxfId="720" priority="796">
      <formula>(AND(E1524="EUC",E1525&gt;216))</formula>
    </cfRule>
    <cfRule type="expression" dxfId="719" priority="797">
      <formula>AND(E1524="RPX",E1525&gt;216)</formula>
    </cfRule>
  </conditionalFormatting>
  <conditionalFormatting sqref="E1534:E1551">
    <cfRule type="expression" dxfId="718" priority="793">
      <formula>AND(OR(C1534="NO",C1534="REV T",C1534="DBL REV",C1534="TPL REV",C1534="QD REV"),E1534&gt;12)</formula>
    </cfRule>
  </conditionalFormatting>
  <conditionalFormatting sqref="C1534:C1551">
    <cfRule type="expression" dxfId="717" priority="792">
      <formula>AND(OR(C1535="FST",C1535="REV T",C1535="DBL REV",C1535="TPL REV",C1535="QD REV"),C1534="Field SPL")</formula>
    </cfRule>
  </conditionalFormatting>
  <conditionalFormatting sqref="L1566">
    <cfRule type="cellIs" dxfId="716" priority="788" operator="lessThan">
      <formula>$L$7</formula>
    </cfRule>
  </conditionalFormatting>
  <conditionalFormatting sqref="I1565">
    <cfRule type="cellIs" dxfId="715" priority="787" operator="lessThan">
      <formula>0</formula>
    </cfRule>
  </conditionalFormatting>
  <conditionalFormatting sqref="H1575:I1599">
    <cfRule type="cellIs" dxfId="714" priority="786" operator="lessThan">
      <formula>0</formula>
    </cfRule>
  </conditionalFormatting>
  <conditionalFormatting sqref="E1599">
    <cfRule type="expression" dxfId="713" priority="785">
      <formula>AND(OR(C1599="NO",C1599="REV T",C1599="DBL REV",C1599="TPL REV",C1599="QD REV"),E1599&gt;12)</formula>
    </cfRule>
  </conditionalFormatting>
  <conditionalFormatting sqref="B1587:B1599">
    <cfRule type="expression" dxfId="712" priority="783">
      <formula>Z1587="error"</formula>
    </cfRule>
  </conditionalFormatting>
  <conditionalFormatting sqref="B1587:B1599">
    <cfRule type="expression" dxfId="711" priority="782">
      <formula>AA1589="error"</formula>
    </cfRule>
  </conditionalFormatting>
  <conditionalFormatting sqref="E1599">
    <cfRule type="expression" dxfId="710" priority="781">
      <formula>AND(OR(C1599="NO",C1599="REV T",C1599="DBL REV",C1599="TPL REV",C1599="QD REV"),E1599&gt;12)</formula>
    </cfRule>
  </conditionalFormatting>
  <conditionalFormatting sqref="E1570">
    <cfRule type="expression" dxfId="709" priority="778">
      <formula>AND(E1565="EUC",E1566&gt;48,E1570="Y")</formula>
    </cfRule>
    <cfRule type="expression" dxfId="708" priority="779">
      <formula>AND(E1565="RPX",E1566&gt;48,E1570="Y")</formula>
    </cfRule>
    <cfRule type="expression" dxfId="707" priority="780">
      <formula>AND(E1565="SS",E1566&gt;48,E1570="Y")</formula>
    </cfRule>
  </conditionalFormatting>
  <conditionalFormatting sqref="I1569">
    <cfRule type="expression" dxfId="706" priority="775">
      <formula>I1569=0</formula>
    </cfRule>
    <cfRule type="expression" dxfId="705" priority="776">
      <formula>MOD(I1569,2)=0</formula>
    </cfRule>
  </conditionalFormatting>
  <conditionalFormatting sqref="E1593:E1598">
    <cfRule type="expression" dxfId="704" priority="774">
      <formula>AND(OR(C1593="NO",C1593="REV T",C1593="DBL REV",C1593="TPL REV",C1593="QD REV"),E1593&gt;12)</formula>
    </cfRule>
  </conditionalFormatting>
  <conditionalFormatting sqref="C1593:C1599">
    <cfRule type="expression" dxfId="703" priority="773">
      <formula>AND(OR(C1594="FST",C1594="REV T",C1594="DBL REV",C1594="TPL REV",C1594="QD REV"),C1593="Field SPL")</formula>
    </cfRule>
  </conditionalFormatting>
  <conditionalFormatting sqref="I1564">
    <cfRule type="expression" dxfId="702" priority="772">
      <formula>AND(E1565="EUC",E1566=432,I1564&gt;204)</formula>
    </cfRule>
  </conditionalFormatting>
  <conditionalFormatting sqref="E1566">
    <cfRule type="expression" dxfId="701" priority="768">
      <formula>(AND(E1565="EUC",E1566=432))</formula>
    </cfRule>
    <cfRule type="expression" dxfId="700" priority="769">
      <formula>AND(E1565="SS",E1566&gt;216)</formula>
    </cfRule>
    <cfRule type="expression" dxfId="699" priority="770">
      <formula>(AND(E1565="EUC",E1566&gt;216))</formula>
    </cfRule>
    <cfRule type="expression" dxfId="698" priority="771">
      <formula>AND(E1565="RPX",E1566&gt;216)</formula>
    </cfRule>
  </conditionalFormatting>
  <conditionalFormatting sqref="E1575:E1592">
    <cfRule type="expression" dxfId="697" priority="767">
      <formula>AND(OR(C1575="NO",C1575="REV T",C1575="DBL REV",C1575="TPL REV",C1575="QD REV"),E1575&gt;12)</formula>
    </cfRule>
  </conditionalFormatting>
  <conditionalFormatting sqref="C1575:C1592">
    <cfRule type="expression" dxfId="696" priority="766">
      <formula>AND(OR(C1576="FST",C1576="REV T",C1576="DBL REV",C1576="TPL REV",C1576="QD REV"),C1575="Field SPL")</formula>
    </cfRule>
  </conditionalFormatting>
  <conditionalFormatting sqref="L1607">
    <cfRule type="cellIs" dxfId="695" priority="762" operator="lessThan">
      <formula>$L$7</formula>
    </cfRule>
  </conditionalFormatting>
  <conditionalFormatting sqref="I1606">
    <cfRule type="cellIs" dxfId="694" priority="761" operator="lessThan">
      <formula>0</formula>
    </cfRule>
  </conditionalFormatting>
  <conditionalFormatting sqref="H1616:I1640">
    <cfRule type="cellIs" dxfId="693" priority="760" operator="lessThan">
      <formula>0</formula>
    </cfRule>
  </conditionalFormatting>
  <conditionalFormatting sqref="E1640">
    <cfRule type="expression" dxfId="692" priority="759">
      <formula>AND(OR(C1640="NO",C1640="REV T",C1640="DBL REV",C1640="TPL REV",C1640="QD REV"),E1640&gt;12)</formula>
    </cfRule>
  </conditionalFormatting>
  <conditionalFormatting sqref="B1628:B1640">
    <cfRule type="expression" dxfId="691" priority="757">
      <formula>Z1628="error"</formula>
    </cfRule>
  </conditionalFormatting>
  <conditionalFormatting sqref="B1628:B1640">
    <cfRule type="expression" dxfId="690" priority="756">
      <formula>AA1630="error"</formula>
    </cfRule>
  </conditionalFormatting>
  <conditionalFormatting sqref="E1640">
    <cfRule type="expression" dxfId="689" priority="755">
      <formula>AND(OR(C1640="NO",C1640="REV T",C1640="DBL REV",C1640="TPL REV",C1640="QD REV"),E1640&gt;12)</formula>
    </cfRule>
  </conditionalFormatting>
  <conditionalFormatting sqref="E1611">
    <cfRule type="expression" dxfId="688" priority="752">
      <formula>AND(E1606="EUC",E1607&gt;48,E1611="Y")</formula>
    </cfRule>
    <cfRule type="expression" dxfId="687" priority="753">
      <formula>AND(E1606="RPX",E1607&gt;48,E1611="Y")</formula>
    </cfRule>
    <cfRule type="expression" dxfId="686" priority="754">
      <formula>AND(E1606="SS",E1607&gt;48,E1611="Y")</formula>
    </cfRule>
  </conditionalFormatting>
  <conditionalFormatting sqref="I1610">
    <cfRule type="expression" dxfId="685" priority="749">
      <formula>I1610=0</formula>
    </cfRule>
    <cfRule type="expression" dxfId="684" priority="750">
      <formula>MOD(I1610,2)=0</formula>
    </cfRule>
  </conditionalFormatting>
  <conditionalFormatting sqref="E1634:E1639">
    <cfRule type="expression" dxfId="683" priority="748">
      <formula>AND(OR(C1634="NO",C1634="REV T",C1634="DBL REV",C1634="TPL REV",C1634="QD REV"),E1634&gt;12)</formula>
    </cfRule>
  </conditionalFormatting>
  <conditionalFormatting sqref="C1634:C1640">
    <cfRule type="expression" dxfId="682" priority="747">
      <formula>AND(OR(C1635="FST",C1635="REV T",C1635="DBL REV",C1635="TPL REV",C1635="QD REV"),C1634="Field SPL")</formula>
    </cfRule>
  </conditionalFormatting>
  <conditionalFormatting sqref="I1605">
    <cfRule type="expression" dxfId="681" priority="746">
      <formula>AND(E1606="EUC",E1607=432,I1605&gt;204)</formula>
    </cfRule>
  </conditionalFormatting>
  <conditionalFormatting sqref="E1607">
    <cfRule type="expression" dxfId="680" priority="742">
      <formula>(AND(E1606="EUC",E1607=432))</formula>
    </cfRule>
    <cfRule type="expression" dxfId="679" priority="743">
      <formula>AND(E1606="SS",E1607&gt;216)</formula>
    </cfRule>
    <cfRule type="expression" dxfId="678" priority="744">
      <formula>(AND(E1606="EUC",E1607&gt;216))</formula>
    </cfRule>
    <cfRule type="expression" dxfId="677" priority="745">
      <formula>AND(E1606="RPX",E1607&gt;216)</formula>
    </cfRule>
  </conditionalFormatting>
  <conditionalFormatting sqref="E1616:E1633">
    <cfRule type="expression" dxfId="676" priority="741">
      <formula>AND(OR(C1616="NO",C1616="REV T",C1616="DBL REV",C1616="TPL REV",C1616="QD REV"),E1616&gt;12)</formula>
    </cfRule>
  </conditionalFormatting>
  <conditionalFormatting sqref="C1616:C1633">
    <cfRule type="expression" dxfId="675" priority="740">
      <formula>AND(OR(C1617="FST",C1617="REV T",C1617="DBL REV",C1617="TPL REV",C1617="QD REV"),C1616="Field SPL")</formula>
    </cfRule>
  </conditionalFormatting>
  <conditionalFormatting sqref="L1648">
    <cfRule type="cellIs" dxfId="674" priority="736" operator="lessThan">
      <formula>$L$7</formula>
    </cfRule>
  </conditionalFormatting>
  <conditionalFormatting sqref="I1647">
    <cfRule type="cellIs" dxfId="673" priority="735" operator="lessThan">
      <formula>0</formula>
    </cfRule>
  </conditionalFormatting>
  <conditionalFormatting sqref="H1657:I1681">
    <cfRule type="cellIs" dxfId="672" priority="734" operator="lessThan">
      <formula>0</formula>
    </cfRule>
  </conditionalFormatting>
  <conditionalFormatting sqref="E1681">
    <cfRule type="expression" dxfId="671" priority="733">
      <formula>AND(OR(C1681="NO",C1681="REV T",C1681="DBL REV",C1681="TPL REV",C1681="QD REV"),E1681&gt;12)</formula>
    </cfRule>
  </conditionalFormatting>
  <conditionalFormatting sqref="B1669:B1681">
    <cfRule type="expression" dxfId="670" priority="731">
      <formula>Z1669="error"</formula>
    </cfRule>
  </conditionalFormatting>
  <conditionalFormatting sqref="B1669:B1681">
    <cfRule type="expression" dxfId="669" priority="730">
      <formula>AA1671="error"</formula>
    </cfRule>
  </conditionalFormatting>
  <conditionalFormatting sqref="E1681">
    <cfRule type="expression" dxfId="668" priority="729">
      <formula>AND(OR(C1681="NO",C1681="REV T",C1681="DBL REV",C1681="TPL REV",C1681="QD REV"),E1681&gt;12)</formula>
    </cfRule>
  </conditionalFormatting>
  <conditionalFormatting sqref="E1652">
    <cfRule type="expression" dxfId="667" priority="726">
      <formula>AND(E1647="EUC",E1648&gt;48,E1652="Y")</formula>
    </cfRule>
    <cfRule type="expression" dxfId="666" priority="727">
      <formula>AND(E1647="RPX",E1648&gt;48,E1652="Y")</formula>
    </cfRule>
    <cfRule type="expression" dxfId="665" priority="728">
      <formula>AND(E1647="SS",E1648&gt;48,E1652="Y")</formula>
    </cfRule>
  </conditionalFormatting>
  <conditionalFormatting sqref="I1651">
    <cfRule type="expression" dxfId="664" priority="723">
      <formula>I1651=0</formula>
    </cfRule>
    <cfRule type="expression" dxfId="663" priority="724">
      <formula>MOD(I1651,2)=0</formula>
    </cfRule>
  </conditionalFormatting>
  <conditionalFormatting sqref="E1675:E1680">
    <cfRule type="expression" dxfId="662" priority="722">
      <formula>AND(OR(C1675="NO",C1675="REV T",C1675="DBL REV",C1675="TPL REV",C1675="QD REV"),E1675&gt;12)</formula>
    </cfRule>
  </conditionalFormatting>
  <conditionalFormatting sqref="C1675:C1681">
    <cfRule type="expression" dxfId="661" priority="721">
      <formula>AND(OR(C1676="FST",C1676="REV T",C1676="DBL REV",C1676="TPL REV",C1676="QD REV"),C1675="Field SPL")</formula>
    </cfRule>
  </conditionalFormatting>
  <conditionalFormatting sqref="I1646">
    <cfRule type="expression" dxfId="660" priority="720">
      <formula>AND(E1647="EUC",E1648=432,I1646&gt;204)</formula>
    </cfRule>
  </conditionalFormatting>
  <conditionalFormatting sqref="E1648">
    <cfRule type="expression" dxfId="659" priority="716">
      <formula>(AND(E1647="EUC",E1648=432))</formula>
    </cfRule>
    <cfRule type="expression" dxfId="658" priority="717">
      <formula>AND(E1647="SS",E1648&gt;216)</formula>
    </cfRule>
    <cfRule type="expression" dxfId="657" priority="718">
      <formula>(AND(E1647="EUC",E1648&gt;216))</formula>
    </cfRule>
    <cfRule type="expression" dxfId="656" priority="719">
      <formula>AND(E1647="RPX",E1648&gt;216)</formula>
    </cfRule>
  </conditionalFormatting>
  <conditionalFormatting sqref="E1657:E1674">
    <cfRule type="expression" dxfId="655" priority="715">
      <formula>AND(OR(C1657="NO",C1657="REV T",C1657="DBL REV",C1657="TPL REV",C1657="QD REV"),E1657&gt;12)</formula>
    </cfRule>
  </conditionalFormatting>
  <conditionalFormatting sqref="C1657:C1674">
    <cfRule type="expression" dxfId="654" priority="714">
      <formula>AND(OR(C1658="FST",C1658="REV T",C1658="DBL REV",C1658="TPL REV",C1658="QD REV"),C1657="Field SPL")</formula>
    </cfRule>
  </conditionalFormatting>
  <conditionalFormatting sqref="L1689">
    <cfRule type="cellIs" dxfId="653" priority="710" operator="lessThan">
      <formula>$L$7</formula>
    </cfRule>
  </conditionalFormatting>
  <conditionalFormatting sqref="I1688">
    <cfRule type="cellIs" dxfId="652" priority="709" operator="lessThan">
      <formula>0</formula>
    </cfRule>
  </conditionalFormatting>
  <conditionalFormatting sqref="H1698:I1722">
    <cfRule type="cellIs" dxfId="651" priority="708" operator="lessThan">
      <formula>0</formula>
    </cfRule>
  </conditionalFormatting>
  <conditionalFormatting sqref="E1722">
    <cfRule type="expression" dxfId="650" priority="707">
      <formula>AND(OR(C1722="NO",C1722="REV T",C1722="DBL REV",C1722="TPL REV",C1722="QD REV"),E1722&gt;12)</formula>
    </cfRule>
  </conditionalFormatting>
  <conditionalFormatting sqref="B1710:B1722">
    <cfRule type="expression" dxfId="649" priority="705">
      <formula>Z1710="error"</formula>
    </cfRule>
  </conditionalFormatting>
  <conditionalFormatting sqref="B1710:B1722">
    <cfRule type="expression" dxfId="648" priority="704">
      <formula>AA1712="error"</formula>
    </cfRule>
  </conditionalFormatting>
  <conditionalFormatting sqref="E1722">
    <cfRule type="expression" dxfId="647" priority="703">
      <formula>AND(OR(C1722="NO",C1722="REV T",C1722="DBL REV",C1722="TPL REV",C1722="QD REV"),E1722&gt;12)</formula>
    </cfRule>
  </conditionalFormatting>
  <conditionalFormatting sqref="E1693">
    <cfRule type="expression" dxfId="646" priority="700">
      <formula>AND(E1688="EUC",E1689&gt;48,E1693="Y")</formula>
    </cfRule>
    <cfRule type="expression" dxfId="645" priority="701">
      <formula>AND(E1688="RPX",E1689&gt;48,E1693="Y")</formula>
    </cfRule>
    <cfRule type="expression" dxfId="644" priority="702">
      <formula>AND(E1688="SS",E1689&gt;48,E1693="Y")</formula>
    </cfRule>
  </conditionalFormatting>
  <conditionalFormatting sqref="I1692">
    <cfRule type="expression" dxfId="643" priority="697">
      <formula>I1692=0</formula>
    </cfRule>
    <cfRule type="expression" dxfId="642" priority="698">
      <formula>MOD(I1692,2)=0</formula>
    </cfRule>
  </conditionalFormatting>
  <conditionalFormatting sqref="E1716:E1721">
    <cfRule type="expression" dxfId="641" priority="696">
      <formula>AND(OR(C1716="NO",C1716="REV T",C1716="DBL REV",C1716="TPL REV",C1716="QD REV"),E1716&gt;12)</formula>
    </cfRule>
  </conditionalFormatting>
  <conditionalFormatting sqref="C1716:C1722">
    <cfRule type="expression" dxfId="640" priority="695">
      <formula>AND(OR(C1717="FST",C1717="REV T",C1717="DBL REV",C1717="TPL REV",C1717="QD REV"),C1716="Field SPL")</formula>
    </cfRule>
  </conditionalFormatting>
  <conditionalFormatting sqref="I1687">
    <cfRule type="expression" dxfId="639" priority="694">
      <formula>AND(E1688="EUC",E1689=432,I1687&gt;204)</formula>
    </cfRule>
  </conditionalFormatting>
  <conditionalFormatting sqref="E1689">
    <cfRule type="expression" dxfId="638" priority="690">
      <formula>(AND(E1688="EUC",E1689=432))</formula>
    </cfRule>
    <cfRule type="expression" dxfId="637" priority="691">
      <formula>AND(E1688="SS",E1689&gt;216)</formula>
    </cfRule>
    <cfRule type="expression" dxfId="636" priority="692">
      <formula>(AND(E1688="EUC",E1689&gt;216))</formula>
    </cfRule>
    <cfRule type="expression" dxfId="635" priority="693">
      <formula>AND(E1688="RPX",E1689&gt;216)</formula>
    </cfRule>
  </conditionalFormatting>
  <conditionalFormatting sqref="E1698:E1715">
    <cfRule type="expression" dxfId="634" priority="689">
      <formula>AND(OR(C1698="NO",C1698="REV T",C1698="DBL REV",C1698="TPL REV",C1698="QD REV"),E1698&gt;12)</formula>
    </cfRule>
  </conditionalFormatting>
  <conditionalFormatting sqref="C1698:C1715">
    <cfRule type="expression" dxfId="633" priority="688">
      <formula>AND(OR(C1699="FST",C1699="REV T",C1699="DBL REV",C1699="TPL REV",C1699="QD REV"),C1698="Field SPL")</formula>
    </cfRule>
  </conditionalFormatting>
  <conditionalFormatting sqref="L1730">
    <cfRule type="cellIs" dxfId="632" priority="684" operator="lessThan">
      <formula>$L$7</formula>
    </cfRule>
  </conditionalFormatting>
  <conditionalFormatting sqref="I1729">
    <cfRule type="cellIs" dxfId="631" priority="683" operator="lessThan">
      <formula>0</formula>
    </cfRule>
  </conditionalFormatting>
  <conditionalFormatting sqref="H1739:I1763">
    <cfRule type="cellIs" dxfId="630" priority="682" operator="lessThan">
      <formula>0</formula>
    </cfRule>
  </conditionalFormatting>
  <conditionalFormatting sqref="E1763">
    <cfRule type="expression" dxfId="629" priority="681">
      <formula>AND(OR(C1763="NO",C1763="REV T",C1763="DBL REV",C1763="TPL REV",C1763="QD REV"),E1763&gt;12)</formula>
    </cfRule>
  </conditionalFormatting>
  <conditionalFormatting sqref="B1751:B1763">
    <cfRule type="expression" dxfId="628" priority="679">
      <formula>Z1751="error"</formula>
    </cfRule>
  </conditionalFormatting>
  <conditionalFormatting sqref="B1751:B1763">
    <cfRule type="expression" dxfId="627" priority="678">
      <formula>AA1753="error"</formula>
    </cfRule>
  </conditionalFormatting>
  <conditionalFormatting sqref="E1763">
    <cfRule type="expression" dxfId="626" priority="677">
      <formula>AND(OR(C1763="NO",C1763="REV T",C1763="DBL REV",C1763="TPL REV",C1763="QD REV"),E1763&gt;12)</formula>
    </cfRule>
  </conditionalFormatting>
  <conditionalFormatting sqref="E1734">
    <cfRule type="expression" dxfId="625" priority="674">
      <formula>AND(E1729="EUC",E1730&gt;48,E1734="Y")</formula>
    </cfRule>
    <cfRule type="expression" dxfId="624" priority="675">
      <formula>AND(E1729="RPX",E1730&gt;48,E1734="Y")</formula>
    </cfRule>
    <cfRule type="expression" dxfId="623" priority="676">
      <formula>AND(E1729="SS",E1730&gt;48,E1734="Y")</formula>
    </cfRule>
  </conditionalFormatting>
  <conditionalFormatting sqref="I1733">
    <cfRule type="expression" dxfId="622" priority="671">
      <formula>I1733=0</formula>
    </cfRule>
    <cfRule type="expression" dxfId="621" priority="672">
      <formula>MOD(I1733,2)=0</formula>
    </cfRule>
  </conditionalFormatting>
  <conditionalFormatting sqref="E1757:E1762">
    <cfRule type="expression" dxfId="620" priority="670">
      <formula>AND(OR(C1757="NO",C1757="REV T",C1757="DBL REV",C1757="TPL REV",C1757="QD REV"),E1757&gt;12)</formula>
    </cfRule>
  </conditionalFormatting>
  <conditionalFormatting sqref="C1757:C1763">
    <cfRule type="expression" dxfId="619" priority="669">
      <formula>AND(OR(C1758="FST",C1758="REV T",C1758="DBL REV",C1758="TPL REV",C1758="QD REV"),C1757="Field SPL")</formula>
    </cfRule>
  </conditionalFormatting>
  <conditionalFormatting sqref="I1728">
    <cfRule type="expression" dxfId="618" priority="668">
      <formula>AND(E1729="EUC",E1730=432,I1728&gt;204)</formula>
    </cfRule>
  </conditionalFormatting>
  <conditionalFormatting sqref="E1730">
    <cfRule type="expression" dxfId="617" priority="664">
      <formula>(AND(E1729="EUC",E1730=432))</formula>
    </cfRule>
    <cfRule type="expression" dxfId="616" priority="665">
      <formula>AND(E1729="SS",E1730&gt;216)</formula>
    </cfRule>
    <cfRule type="expression" dxfId="615" priority="666">
      <formula>(AND(E1729="EUC",E1730&gt;216))</formula>
    </cfRule>
    <cfRule type="expression" dxfId="614" priority="667">
      <formula>AND(E1729="RPX",E1730&gt;216)</formula>
    </cfRule>
  </conditionalFormatting>
  <conditionalFormatting sqref="E1739:E1756">
    <cfRule type="expression" dxfId="613" priority="663">
      <formula>AND(OR(C1739="NO",C1739="REV T",C1739="DBL REV",C1739="TPL REV",C1739="QD REV"),E1739&gt;12)</formula>
    </cfRule>
  </conditionalFormatting>
  <conditionalFormatting sqref="C1739:C1756">
    <cfRule type="expression" dxfId="612" priority="662">
      <formula>AND(OR(C1740="FST",C1740="REV T",C1740="DBL REV",C1740="TPL REV",C1740="QD REV"),C1739="Field SPL")</formula>
    </cfRule>
  </conditionalFormatting>
  <conditionalFormatting sqref="L1771">
    <cfRule type="cellIs" dxfId="611" priority="658" operator="lessThan">
      <formula>$L$7</formula>
    </cfRule>
  </conditionalFormatting>
  <conditionalFormatting sqref="I1770">
    <cfRule type="cellIs" dxfId="610" priority="657" operator="lessThan">
      <formula>0</formula>
    </cfRule>
  </conditionalFormatting>
  <conditionalFormatting sqref="H1780:I1804">
    <cfRule type="cellIs" dxfId="609" priority="656" operator="lessThan">
      <formula>0</formula>
    </cfRule>
  </conditionalFormatting>
  <conditionalFormatting sqref="E1804">
    <cfRule type="expression" dxfId="608" priority="655">
      <formula>AND(OR(C1804="NO",C1804="REV T",C1804="DBL REV",C1804="TPL REV",C1804="QD REV"),E1804&gt;12)</formula>
    </cfRule>
  </conditionalFormatting>
  <conditionalFormatting sqref="B1792:B1804">
    <cfRule type="expression" dxfId="607" priority="653">
      <formula>Z1792="error"</formula>
    </cfRule>
  </conditionalFormatting>
  <conditionalFormatting sqref="B1792:B1804">
    <cfRule type="expression" dxfId="606" priority="652">
      <formula>AA1794="error"</formula>
    </cfRule>
  </conditionalFormatting>
  <conditionalFormatting sqref="E1804">
    <cfRule type="expression" dxfId="605" priority="651">
      <formula>AND(OR(C1804="NO",C1804="REV T",C1804="DBL REV",C1804="TPL REV",C1804="QD REV"),E1804&gt;12)</formula>
    </cfRule>
  </conditionalFormatting>
  <conditionalFormatting sqref="E1775">
    <cfRule type="expression" dxfId="604" priority="648">
      <formula>AND(E1770="EUC",E1771&gt;48,E1775="Y")</formula>
    </cfRule>
    <cfRule type="expression" dxfId="603" priority="649">
      <formula>AND(E1770="RPX",E1771&gt;48,E1775="Y")</formula>
    </cfRule>
    <cfRule type="expression" dxfId="602" priority="650">
      <formula>AND(E1770="SS",E1771&gt;48,E1775="Y")</formula>
    </cfRule>
  </conditionalFormatting>
  <conditionalFormatting sqref="I1774">
    <cfRule type="expression" dxfId="601" priority="645">
      <formula>I1774=0</formula>
    </cfRule>
    <cfRule type="expression" dxfId="600" priority="646">
      <formula>MOD(I1774,2)=0</formula>
    </cfRule>
  </conditionalFormatting>
  <conditionalFormatting sqref="E1798:E1803">
    <cfRule type="expression" dxfId="599" priority="644">
      <formula>AND(OR(C1798="NO",C1798="REV T",C1798="DBL REV",C1798="TPL REV",C1798="QD REV"),E1798&gt;12)</formula>
    </cfRule>
  </conditionalFormatting>
  <conditionalFormatting sqref="C1798:C1804">
    <cfRule type="expression" dxfId="598" priority="643">
      <formula>AND(OR(C1799="FST",C1799="REV T",C1799="DBL REV",C1799="TPL REV",C1799="QD REV"),C1798="Field SPL")</formula>
    </cfRule>
  </conditionalFormatting>
  <conditionalFormatting sqref="I1769">
    <cfRule type="expression" dxfId="597" priority="642">
      <formula>AND(E1770="EUC",E1771=432,I1769&gt;204)</formula>
    </cfRule>
  </conditionalFormatting>
  <conditionalFormatting sqref="E1771">
    <cfRule type="expression" dxfId="596" priority="638">
      <formula>(AND(E1770="EUC",E1771=432))</formula>
    </cfRule>
    <cfRule type="expression" dxfId="595" priority="639">
      <formula>AND(E1770="SS",E1771&gt;216)</formula>
    </cfRule>
    <cfRule type="expression" dxfId="594" priority="640">
      <formula>(AND(E1770="EUC",E1771&gt;216))</formula>
    </cfRule>
    <cfRule type="expression" dxfId="593" priority="641">
      <formula>AND(E1770="RPX",E1771&gt;216)</formula>
    </cfRule>
  </conditionalFormatting>
  <conditionalFormatting sqref="E1780:E1797">
    <cfRule type="expression" dxfId="592" priority="637">
      <formula>AND(OR(C1780="NO",C1780="REV T",C1780="DBL REV",C1780="TPL REV",C1780="QD REV"),E1780&gt;12)</formula>
    </cfRule>
  </conditionalFormatting>
  <conditionalFormatting sqref="C1780:C1797">
    <cfRule type="expression" dxfId="591" priority="636">
      <formula>AND(OR(C1781="FST",C1781="REV T",C1781="DBL REV",C1781="TPL REV",C1781="QD REV"),C1780="Field SPL")</formula>
    </cfRule>
  </conditionalFormatting>
  <conditionalFormatting sqref="L1812">
    <cfRule type="cellIs" dxfId="590" priority="632" operator="lessThan">
      <formula>$L$7</formula>
    </cfRule>
  </conditionalFormatting>
  <conditionalFormatting sqref="I1811">
    <cfRule type="cellIs" dxfId="589" priority="631" operator="lessThan">
      <formula>0</formula>
    </cfRule>
  </conditionalFormatting>
  <conditionalFormatting sqref="H1821:I1845">
    <cfRule type="cellIs" dxfId="588" priority="630" operator="lessThan">
      <formula>0</formula>
    </cfRule>
  </conditionalFormatting>
  <conditionalFormatting sqref="E1845">
    <cfRule type="expression" dxfId="587" priority="629">
      <formula>AND(OR(C1845="NO",C1845="REV T",C1845="DBL REV",C1845="TPL REV",C1845="QD REV"),E1845&gt;12)</formula>
    </cfRule>
  </conditionalFormatting>
  <conditionalFormatting sqref="B1833:B1845">
    <cfRule type="expression" dxfId="586" priority="627">
      <formula>Z1833="error"</formula>
    </cfRule>
  </conditionalFormatting>
  <conditionalFormatting sqref="B1833:B1845">
    <cfRule type="expression" dxfId="585" priority="626">
      <formula>AA1835="error"</formula>
    </cfRule>
  </conditionalFormatting>
  <conditionalFormatting sqref="E1845">
    <cfRule type="expression" dxfId="584" priority="625">
      <formula>AND(OR(C1845="NO",C1845="REV T",C1845="DBL REV",C1845="TPL REV",C1845="QD REV"),E1845&gt;12)</formula>
    </cfRule>
  </conditionalFormatting>
  <conditionalFormatting sqref="E1816">
    <cfRule type="expression" dxfId="583" priority="622">
      <formula>AND(E1811="EUC",E1812&gt;48,E1816="Y")</formula>
    </cfRule>
    <cfRule type="expression" dxfId="582" priority="623">
      <formula>AND(E1811="RPX",E1812&gt;48,E1816="Y")</formula>
    </cfRule>
    <cfRule type="expression" dxfId="581" priority="624">
      <formula>AND(E1811="SS",E1812&gt;48,E1816="Y")</formula>
    </cfRule>
  </conditionalFormatting>
  <conditionalFormatting sqref="I1815">
    <cfRule type="expression" dxfId="580" priority="619">
      <formula>I1815=0</formula>
    </cfRule>
    <cfRule type="expression" dxfId="579" priority="620">
      <formula>MOD(I1815,2)=0</formula>
    </cfRule>
  </conditionalFormatting>
  <conditionalFormatting sqref="E1839:E1844">
    <cfRule type="expression" dxfId="578" priority="618">
      <formula>AND(OR(C1839="NO",C1839="REV T",C1839="DBL REV",C1839="TPL REV",C1839="QD REV"),E1839&gt;12)</formula>
    </cfRule>
  </conditionalFormatting>
  <conditionalFormatting sqref="C1839:C1845">
    <cfRule type="expression" dxfId="577" priority="617">
      <formula>AND(OR(C1840="FST",C1840="REV T",C1840="DBL REV",C1840="TPL REV",C1840="QD REV"),C1839="Field SPL")</formula>
    </cfRule>
  </conditionalFormatting>
  <conditionalFormatting sqref="I1810">
    <cfRule type="expression" dxfId="576" priority="616">
      <formula>AND(E1811="EUC",E1812=432,I1810&gt;204)</formula>
    </cfRule>
  </conditionalFormatting>
  <conditionalFormatting sqref="E1812">
    <cfRule type="expression" dxfId="575" priority="612">
      <formula>(AND(E1811="EUC",E1812=432))</formula>
    </cfRule>
    <cfRule type="expression" dxfId="574" priority="613">
      <formula>AND(E1811="SS",E1812&gt;216)</formula>
    </cfRule>
    <cfRule type="expression" dxfId="573" priority="614">
      <formula>(AND(E1811="EUC",E1812&gt;216))</formula>
    </cfRule>
    <cfRule type="expression" dxfId="572" priority="615">
      <formula>AND(E1811="RPX",E1812&gt;216)</formula>
    </cfRule>
  </conditionalFormatting>
  <conditionalFormatting sqref="E1821:E1838">
    <cfRule type="expression" dxfId="571" priority="611">
      <formula>AND(OR(C1821="NO",C1821="REV T",C1821="DBL REV",C1821="TPL REV",C1821="QD REV"),E1821&gt;12)</formula>
    </cfRule>
  </conditionalFormatting>
  <conditionalFormatting sqref="C1821:C1838">
    <cfRule type="expression" dxfId="570" priority="610">
      <formula>AND(OR(C1822="FST",C1822="REV T",C1822="DBL REV",C1822="TPL REV",C1822="QD REV"),C1821="Field SPL")</formula>
    </cfRule>
  </conditionalFormatting>
  <conditionalFormatting sqref="L1853">
    <cfRule type="cellIs" dxfId="569" priority="606" operator="lessThan">
      <formula>$L$7</formula>
    </cfRule>
  </conditionalFormatting>
  <conditionalFormatting sqref="I1852">
    <cfRule type="cellIs" dxfId="568" priority="605" operator="lessThan">
      <formula>0</formula>
    </cfRule>
  </conditionalFormatting>
  <conditionalFormatting sqref="H1862:I1886">
    <cfRule type="cellIs" dxfId="567" priority="604" operator="lessThan">
      <formula>0</formula>
    </cfRule>
  </conditionalFormatting>
  <conditionalFormatting sqref="E1886">
    <cfRule type="expression" dxfId="566" priority="603">
      <formula>AND(OR(C1886="NO",C1886="REV T",C1886="DBL REV",C1886="TPL REV",C1886="QD REV"),E1886&gt;12)</formula>
    </cfRule>
  </conditionalFormatting>
  <conditionalFormatting sqref="B1874:B1886">
    <cfRule type="expression" dxfId="565" priority="601">
      <formula>Z1874="error"</formula>
    </cfRule>
  </conditionalFormatting>
  <conditionalFormatting sqref="B1874:B1886">
    <cfRule type="expression" dxfId="564" priority="600">
      <formula>AA1876="error"</formula>
    </cfRule>
  </conditionalFormatting>
  <conditionalFormatting sqref="E1886">
    <cfRule type="expression" dxfId="563" priority="599">
      <formula>AND(OR(C1886="NO",C1886="REV T",C1886="DBL REV",C1886="TPL REV",C1886="QD REV"),E1886&gt;12)</formula>
    </cfRule>
  </conditionalFormatting>
  <conditionalFormatting sqref="E1857">
    <cfRule type="expression" dxfId="562" priority="596">
      <formula>AND(E1852="EUC",E1853&gt;48,E1857="Y")</formula>
    </cfRule>
    <cfRule type="expression" dxfId="561" priority="597">
      <formula>AND(E1852="RPX",E1853&gt;48,E1857="Y")</formula>
    </cfRule>
    <cfRule type="expression" dxfId="560" priority="598">
      <formula>AND(E1852="SS",E1853&gt;48,E1857="Y")</formula>
    </cfRule>
  </conditionalFormatting>
  <conditionalFormatting sqref="I1856">
    <cfRule type="expression" dxfId="559" priority="593">
      <formula>I1856=0</formula>
    </cfRule>
    <cfRule type="expression" dxfId="558" priority="594">
      <formula>MOD(I1856,2)=0</formula>
    </cfRule>
  </conditionalFormatting>
  <conditionalFormatting sqref="E1880:E1885">
    <cfRule type="expression" dxfId="557" priority="592">
      <formula>AND(OR(C1880="NO",C1880="REV T",C1880="DBL REV",C1880="TPL REV",C1880="QD REV"),E1880&gt;12)</formula>
    </cfRule>
  </conditionalFormatting>
  <conditionalFormatting sqref="C1880:C1886">
    <cfRule type="expression" dxfId="556" priority="591">
      <formula>AND(OR(C1881="FST",C1881="REV T",C1881="DBL REV",C1881="TPL REV",C1881="QD REV"),C1880="Field SPL")</formula>
    </cfRule>
  </conditionalFormatting>
  <conditionalFormatting sqref="I1851">
    <cfRule type="expression" dxfId="555" priority="590">
      <formula>AND(E1852="EUC",E1853=432,I1851&gt;204)</formula>
    </cfRule>
  </conditionalFormatting>
  <conditionalFormatting sqref="E1853">
    <cfRule type="expression" dxfId="554" priority="586">
      <formula>(AND(E1852="EUC",E1853=432))</formula>
    </cfRule>
    <cfRule type="expression" dxfId="553" priority="587">
      <formula>AND(E1852="SS",E1853&gt;216)</formula>
    </cfRule>
    <cfRule type="expression" dxfId="552" priority="588">
      <formula>(AND(E1852="EUC",E1853&gt;216))</formula>
    </cfRule>
    <cfRule type="expression" dxfId="551" priority="589">
      <formula>AND(E1852="RPX",E1853&gt;216)</formula>
    </cfRule>
  </conditionalFormatting>
  <conditionalFormatting sqref="E1862:E1879">
    <cfRule type="expression" dxfId="550" priority="585">
      <formula>AND(OR(C1862="NO",C1862="REV T",C1862="DBL REV",C1862="TPL REV",C1862="QD REV"),E1862&gt;12)</formula>
    </cfRule>
  </conditionalFormatting>
  <conditionalFormatting sqref="C1862:C1879">
    <cfRule type="expression" dxfId="549" priority="584">
      <formula>AND(OR(C1863="FST",C1863="REV T",C1863="DBL REV",C1863="TPL REV",C1863="QD REV"),C1862="Field SPL")</formula>
    </cfRule>
  </conditionalFormatting>
  <conditionalFormatting sqref="L1894">
    <cfRule type="cellIs" dxfId="548" priority="580" operator="lessThan">
      <formula>$L$7</formula>
    </cfRule>
  </conditionalFormatting>
  <conditionalFormatting sqref="I1893">
    <cfRule type="cellIs" dxfId="547" priority="579" operator="lessThan">
      <formula>0</formula>
    </cfRule>
  </conditionalFormatting>
  <conditionalFormatting sqref="H1903:I1927">
    <cfRule type="cellIs" dxfId="546" priority="578" operator="lessThan">
      <formula>0</formula>
    </cfRule>
  </conditionalFormatting>
  <conditionalFormatting sqref="E1927">
    <cfRule type="expression" dxfId="545" priority="577">
      <formula>AND(OR(C1927="NO",C1927="REV T",C1927="DBL REV",C1927="TPL REV",C1927="QD REV"),E1927&gt;12)</formula>
    </cfRule>
  </conditionalFormatting>
  <conditionalFormatting sqref="B1915:B1927">
    <cfRule type="expression" dxfId="544" priority="575">
      <formula>Z1915="error"</formula>
    </cfRule>
  </conditionalFormatting>
  <conditionalFormatting sqref="B1915:B1927">
    <cfRule type="expression" dxfId="543" priority="574">
      <formula>AA1917="error"</formula>
    </cfRule>
  </conditionalFormatting>
  <conditionalFormatting sqref="E1927">
    <cfRule type="expression" dxfId="542" priority="573">
      <formula>AND(OR(C1927="NO",C1927="REV T",C1927="DBL REV",C1927="TPL REV",C1927="QD REV"),E1927&gt;12)</formula>
    </cfRule>
  </conditionalFormatting>
  <conditionalFormatting sqref="E1898">
    <cfRule type="expression" dxfId="541" priority="570">
      <formula>AND(E1893="EUC",E1894&gt;48,E1898="Y")</formula>
    </cfRule>
    <cfRule type="expression" dxfId="540" priority="571">
      <formula>AND(E1893="RPX",E1894&gt;48,E1898="Y")</formula>
    </cfRule>
    <cfRule type="expression" dxfId="539" priority="572">
      <formula>AND(E1893="SS",E1894&gt;48,E1898="Y")</formula>
    </cfRule>
  </conditionalFormatting>
  <conditionalFormatting sqref="I1897">
    <cfRule type="expression" dxfId="538" priority="567">
      <formula>I1897=0</formula>
    </cfRule>
    <cfRule type="expression" dxfId="537" priority="568">
      <formula>MOD(I1897,2)=0</formula>
    </cfRule>
  </conditionalFormatting>
  <conditionalFormatting sqref="E1921:E1926">
    <cfRule type="expression" dxfId="536" priority="566">
      <formula>AND(OR(C1921="NO",C1921="REV T",C1921="DBL REV",C1921="TPL REV",C1921="QD REV"),E1921&gt;12)</formula>
    </cfRule>
  </conditionalFormatting>
  <conditionalFormatting sqref="C1921:C1927">
    <cfRule type="expression" dxfId="535" priority="565">
      <formula>AND(OR(C1922="FST",C1922="REV T",C1922="DBL REV",C1922="TPL REV",C1922="QD REV"),C1921="Field SPL")</formula>
    </cfRule>
  </conditionalFormatting>
  <conditionalFormatting sqref="I1892">
    <cfRule type="expression" dxfId="534" priority="564">
      <formula>AND(E1893="EUC",E1894=432,I1892&gt;204)</formula>
    </cfRule>
  </conditionalFormatting>
  <conditionalFormatting sqref="E1894">
    <cfRule type="expression" dxfId="533" priority="560">
      <formula>(AND(E1893="EUC",E1894=432))</formula>
    </cfRule>
    <cfRule type="expression" dxfId="532" priority="561">
      <formula>AND(E1893="SS",E1894&gt;216)</formula>
    </cfRule>
    <cfRule type="expression" dxfId="531" priority="562">
      <formula>(AND(E1893="EUC",E1894&gt;216))</formula>
    </cfRule>
    <cfRule type="expression" dxfId="530" priority="563">
      <formula>AND(E1893="RPX",E1894&gt;216)</formula>
    </cfRule>
  </conditionalFormatting>
  <conditionalFormatting sqref="E1903:E1920">
    <cfRule type="expression" dxfId="529" priority="559">
      <formula>AND(OR(C1903="NO",C1903="REV T",C1903="DBL REV",C1903="TPL REV",C1903="QD REV"),E1903&gt;12)</formula>
    </cfRule>
  </conditionalFormatting>
  <conditionalFormatting sqref="C1903:C1920">
    <cfRule type="expression" dxfId="528" priority="558">
      <formula>AND(OR(C1904="FST",C1904="REV T",C1904="DBL REV",C1904="TPL REV",C1904="QD REV"),C1903="Field SPL")</formula>
    </cfRule>
  </conditionalFormatting>
  <conditionalFormatting sqref="L1935">
    <cfRule type="cellIs" dxfId="527" priority="554" operator="lessThan">
      <formula>$L$7</formula>
    </cfRule>
  </conditionalFormatting>
  <conditionalFormatting sqref="I1934">
    <cfRule type="cellIs" dxfId="526" priority="553" operator="lessThan">
      <formula>0</formula>
    </cfRule>
  </conditionalFormatting>
  <conditionalFormatting sqref="H1944:I1968">
    <cfRule type="cellIs" dxfId="525" priority="552" operator="lessThan">
      <formula>0</formula>
    </cfRule>
  </conditionalFormatting>
  <conditionalFormatting sqref="E1968">
    <cfRule type="expression" dxfId="524" priority="551">
      <formula>AND(OR(C1968="NO",C1968="REV T",C1968="DBL REV",C1968="TPL REV",C1968="QD REV"),E1968&gt;12)</formula>
    </cfRule>
  </conditionalFormatting>
  <conditionalFormatting sqref="B1956:B1968">
    <cfRule type="expression" dxfId="523" priority="549">
      <formula>Z1956="error"</formula>
    </cfRule>
  </conditionalFormatting>
  <conditionalFormatting sqref="B1956:B1968">
    <cfRule type="expression" dxfId="522" priority="548">
      <formula>AA1958="error"</formula>
    </cfRule>
  </conditionalFormatting>
  <conditionalFormatting sqref="E1968">
    <cfRule type="expression" dxfId="521" priority="547">
      <formula>AND(OR(C1968="NO",C1968="REV T",C1968="DBL REV",C1968="TPL REV",C1968="QD REV"),E1968&gt;12)</formula>
    </cfRule>
  </conditionalFormatting>
  <conditionalFormatting sqref="E1939">
    <cfRule type="expression" dxfId="520" priority="544">
      <formula>AND(E1934="EUC",E1935&gt;48,E1939="Y")</formula>
    </cfRule>
    <cfRule type="expression" dxfId="519" priority="545">
      <formula>AND(E1934="RPX",E1935&gt;48,E1939="Y")</formula>
    </cfRule>
    <cfRule type="expression" dxfId="518" priority="546">
      <formula>AND(E1934="SS",E1935&gt;48,E1939="Y")</formula>
    </cfRule>
  </conditionalFormatting>
  <conditionalFormatting sqref="I1938">
    <cfRule type="expression" dxfId="517" priority="541">
      <formula>I1938=0</formula>
    </cfRule>
    <cfRule type="expression" dxfId="516" priority="542">
      <formula>MOD(I1938,2)=0</formula>
    </cfRule>
  </conditionalFormatting>
  <conditionalFormatting sqref="E1962:E1967">
    <cfRule type="expression" dxfId="515" priority="540">
      <formula>AND(OR(C1962="NO",C1962="REV T",C1962="DBL REV",C1962="TPL REV",C1962="QD REV"),E1962&gt;12)</formula>
    </cfRule>
  </conditionalFormatting>
  <conditionalFormatting sqref="C1962:C1968">
    <cfRule type="expression" dxfId="514" priority="539">
      <formula>AND(OR(C1963="FST",C1963="REV T",C1963="DBL REV",C1963="TPL REV",C1963="QD REV"),C1962="Field SPL")</formula>
    </cfRule>
  </conditionalFormatting>
  <conditionalFormatting sqref="I1933">
    <cfRule type="expression" dxfId="513" priority="538">
      <formula>AND(E1934="EUC",E1935=432,I1933&gt;204)</formula>
    </cfRule>
  </conditionalFormatting>
  <conditionalFormatting sqref="E1935">
    <cfRule type="expression" dxfId="512" priority="534">
      <formula>(AND(E1934="EUC",E1935=432))</formula>
    </cfRule>
    <cfRule type="expression" dxfId="511" priority="535">
      <formula>AND(E1934="SS",E1935&gt;216)</formula>
    </cfRule>
    <cfRule type="expression" dxfId="510" priority="536">
      <formula>(AND(E1934="EUC",E1935&gt;216))</formula>
    </cfRule>
    <cfRule type="expression" dxfId="509" priority="537">
      <formula>AND(E1934="RPX",E1935&gt;216)</formula>
    </cfRule>
  </conditionalFormatting>
  <conditionalFormatting sqref="E1944:E1961">
    <cfRule type="expression" dxfId="508" priority="533">
      <formula>AND(OR(C1944="NO",C1944="REV T",C1944="DBL REV",C1944="TPL REV",C1944="QD REV"),E1944&gt;12)</formula>
    </cfRule>
  </conditionalFormatting>
  <conditionalFormatting sqref="C1944:C1961">
    <cfRule type="expression" dxfId="507" priority="532">
      <formula>AND(OR(C1945="FST",C1945="REV T",C1945="DBL REV",C1945="TPL REV",C1945="QD REV"),C1944="Field SPL")</formula>
    </cfRule>
  </conditionalFormatting>
  <conditionalFormatting sqref="L1976">
    <cfRule type="cellIs" dxfId="506" priority="528" operator="lessThan">
      <formula>$L$7</formula>
    </cfRule>
  </conditionalFormatting>
  <conditionalFormatting sqref="I1975">
    <cfRule type="cellIs" dxfId="505" priority="527" operator="lessThan">
      <formula>0</formula>
    </cfRule>
  </conditionalFormatting>
  <conditionalFormatting sqref="H1985:I2009">
    <cfRule type="cellIs" dxfId="504" priority="526" operator="lessThan">
      <formula>0</formula>
    </cfRule>
  </conditionalFormatting>
  <conditionalFormatting sqref="E2009">
    <cfRule type="expression" dxfId="503" priority="525">
      <formula>AND(OR(C2009="NO",C2009="REV T",C2009="DBL REV",C2009="TPL REV",C2009="QD REV"),E2009&gt;12)</formula>
    </cfRule>
  </conditionalFormatting>
  <conditionalFormatting sqref="B1997:B2009">
    <cfRule type="expression" dxfId="502" priority="523">
      <formula>Z1997="error"</formula>
    </cfRule>
  </conditionalFormatting>
  <conditionalFormatting sqref="B1997:B2009">
    <cfRule type="expression" dxfId="501" priority="522">
      <formula>AA1999="error"</formula>
    </cfRule>
  </conditionalFormatting>
  <conditionalFormatting sqref="E2009">
    <cfRule type="expression" dxfId="500" priority="521">
      <formula>AND(OR(C2009="NO",C2009="REV T",C2009="DBL REV",C2009="TPL REV",C2009="QD REV"),E2009&gt;12)</formula>
    </cfRule>
  </conditionalFormatting>
  <conditionalFormatting sqref="E1980">
    <cfRule type="expression" dxfId="499" priority="518">
      <formula>AND(E1975="EUC",E1976&gt;48,E1980="Y")</formula>
    </cfRule>
    <cfRule type="expression" dxfId="498" priority="519">
      <formula>AND(E1975="RPX",E1976&gt;48,E1980="Y")</formula>
    </cfRule>
    <cfRule type="expression" dxfId="497" priority="520">
      <formula>AND(E1975="SS",E1976&gt;48,E1980="Y")</formula>
    </cfRule>
  </conditionalFormatting>
  <conditionalFormatting sqref="I1979">
    <cfRule type="expression" dxfId="496" priority="515">
      <formula>I1979=0</formula>
    </cfRule>
    <cfRule type="expression" dxfId="495" priority="516">
      <formula>MOD(I1979,2)=0</formula>
    </cfRule>
  </conditionalFormatting>
  <conditionalFormatting sqref="E2003:E2008">
    <cfRule type="expression" dxfId="494" priority="514">
      <formula>AND(OR(C2003="NO",C2003="REV T",C2003="DBL REV",C2003="TPL REV",C2003="QD REV"),E2003&gt;12)</formula>
    </cfRule>
  </conditionalFormatting>
  <conditionalFormatting sqref="C2003:C2009">
    <cfRule type="expression" dxfId="493" priority="513">
      <formula>AND(OR(C2004="FST",C2004="REV T",C2004="DBL REV",C2004="TPL REV",C2004="QD REV"),C2003="Field SPL")</formula>
    </cfRule>
  </conditionalFormatting>
  <conditionalFormatting sqref="I1974">
    <cfRule type="expression" dxfId="492" priority="512">
      <formula>AND(E1975="EUC",E1976=432,I1974&gt;204)</formula>
    </cfRule>
  </conditionalFormatting>
  <conditionalFormatting sqref="E1976">
    <cfRule type="expression" dxfId="491" priority="508">
      <formula>(AND(E1975="EUC",E1976=432))</formula>
    </cfRule>
    <cfRule type="expression" dxfId="490" priority="509">
      <formula>AND(E1975="SS",E1976&gt;216)</formula>
    </cfRule>
    <cfRule type="expression" dxfId="489" priority="510">
      <formula>(AND(E1975="EUC",E1976&gt;216))</formula>
    </cfRule>
    <cfRule type="expression" dxfId="488" priority="511">
      <formula>AND(E1975="RPX",E1976&gt;216)</formula>
    </cfRule>
  </conditionalFormatting>
  <conditionalFormatting sqref="E1985:E2002">
    <cfRule type="expression" dxfId="487" priority="507">
      <formula>AND(OR(C1985="NO",C1985="REV T",C1985="DBL REV",C1985="TPL REV",C1985="QD REV"),E1985&gt;12)</formula>
    </cfRule>
  </conditionalFormatting>
  <conditionalFormatting sqref="C1985:C2002">
    <cfRule type="expression" dxfId="486" priority="506">
      <formula>AND(OR(C1986="FST",C1986="REV T",C1986="DBL REV",C1986="TPL REV",C1986="QD REV"),C1985="Field SPL")</formula>
    </cfRule>
  </conditionalFormatting>
  <conditionalFormatting sqref="L2017">
    <cfRule type="cellIs" dxfId="485" priority="502" operator="lessThan">
      <formula>$L$7</formula>
    </cfRule>
  </conditionalFormatting>
  <conditionalFormatting sqref="I2016">
    <cfRule type="cellIs" dxfId="484" priority="501" operator="lessThan">
      <formula>0</formula>
    </cfRule>
  </conditionalFormatting>
  <conditionalFormatting sqref="H2026:I2050">
    <cfRule type="cellIs" dxfId="483" priority="500" operator="lessThan">
      <formula>0</formula>
    </cfRule>
  </conditionalFormatting>
  <conditionalFormatting sqref="E2050">
    <cfRule type="expression" dxfId="482" priority="499">
      <formula>AND(OR(C2050="NO",C2050="REV T",C2050="DBL REV",C2050="TPL REV",C2050="QD REV"),E2050&gt;12)</formula>
    </cfRule>
  </conditionalFormatting>
  <conditionalFormatting sqref="B2038:B2050">
    <cfRule type="expression" dxfId="481" priority="497">
      <formula>Z2038="error"</formula>
    </cfRule>
  </conditionalFormatting>
  <conditionalFormatting sqref="B2038:B2050">
    <cfRule type="expression" dxfId="480" priority="496">
      <formula>AA2040="error"</formula>
    </cfRule>
  </conditionalFormatting>
  <conditionalFormatting sqref="E2050">
    <cfRule type="expression" dxfId="479" priority="495">
      <formula>AND(OR(C2050="NO",C2050="REV T",C2050="DBL REV",C2050="TPL REV",C2050="QD REV"),E2050&gt;12)</formula>
    </cfRule>
  </conditionalFormatting>
  <conditionalFormatting sqref="E2021">
    <cfRule type="expression" dxfId="478" priority="492">
      <formula>AND(E2016="EUC",E2017&gt;48,E2021="Y")</formula>
    </cfRule>
    <cfRule type="expression" dxfId="477" priority="493">
      <formula>AND(E2016="RPX",E2017&gt;48,E2021="Y")</formula>
    </cfRule>
    <cfRule type="expression" dxfId="476" priority="494">
      <formula>AND(E2016="SS",E2017&gt;48,E2021="Y")</formula>
    </cfRule>
  </conditionalFormatting>
  <conditionalFormatting sqref="I2020">
    <cfRule type="expression" dxfId="475" priority="489">
      <formula>I2020=0</formula>
    </cfRule>
    <cfRule type="expression" dxfId="474" priority="490">
      <formula>MOD(I2020,2)=0</formula>
    </cfRule>
  </conditionalFormatting>
  <conditionalFormatting sqref="E2044:E2049">
    <cfRule type="expression" dxfId="473" priority="488">
      <formula>AND(OR(C2044="NO",C2044="REV T",C2044="DBL REV",C2044="TPL REV",C2044="QD REV"),E2044&gt;12)</formula>
    </cfRule>
  </conditionalFormatting>
  <conditionalFormatting sqref="C2044:C2050">
    <cfRule type="expression" dxfId="472" priority="487">
      <formula>AND(OR(C2045="FST",C2045="REV T",C2045="DBL REV",C2045="TPL REV",C2045="QD REV"),C2044="Field SPL")</formula>
    </cfRule>
  </conditionalFormatting>
  <conditionalFormatting sqref="I2015">
    <cfRule type="expression" dxfId="471" priority="486">
      <formula>AND(E2016="EUC",E2017=432,I2015&gt;204)</formula>
    </cfRule>
  </conditionalFormatting>
  <conditionalFormatting sqref="E2017">
    <cfRule type="expression" dxfId="470" priority="482">
      <formula>(AND(E2016="EUC",E2017=432))</formula>
    </cfRule>
    <cfRule type="expression" dxfId="469" priority="483">
      <formula>AND(E2016="SS",E2017&gt;216)</formula>
    </cfRule>
    <cfRule type="expression" dxfId="468" priority="484">
      <formula>(AND(E2016="EUC",E2017&gt;216))</formula>
    </cfRule>
    <cfRule type="expression" dxfId="467" priority="485">
      <formula>AND(E2016="RPX",E2017&gt;216)</formula>
    </cfRule>
  </conditionalFormatting>
  <conditionalFormatting sqref="E2026:E2043">
    <cfRule type="expression" dxfId="466" priority="481">
      <formula>AND(OR(C2026="NO",C2026="REV T",C2026="DBL REV",C2026="TPL REV",C2026="QD REV"),E2026&gt;12)</formula>
    </cfRule>
  </conditionalFormatting>
  <conditionalFormatting sqref="C2026:C2043">
    <cfRule type="expression" dxfId="465" priority="480">
      <formula>AND(OR(C2027="FST",C2027="REV T",C2027="DBL REV",C2027="TPL REV",C2027="QD REV"),C2026="Field SPL")</formula>
    </cfRule>
  </conditionalFormatting>
  <conditionalFormatting sqref="L15 L17:L18">
    <cfRule type="containsText" dxfId="464" priority="479" operator="containsText" text="error">
      <formula>NOT(ISERROR(SEARCH("error",L15)))</formula>
    </cfRule>
  </conditionalFormatting>
  <conditionalFormatting sqref="L19:L40">
    <cfRule type="containsText" dxfId="463" priority="478" operator="containsText" text="error">
      <formula>NOT(ISERROR(SEARCH("error",L19)))</formula>
    </cfRule>
  </conditionalFormatting>
  <conditionalFormatting sqref="L41">
    <cfRule type="containsText" dxfId="462" priority="477" operator="containsText" text="error">
      <formula>NOT(ISERROR(SEARCH("error",L41)))</formula>
    </cfRule>
  </conditionalFormatting>
  <conditionalFormatting sqref="K58:K59">
    <cfRule type="containsText" dxfId="461" priority="476" operator="containsText" text="error">
      <formula>NOT(ISERROR(SEARCH("error",K58)))</formula>
    </cfRule>
  </conditionalFormatting>
  <conditionalFormatting sqref="L56 L58:L59">
    <cfRule type="containsText" dxfId="460" priority="475" operator="containsText" text="error">
      <formula>NOT(ISERROR(SEARCH("error",L56)))</formula>
    </cfRule>
  </conditionalFormatting>
  <conditionalFormatting sqref="L60:L81">
    <cfRule type="containsText" dxfId="459" priority="474" operator="containsText" text="error">
      <formula>NOT(ISERROR(SEARCH("error",L60)))</formula>
    </cfRule>
  </conditionalFormatting>
  <conditionalFormatting sqref="L82">
    <cfRule type="containsText" dxfId="458" priority="473" operator="containsText" text="error">
      <formula>NOT(ISERROR(SEARCH("error",L82)))</formula>
    </cfRule>
  </conditionalFormatting>
  <conditionalFormatting sqref="K99:K100">
    <cfRule type="containsText" dxfId="457" priority="472" operator="containsText" text="error">
      <formula>NOT(ISERROR(SEARCH("error",K99)))</formula>
    </cfRule>
  </conditionalFormatting>
  <conditionalFormatting sqref="L97 L99:L100">
    <cfRule type="containsText" dxfId="456" priority="471" operator="containsText" text="error">
      <formula>NOT(ISERROR(SEARCH("error",L97)))</formula>
    </cfRule>
  </conditionalFormatting>
  <conditionalFormatting sqref="L101:L122">
    <cfRule type="containsText" dxfId="455" priority="470" operator="containsText" text="error">
      <formula>NOT(ISERROR(SEARCH("error",L101)))</formula>
    </cfRule>
  </conditionalFormatting>
  <conditionalFormatting sqref="L123">
    <cfRule type="containsText" dxfId="454" priority="469" operator="containsText" text="error">
      <formula>NOT(ISERROR(SEARCH("error",L123)))</formula>
    </cfRule>
  </conditionalFormatting>
  <conditionalFormatting sqref="K140:K141">
    <cfRule type="containsText" dxfId="453" priority="468" operator="containsText" text="error">
      <formula>NOT(ISERROR(SEARCH("error",K140)))</formula>
    </cfRule>
  </conditionalFormatting>
  <conditionalFormatting sqref="L138 L140:L141">
    <cfRule type="containsText" dxfId="452" priority="467" operator="containsText" text="error">
      <formula>NOT(ISERROR(SEARCH("error",L138)))</formula>
    </cfRule>
  </conditionalFormatting>
  <conditionalFormatting sqref="L142:L163">
    <cfRule type="containsText" dxfId="451" priority="466" operator="containsText" text="error">
      <formula>NOT(ISERROR(SEARCH("error",L142)))</formula>
    </cfRule>
  </conditionalFormatting>
  <conditionalFormatting sqref="L164">
    <cfRule type="containsText" dxfId="450" priority="465" operator="containsText" text="error">
      <formula>NOT(ISERROR(SEARCH("error",L164)))</formula>
    </cfRule>
  </conditionalFormatting>
  <conditionalFormatting sqref="K181:K182">
    <cfRule type="containsText" dxfId="449" priority="464" operator="containsText" text="error">
      <formula>NOT(ISERROR(SEARCH("error",K181)))</formula>
    </cfRule>
  </conditionalFormatting>
  <conditionalFormatting sqref="L179 L181:L182">
    <cfRule type="containsText" dxfId="448" priority="463" operator="containsText" text="error">
      <formula>NOT(ISERROR(SEARCH("error",L179)))</formula>
    </cfRule>
  </conditionalFormatting>
  <conditionalFormatting sqref="L183:L204">
    <cfRule type="containsText" dxfId="447" priority="462" operator="containsText" text="error">
      <formula>NOT(ISERROR(SEARCH("error",L183)))</formula>
    </cfRule>
  </conditionalFormatting>
  <conditionalFormatting sqref="L205">
    <cfRule type="containsText" dxfId="446" priority="461" operator="containsText" text="error">
      <formula>NOT(ISERROR(SEARCH("error",L205)))</formula>
    </cfRule>
  </conditionalFormatting>
  <conditionalFormatting sqref="K222:K223">
    <cfRule type="containsText" dxfId="445" priority="460" operator="containsText" text="error">
      <formula>NOT(ISERROR(SEARCH("error",K222)))</formula>
    </cfRule>
  </conditionalFormatting>
  <conditionalFormatting sqref="L220 L222:L223">
    <cfRule type="containsText" dxfId="444" priority="459" operator="containsText" text="error">
      <formula>NOT(ISERROR(SEARCH("error",L220)))</formula>
    </cfRule>
  </conditionalFormatting>
  <conditionalFormatting sqref="L224:L245">
    <cfRule type="containsText" dxfId="443" priority="458" operator="containsText" text="error">
      <formula>NOT(ISERROR(SEARCH("error",L224)))</formula>
    </cfRule>
  </conditionalFormatting>
  <conditionalFormatting sqref="L246">
    <cfRule type="containsText" dxfId="442" priority="457" operator="containsText" text="error">
      <formula>NOT(ISERROR(SEARCH("error",L246)))</formula>
    </cfRule>
  </conditionalFormatting>
  <conditionalFormatting sqref="K263:K264">
    <cfRule type="containsText" dxfId="441" priority="456" operator="containsText" text="error">
      <formula>NOT(ISERROR(SEARCH("error",K263)))</formula>
    </cfRule>
  </conditionalFormatting>
  <conditionalFormatting sqref="L261 L263:L264">
    <cfRule type="containsText" dxfId="440" priority="455" operator="containsText" text="error">
      <formula>NOT(ISERROR(SEARCH("error",L261)))</formula>
    </cfRule>
  </conditionalFormatting>
  <conditionalFormatting sqref="L265:L286">
    <cfRule type="containsText" dxfId="439" priority="454" operator="containsText" text="error">
      <formula>NOT(ISERROR(SEARCH("error",L265)))</formula>
    </cfRule>
  </conditionalFormatting>
  <conditionalFormatting sqref="L287">
    <cfRule type="containsText" dxfId="438" priority="453" operator="containsText" text="error">
      <formula>NOT(ISERROR(SEARCH("error",L287)))</formula>
    </cfRule>
  </conditionalFormatting>
  <conditionalFormatting sqref="K304:K305">
    <cfRule type="containsText" dxfId="437" priority="452" operator="containsText" text="error">
      <formula>NOT(ISERROR(SEARCH("error",K304)))</formula>
    </cfRule>
  </conditionalFormatting>
  <conditionalFormatting sqref="L302 L304:L305">
    <cfRule type="containsText" dxfId="436" priority="451" operator="containsText" text="error">
      <formula>NOT(ISERROR(SEARCH("error",L302)))</formula>
    </cfRule>
  </conditionalFormatting>
  <conditionalFormatting sqref="L306:L327">
    <cfRule type="containsText" dxfId="435" priority="450" operator="containsText" text="error">
      <formula>NOT(ISERROR(SEARCH("error",L306)))</formula>
    </cfRule>
  </conditionalFormatting>
  <conditionalFormatting sqref="L328">
    <cfRule type="containsText" dxfId="434" priority="449" operator="containsText" text="error">
      <formula>NOT(ISERROR(SEARCH("error",L328)))</formula>
    </cfRule>
  </conditionalFormatting>
  <conditionalFormatting sqref="K345:K346">
    <cfRule type="containsText" dxfId="433" priority="448" operator="containsText" text="error">
      <formula>NOT(ISERROR(SEARCH("error",K345)))</formula>
    </cfRule>
  </conditionalFormatting>
  <conditionalFormatting sqref="L343 L345:L346">
    <cfRule type="containsText" dxfId="432" priority="447" operator="containsText" text="error">
      <formula>NOT(ISERROR(SEARCH("error",L343)))</formula>
    </cfRule>
  </conditionalFormatting>
  <conditionalFormatting sqref="L347:L368">
    <cfRule type="containsText" dxfId="431" priority="446" operator="containsText" text="error">
      <formula>NOT(ISERROR(SEARCH("error",L347)))</formula>
    </cfRule>
  </conditionalFormatting>
  <conditionalFormatting sqref="L369">
    <cfRule type="containsText" dxfId="430" priority="445" operator="containsText" text="error">
      <formula>NOT(ISERROR(SEARCH("error",L369)))</formula>
    </cfRule>
  </conditionalFormatting>
  <conditionalFormatting sqref="K386:K387">
    <cfRule type="containsText" dxfId="429" priority="444" operator="containsText" text="error">
      <formula>NOT(ISERROR(SEARCH("error",K386)))</formula>
    </cfRule>
  </conditionalFormatting>
  <conditionalFormatting sqref="L384 L386:L387">
    <cfRule type="containsText" dxfId="428" priority="443" operator="containsText" text="error">
      <formula>NOT(ISERROR(SEARCH("error",L384)))</formula>
    </cfRule>
  </conditionalFormatting>
  <conditionalFormatting sqref="L388:L409">
    <cfRule type="containsText" dxfId="427" priority="442" operator="containsText" text="error">
      <formula>NOT(ISERROR(SEARCH("error",L388)))</formula>
    </cfRule>
  </conditionalFormatting>
  <conditionalFormatting sqref="L410">
    <cfRule type="containsText" dxfId="426" priority="441" operator="containsText" text="error">
      <formula>NOT(ISERROR(SEARCH("error",L410)))</formula>
    </cfRule>
  </conditionalFormatting>
  <conditionalFormatting sqref="K427:K428">
    <cfRule type="containsText" dxfId="425" priority="440" operator="containsText" text="error">
      <formula>NOT(ISERROR(SEARCH("error",K427)))</formula>
    </cfRule>
  </conditionalFormatting>
  <conditionalFormatting sqref="L425 L427:L428">
    <cfRule type="containsText" dxfId="424" priority="439" operator="containsText" text="error">
      <formula>NOT(ISERROR(SEARCH("error",L425)))</formula>
    </cfRule>
  </conditionalFormatting>
  <conditionalFormatting sqref="L429:L450">
    <cfRule type="containsText" dxfId="423" priority="438" operator="containsText" text="error">
      <formula>NOT(ISERROR(SEARCH("error",L429)))</formula>
    </cfRule>
  </conditionalFormatting>
  <conditionalFormatting sqref="L451">
    <cfRule type="containsText" dxfId="422" priority="437" operator="containsText" text="error">
      <formula>NOT(ISERROR(SEARCH("error",L451)))</formula>
    </cfRule>
  </conditionalFormatting>
  <conditionalFormatting sqref="K468:K469">
    <cfRule type="containsText" dxfId="421" priority="436" operator="containsText" text="error">
      <formula>NOT(ISERROR(SEARCH("error",K468)))</formula>
    </cfRule>
  </conditionalFormatting>
  <conditionalFormatting sqref="L466 L468:L469">
    <cfRule type="containsText" dxfId="420" priority="435" operator="containsText" text="error">
      <formula>NOT(ISERROR(SEARCH("error",L466)))</formula>
    </cfRule>
  </conditionalFormatting>
  <conditionalFormatting sqref="L470:L491">
    <cfRule type="containsText" dxfId="419" priority="434" operator="containsText" text="error">
      <formula>NOT(ISERROR(SEARCH("error",L470)))</formula>
    </cfRule>
  </conditionalFormatting>
  <conditionalFormatting sqref="L492">
    <cfRule type="containsText" dxfId="418" priority="433" operator="containsText" text="error">
      <formula>NOT(ISERROR(SEARCH("error",L492)))</formula>
    </cfRule>
  </conditionalFormatting>
  <conditionalFormatting sqref="K509:K510">
    <cfRule type="containsText" dxfId="417" priority="432" operator="containsText" text="error">
      <formula>NOT(ISERROR(SEARCH("error",K509)))</formula>
    </cfRule>
  </conditionalFormatting>
  <conditionalFormatting sqref="L507 L509:L510">
    <cfRule type="containsText" dxfId="416" priority="431" operator="containsText" text="error">
      <formula>NOT(ISERROR(SEARCH("error",L507)))</formula>
    </cfRule>
  </conditionalFormatting>
  <conditionalFormatting sqref="L511:L532">
    <cfRule type="containsText" dxfId="415" priority="430" operator="containsText" text="error">
      <formula>NOT(ISERROR(SEARCH("error",L511)))</formula>
    </cfRule>
  </conditionalFormatting>
  <conditionalFormatting sqref="L533">
    <cfRule type="containsText" dxfId="414" priority="429" operator="containsText" text="error">
      <formula>NOT(ISERROR(SEARCH("error",L533)))</formula>
    </cfRule>
  </conditionalFormatting>
  <conditionalFormatting sqref="K550:K551">
    <cfRule type="containsText" dxfId="413" priority="428" operator="containsText" text="error">
      <formula>NOT(ISERROR(SEARCH("error",K550)))</formula>
    </cfRule>
  </conditionalFormatting>
  <conditionalFormatting sqref="L548 L550:L551">
    <cfRule type="containsText" dxfId="412" priority="427" operator="containsText" text="error">
      <formula>NOT(ISERROR(SEARCH("error",L548)))</formula>
    </cfRule>
  </conditionalFormatting>
  <conditionalFormatting sqref="L552:L573">
    <cfRule type="containsText" dxfId="411" priority="426" operator="containsText" text="error">
      <formula>NOT(ISERROR(SEARCH("error",L552)))</formula>
    </cfRule>
  </conditionalFormatting>
  <conditionalFormatting sqref="L574">
    <cfRule type="containsText" dxfId="410" priority="425" operator="containsText" text="error">
      <formula>NOT(ISERROR(SEARCH("error",L574)))</formula>
    </cfRule>
  </conditionalFormatting>
  <conditionalFormatting sqref="K591:K592">
    <cfRule type="containsText" dxfId="409" priority="424" operator="containsText" text="error">
      <formula>NOT(ISERROR(SEARCH("error",K591)))</formula>
    </cfRule>
  </conditionalFormatting>
  <conditionalFormatting sqref="L589 L591:L592">
    <cfRule type="containsText" dxfId="408" priority="423" operator="containsText" text="error">
      <formula>NOT(ISERROR(SEARCH("error",L589)))</formula>
    </cfRule>
  </conditionalFormatting>
  <conditionalFormatting sqref="L593:L614">
    <cfRule type="containsText" dxfId="407" priority="422" operator="containsText" text="error">
      <formula>NOT(ISERROR(SEARCH("error",L593)))</formula>
    </cfRule>
  </conditionalFormatting>
  <conditionalFormatting sqref="L615">
    <cfRule type="containsText" dxfId="406" priority="421" operator="containsText" text="error">
      <formula>NOT(ISERROR(SEARCH("error",L615)))</formula>
    </cfRule>
  </conditionalFormatting>
  <conditionalFormatting sqref="K632:K633">
    <cfRule type="containsText" dxfId="405" priority="420" operator="containsText" text="error">
      <formula>NOT(ISERROR(SEARCH("error",K632)))</formula>
    </cfRule>
  </conditionalFormatting>
  <conditionalFormatting sqref="L630 L632:L633">
    <cfRule type="containsText" dxfId="404" priority="419" operator="containsText" text="error">
      <formula>NOT(ISERROR(SEARCH("error",L630)))</formula>
    </cfRule>
  </conditionalFormatting>
  <conditionalFormatting sqref="L634:L655">
    <cfRule type="containsText" dxfId="403" priority="418" operator="containsText" text="error">
      <formula>NOT(ISERROR(SEARCH("error",L634)))</formula>
    </cfRule>
  </conditionalFormatting>
  <conditionalFormatting sqref="L656">
    <cfRule type="containsText" dxfId="402" priority="417" operator="containsText" text="error">
      <formula>NOT(ISERROR(SEARCH("error",L656)))</formula>
    </cfRule>
  </conditionalFormatting>
  <conditionalFormatting sqref="K673:K674">
    <cfRule type="containsText" dxfId="401" priority="416" operator="containsText" text="error">
      <formula>NOT(ISERROR(SEARCH("error",K673)))</formula>
    </cfRule>
  </conditionalFormatting>
  <conditionalFormatting sqref="L671 L673:L674">
    <cfRule type="containsText" dxfId="400" priority="415" operator="containsText" text="error">
      <formula>NOT(ISERROR(SEARCH("error",L671)))</formula>
    </cfRule>
  </conditionalFormatting>
  <conditionalFormatting sqref="L675:L696">
    <cfRule type="containsText" dxfId="399" priority="414" operator="containsText" text="error">
      <formula>NOT(ISERROR(SEARCH("error",L675)))</formula>
    </cfRule>
  </conditionalFormatting>
  <conditionalFormatting sqref="L697">
    <cfRule type="containsText" dxfId="398" priority="413" operator="containsText" text="error">
      <formula>NOT(ISERROR(SEARCH("error",L697)))</formula>
    </cfRule>
  </conditionalFormatting>
  <conditionalFormatting sqref="K714:K715">
    <cfRule type="containsText" dxfId="397" priority="412" operator="containsText" text="error">
      <formula>NOT(ISERROR(SEARCH("error",K714)))</formula>
    </cfRule>
  </conditionalFormatting>
  <conditionalFormatting sqref="L712 L714:L715">
    <cfRule type="containsText" dxfId="396" priority="411" operator="containsText" text="error">
      <formula>NOT(ISERROR(SEARCH("error",L712)))</formula>
    </cfRule>
  </conditionalFormatting>
  <conditionalFormatting sqref="L716:L737">
    <cfRule type="containsText" dxfId="395" priority="410" operator="containsText" text="error">
      <formula>NOT(ISERROR(SEARCH("error",L716)))</formula>
    </cfRule>
  </conditionalFormatting>
  <conditionalFormatting sqref="L738">
    <cfRule type="containsText" dxfId="394" priority="409" operator="containsText" text="error">
      <formula>NOT(ISERROR(SEARCH("error",L738)))</formula>
    </cfRule>
  </conditionalFormatting>
  <conditionalFormatting sqref="K755:K756">
    <cfRule type="containsText" dxfId="393" priority="408" operator="containsText" text="error">
      <formula>NOT(ISERROR(SEARCH("error",K755)))</formula>
    </cfRule>
  </conditionalFormatting>
  <conditionalFormatting sqref="L753 L755:L756">
    <cfRule type="containsText" dxfId="392" priority="407" operator="containsText" text="error">
      <formula>NOT(ISERROR(SEARCH("error",L753)))</formula>
    </cfRule>
  </conditionalFormatting>
  <conditionalFormatting sqref="L757:L778">
    <cfRule type="containsText" dxfId="391" priority="406" operator="containsText" text="error">
      <formula>NOT(ISERROR(SEARCH("error",L757)))</formula>
    </cfRule>
  </conditionalFormatting>
  <conditionalFormatting sqref="L779">
    <cfRule type="containsText" dxfId="390" priority="405" operator="containsText" text="error">
      <formula>NOT(ISERROR(SEARCH("error",L779)))</formula>
    </cfRule>
  </conditionalFormatting>
  <conditionalFormatting sqref="K796:K797">
    <cfRule type="containsText" dxfId="389" priority="404" operator="containsText" text="error">
      <formula>NOT(ISERROR(SEARCH("error",K796)))</formula>
    </cfRule>
  </conditionalFormatting>
  <conditionalFormatting sqref="L794 L796:L797">
    <cfRule type="containsText" dxfId="388" priority="403" operator="containsText" text="error">
      <formula>NOT(ISERROR(SEARCH("error",L794)))</formula>
    </cfRule>
  </conditionalFormatting>
  <conditionalFormatting sqref="L798:L819">
    <cfRule type="containsText" dxfId="387" priority="402" operator="containsText" text="error">
      <formula>NOT(ISERROR(SEARCH("error",L798)))</formula>
    </cfRule>
  </conditionalFormatting>
  <conditionalFormatting sqref="L820">
    <cfRule type="containsText" dxfId="386" priority="401" operator="containsText" text="error">
      <formula>NOT(ISERROR(SEARCH("error",L820)))</formula>
    </cfRule>
  </conditionalFormatting>
  <conditionalFormatting sqref="K837:K838">
    <cfRule type="containsText" dxfId="385" priority="400" operator="containsText" text="error">
      <formula>NOT(ISERROR(SEARCH("error",K837)))</formula>
    </cfRule>
  </conditionalFormatting>
  <conditionalFormatting sqref="L835 L837:L838">
    <cfRule type="containsText" dxfId="384" priority="399" operator="containsText" text="error">
      <formula>NOT(ISERROR(SEARCH("error",L835)))</formula>
    </cfRule>
  </conditionalFormatting>
  <conditionalFormatting sqref="L839:L860">
    <cfRule type="containsText" dxfId="383" priority="398" operator="containsText" text="error">
      <formula>NOT(ISERROR(SEARCH("error",L839)))</formula>
    </cfRule>
  </conditionalFormatting>
  <conditionalFormatting sqref="L861">
    <cfRule type="containsText" dxfId="382" priority="397" operator="containsText" text="error">
      <formula>NOT(ISERROR(SEARCH("error",L861)))</formula>
    </cfRule>
  </conditionalFormatting>
  <conditionalFormatting sqref="K878:K879">
    <cfRule type="containsText" dxfId="381" priority="396" operator="containsText" text="error">
      <formula>NOT(ISERROR(SEARCH("error",K878)))</formula>
    </cfRule>
  </conditionalFormatting>
  <conditionalFormatting sqref="L876 L878:L879">
    <cfRule type="containsText" dxfId="380" priority="395" operator="containsText" text="error">
      <formula>NOT(ISERROR(SEARCH("error",L876)))</formula>
    </cfRule>
  </conditionalFormatting>
  <conditionalFormatting sqref="L880:L901">
    <cfRule type="containsText" dxfId="379" priority="394" operator="containsText" text="error">
      <formula>NOT(ISERROR(SEARCH("error",L880)))</formula>
    </cfRule>
  </conditionalFormatting>
  <conditionalFormatting sqref="L902">
    <cfRule type="containsText" dxfId="378" priority="393" operator="containsText" text="error">
      <formula>NOT(ISERROR(SEARCH("error",L902)))</formula>
    </cfRule>
  </conditionalFormatting>
  <conditionalFormatting sqref="K919:K920">
    <cfRule type="containsText" dxfId="377" priority="392" operator="containsText" text="error">
      <formula>NOT(ISERROR(SEARCH("error",K919)))</formula>
    </cfRule>
  </conditionalFormatting>
  <conditionalFormatting sqref="L917 L919:L920">
    <cfRule type="containsText" dxfId="376" priority="391" operator="containsText" text="error">
      <formula>NOT(ISERROR(SEARCH("error",L917)))</formula>
    </cfRule>
  </conditionalFormatting>
  <conditionalFormatting sqref="L921:L942">
    <cfRule type="containsText" dxfId="375" priority="390" operator="containsText" text="error">
      <formula>NOT(ISERROR(SEARCH("error",L921)))</formula>
    </cfRule>
  </conditionalFormatting>
  <conditionalFormatting sqref="L943">
    <cfRule type="containsText" dxfId="374" priority="389" operator="containsText" text="error">
      <formula>NOT(ISERROR(SEARCH("error",L943)))</formula>
    </cfRule>
  </conditionalFormatting>
  <conditionalFormatting sqref="K960:K961">
    <cfRule type="containsText" dxfId="373" priority="388" operator="containsText" text="error">
      <formula>NOT(ISERROR(SEARCH("error",K960)))</formula>
    </cfRule>
  </conditionalFormatting>
  <conditionalFormatting sqref="L958 L960:L961">
    <cfRule type="containsText" dxfId="372" priority="387" operator="containsText" text="error">
      <formula>NOT(ISERROR(SEARCH("error",L958)))</formula>
    </cfRule>
  </conditionalFormatting>
  <conditionalFormatting sqref="L962:L983">
    <cfRule type="containsText" dxfId="371" priority="386" operator="containsText" text="error">
      <formula>NOT(ISERROR(SEARCH("error",L962)))</formula>
    </cfRule>
  </conditionalFormatting>
  <conditionalFormatting sqref="L984">
    <cfRule type="containsText" dxfId="370" priority="385" operator="containsText" text="error">
      <formula>NOT(ISERROR(SEARCH("error",L984)))</formula>
    </cfRule>
  </conditionalFormatting>
  <conditionalFormatting sqref="K1001:K1002">
    <cfRule type="containsText" dxfId="369" priority="384" operator="containsText" text="error">
      <formula>NOT(ISERROR(SEARCH("error",K1001)))</formula>
    </cfRule>
  </conditionalFormatting>
  <conditionalFormatting sqref="L999 L1001:L1002">
    <cfRule type="containsText" dxfId="368" priority="383" operator="containsText" text="error">
      <formula>NOT(ISERROR(SEARCH("error",L999)))</formula>
    </cfRule>
  </conditionalFormatting>
  <conditionalFormatting sqref="L1003:L1024">
    <cfRule type="containsText" dxfId="367" priority="382" operator="containsText" text="error">
      <formula>NOT(ISERROR(SEARCH("error",L1003)))</formula>
    </cfRule>
  </conditionalFormatting>
  <conditionalFormatting sqref="L1025">
    <cfRule type="containsText" dxfId="366" priority="381" operator="containsText" text="error">
      <formula>NOT(ISERROR(SEARCH("error",L1025)))</formula>
    </cfRule>
  </conditionalFormatting>
  <conditionalFormatting sqref="K1042:K1043">
    <cfRule type="containsText" dxfId="365" priority="380" operator="containsText" text="error">
      <formula>NOT(ISERROR(SEARCH("error",K1042)))</formula>
    </cfRule>
  </conditionalFormatting>
  <conditionalFormatting sqref="L1040 L1042:L1043">
    <cfRule type="containsText" dxfId="364" priority="379" operator="containsText" text="error">
      <formula>NOT(ISERROR(SEARCH("error",L1040)))</formula>
    </cfRule>
  </conditionalFormatting>
  <conditionalFormatting sqref="L1044:L1065">
    <cfRule type="containsText" dxfId="363" priority="378" operator="containsText" text="error">
      <formula>NOT(ISERROR(SEARCH("error",L1044)))</formula>
    </cfRule>
  </conditionalFormatting>
  <conditionalFormatting sqref="L1066">
    <cfRule type="containsText" dxfId="362" priority="377" operator="containsText" text="error">
      <formula>NOT(ISERROR(SEARCH("error",L1066)))</formula>
    </cfRule>
  </conditionalFormatting>
  <conditionalFormatting sqref="K1083:K1084">
    <cfRule type="containsText" dxfId="361" priority="376" operator="containsText" text="error">
      <formula>NOT(ISERROR(SEARCH("error",K1083)))</formula>
    </cfRule>
  </conditionalFormatting>
  <conditionalFormatting sqref="L1081 L1083:L1084">
    <cfRule type="containsText" dxfId="360" priority="375" operator="containsText" text="error">
      <formula>NOT(ISERROR(SEARCH("error",L1081)))</formula>
    </cfRule>
  </conditionalFormatting>
  <conditionalFormatting sqref="L1085:L1106">
    <cfRule type="containsText" dxfId="359" priority="374" operator="containsText" text="error">
      <formula>NOT(ISERROR(SEARCH("error",L1085)))</formula>
    </cfRule>
  </conditionalFormatting>
  <conditionalFormatting sqref="L1107">
    <cfRule type="containsText" dxfId="358" priority="373" operator="containsText" text="error">
      <formula>NOT(ISERROR(SEARCH("error",L1107)))</formula>
    </cfRule>
  </conditionalFormatting>
  <conditionalFormatting sqref="K1124:K1125">
    <cfRule type="containsText" dxfId="357" priority="372" operator="containsText" text="error">
      <formula>NOT(ISERROR(SEARCH("error",K1124)))</formula>
    </cfRule>
  </conditionalFormatting>
  <conditionalFormatting sqref="L1122 L1124:L1125">
    <cfRule type="containsText" dxfId="356" priority="371" operator="containsText" text="error">
      <formula>NOT(ISERROR(SEARCH("error",L1122)))</formula>
    </cfRule>
  </conditionalFormatting>
  <conditionalFormatting sqref="L1126:L1147">
    <cfRule type="containsText" dxfId="355" priority="370" operator="containsText" text="error">
      <formula>NOT(ISERROR(SEARCH("error",L1126)))</formula>
    </cfRule>
  </conditionalFormatting>
  <conditionalFormatting sqref="L1148">
    <cfRule type="containsText" dxfId="354" priority="369" operator="containsText" text="error">
      <formula>NOT(ISERROR(SEARCH("error",L1148)))</formula>
    </cfRule>
  </conditionalFormatting>
  <conditionalFormatting sqref="K1165:K1166">
    <cfRule type="containsText" dxfId="353" priority="368" operator="containsText" text="error">
      <formula>NOT(ISERROR(SEARCH("error",K1165)))</formula>
    </cfRule>
  </conditionalFormatting>
  <conditionalFormatting sqref="L1163 L1165:L1166">
    <cfRule type="containsText" dxfId="352" priority="367" operator="containsText" text="error">
      <formula>NOT(ISERROR(SEARCH("error",L1163)))</formula>
    </cfRule>
  </conditionalFormatting>
  <conditionalFormatting sqref="L1167:L1188">
    <cfRule type="containsText" dxfId="351" priority="366" operator="containsText" text="error">
      <formula>NOT(ISERROR(SEARCH("error",L1167)))</formula>
    </cfRule>
  </conditionalFormatting>
  <conditionalFormatting sqref="L1189">
    <cfRule type="containsText" dxfId="350" priority="365" operator="containsText" text="error">
      <formula>NOT(ISERROR(SEARCH("error",L1189)))</formula>
    </cfRule>
  </conditionalFormatting>
  <conditionalFormatting sqref="K1206:K1207">
    <cfRule type="containsText" dxfId="349" priority="364" operator="containsText" text="error">
      <formula>NOT(ISERROR(SEARCH("error",K1206)))</formula>
    </cfRule>
  </conditionalFormatting>
  <conditionalFormatting sqref="L1204 L1206:L1207">
    <cfRule type="containsText" dxfId="348" priority="363" operator="containsText" text="error">
      <formula>NOT(ISERROR(SEARCH("error",L1204)))</formula>
    </cfRule>
  </conditionalFormatting>
  <conditionalFormatting sqref="L1208:L1229">
    <cfRule type="containsText" dxfId="347" priority="362" operator="containsText" text="error">
      <formula>NOT(ISERROR(SEARCH("error",L1208)))</formula>
    </cfRule>
  </conditionalFormatting>
  <conditionalFormatting sqref="L1230">
    <cfRule type="containsText" dxfId="346" priority="361" operator="containsText" text="error">
      <formula>NOT(ISERROR(SEARCH("error",L1230)))</formula>
    </cfRule>
  </conditionalFormatting>
  <conditionalFormatting sqref="K1247:K1248">
    <cfRule type="containsText" dxfId="345" priority="360" operator="containsText" text="error">
      <formula>NOT(ISERROR(SEARCH("error",K1247)))</formula>
    </cfRule>
  </conditionalFormatting>
  <conditionalFormatting sqref="L1245 L1247:L1248">
    <cfRule type="containsText" dxfId="344" priority="359" operator="containsText" text="error">
      <formula>NOT(ISERROR(SEARCH("error",L1245)))</formula>
    </cfRule>
  </conditionalFormatting>
  <conditionalFormatting sqref="L1249:L1270">
    <cfRule type="containsText" dxfId="343" priority="358" operator="containsText" text="error">
      <formula>NOT(ISERROR(SEARCH("error",L1249)))</formula>
    </cfRule>
  </conditionalFormatting>
  <conditionalFormatting sqref="L1271">
    <cfRule type="containsText" dxfId="342" priority="357" operator="containsText" text="error">
      <formula>NOT(ISERROR(SEARCH("error",L1271)))</formula>
    </cfRule>
  </conditionalFormatting>
  <conditionalFormatting sqref="K1288:K1289">
    <cfRule type="containsText" dxfId="341" priority="356" operator="containsText" text="error">
      <formula>NOT(ISERROR(SEARCH("error",K1288)))</formula>
    </cfRule>
  </conditionalFormatting>
  <conditionalFormatting sqref="L1286 L1288:L1289">
    <cfRule type="containsText" dxfId="340" priority="355" operator="containsText" text="error">
      <formula>NOT(ISERROR(SEARCH("error",L1286)))</formula>
    </cfRule>
  </conditionalFormatting>
  <conditionalFormatting sqref="L1290:L1311">
    <cfRule type="containsText" dxfId="339" priority="354" operator="containsText" text="error">
      <formula>NOT(ISERROR(SEARCH("error",L1290)))</formula>
    </cfRule>
  </conditionalFormatting>
  <conditionalFormatting sqref="L1312">
    <cfRule type="containsText" dxfId="338" priority="353" operator="containsText" text="error">
      <formula>NOT(ISERROR(SEARCH("error",L1312)))</formula>
    </cfRule>
  </conditionalFormatting>
  <conditionalFormatting sqref="K1329:K1330">
    <cfRule type="containsText" dxfId="337" priority="352" operator="containsText" text="error">
      <formula>NOT(ISERROR(SEARCH("error",K1329)))</formula>
    </cfRule>
  </conditionalFormatting>
  <conditionalFormatting sqref="L1327 L1329:L1330">
    <cfRule type="containsText" dxfId="336" priority="351" operator="containsText" text="error">
      <formula>NOT(ISERROR(SEARCH("error",L1327)))</formula>
    </cfRule>
  </conditionalFormatting>
  <conditionalFormatting sqref="L1331:L1352">
    <cfRule type="containsText" dxfId="335" priority="350" operator="containsText" text="error">
      <formula>NOT(ISERROR(SEARCH("error",L1331)))</formula>
    </cfRule>
  </conditionalFormatting>
  <conditionalFormatting sqref="L1353">
    <cfRule type="containsText" dxfId="334" priority="349" operator="containsText" text="error">
      <formula>NOT(ISERROR(SEARCH("error",L1353)))</formula>
    </cfRule>
  </conditionalFormatting>
  <conditionalFormatting sqref="K1370:K1371">
    <cfRule type="containsText" dxfId="333" priority="348" operator="containsText" text="error">
      <formula>NOT(ISERROR(SEARCH("error",K1370)))</formula>
    </cfRule>
  </conditionalFormatting>
  <conditionalFormatting sqref="L1368 L1370:L1371">
    <cfRule type="containsText" dxfId="332" priority="347" operator="containsText" text="error">
      <formula>NOT(ISERROR(SEARCH("error",L1368)))</formula>
    </cfRule>
  </conditionalFormatting>
  <conditionalFormatting sqref="L1372:L1393">
    <cfRule type="containsText" dxfId="331" priority="346" operator="containsText" text="error">
      <formula>NOT(ISERROR(SEARCH("error",L1372)))</formula>
    </cfRule>
  </conditionalFormatting>
  <conditionalFormatting sqref="L1394">
    <cfRule type="containsText" dxfId="330" priority="345" operator="containsText" text="error">
      <formula>NOT(ISERROR(SEARCH("error",L1394)))</formula>
    </cfRule>
  </conditionalFormatting>
  <conditionalFormatting sqref="K1411:K1412">
    <cfRule type="containsText" dxfId="329" priority="344" operator="containsText" text="error">
      <formula>NOT(ISERROR(SEARCH("error",K1411)))</formula>
    </cfRule>
  </conditionalFormatting>
  <conditionalFormatting sqref="L1409 L1411:L1412">
    <cfRule type="containsText" dxfId="328" priority="343" operator="containsText" text="error">
      <formula>NOT(ISERROR(SEARCH("error",L1409)))</formula>
    </cfRule>
  </conditionalFormatting>
  <conditionalFormatting sqref="L1413:L1434">
    <cfRule type="containsText" dxfId="327" priority="342" operator="containsText" text="error">
      <formula>NOT(ISERROR(SEARCH("error",L1413)))</formula>
    </cfRule>
  </conditionalFormatting>
  <conditionalFormatting sqref="L1435">
    <cfRule type="containsText" dxfId="326" priority="341" operator="containsText" text="error">
      <formula>NOT(ISERROR(SEARCH("error",L1435)))</formula>
    </cfRule>
  </conditionalFormatting>
  <conditionalFormatting sqref="K1452:K1453">
    <cfRule type="containsText" dxfId="325" priority="340" operator="containsText" text="error">
      <formula>NOT(ISERROR(SEARCH("error",K1452)))</formula>
    </cfRule>
  </conditionalFormatting>
  <conditionalFormatting sqref="L1450 L1452:L1453">
    <cfRule type="containsText" dxfId="324" priority="339" operator="containsText" text="error">
      <formula>NOT(ISERROR(SEARCH("error",L1450)))</formula>
    </cfRule>
  </conditionalFormatting>
  <conditionalFormatting sqref="L1454:L1475">
    <cfRule type="containsText" dxfId="323" priority="338" operator="containsText" text="error">
      <formula>NOT(ISERROR(SEARCH("error",L1454)))</formula>
    </cfRule>
  </conditionalFormatting>
  <conditionalFormatting sqref="L1476">
    <cfRule type="containsText" dxfId="322" priority="337" operator="containsText" text="error">
      <formula>NOT(ISERROR(SEARCH("error",L1476)))</formula>
    </cfRule>
  </conditionalFormatting>
  <conditionalFormatting sqref="K1493:K1494">
    <cfRule type="containsText" dxfId="321" priority="336" operator="containsText" text="error">
      <formula>NOT(ISERROR(SEARCH("error",K1493)))</formula>
    </cfRule>
  </conditionalFormatting>
  <conditionalFormatting sqref="L1491 L1493:L1494">
    <cfRule type="containsText" dxfId="320" priority="335" operator="containsText" text="error">
      <formula>NOT(ISERROR(SEARCH("error",L1491)))</formula>
    </cfRule>
  </conditionalFormatting>
  <conditionalFormatting sqref="L1495:L1516">
    <cfRule type="containsText" dxfId="319" priority="334" operator="containsText" text="error">
      <formula>NOT(ISERROR(SEARCH("error",L1495)))</formula>
    </cfRule>
  </conditionalFormatting>
  <conditionalFormatting sqref="L1517">
    <cfRule type="containsText" dxfId="318" priority="333" operator="containsText" text="error">
      <formula>NOT(ISERROR(SEARCH("error",L1517)))</formula>
    </cfRule>
  </conditionalFormatting>
  <conditionalFormatting sqref="K1534:K1535">
    <cfRule type="containsText" dxfId="317" priority="332" operator="containsText" text="error">
      <formula>NOT(ISERROR(SEARCH("error",K1534)))</formula>
    </cfRule>
  </conditionalFormatting>
  <conditionalFormatting sqref="L1532 L1534:L1535">
    <cfRule type="containsText" dxfId="316" priority="331" operator="containsText" text="error">
      <formula>NOT(ISERROR(SEARCH("error",L1532)))</formula>
    </cfRule>
  </conditionalFormatting>
  <conditionalFormatting sqref="L1536:L1557">
    <cfRule type="containsText" dxfId="315" priority="330" operator="containsText" text="error">
      <formula>NOT(ISERROR(SEARCH("error",L1536)))</formula>
    </cfRule>
  </conditionalFormatting>
  <conditionalFormatting sqref="L1558">
    <cfRule type="containsText" dxfId="314" priority="329" operator="containsText" text="error">
      <formula>NOT(ISERROR(SEARCH("error",L1558)))</formula>
    </cfRule>
  </conditionalFormatting>
  <conditionalFormatting sqref="K1575:K1576">
    <cfRule type="containsText" dxfId="313" priority="328" operator="containsText" text="error">
      <formula>NOT(ISERROR(SEARCH("error",K1575)))</formula>
    </cfRule>
  </conditionalFormatting>
  <conditionalFormatting sqref="L1573 L1575:L1576">
    <cfRule type="containsText" dxfId="312" priority="327" operator="containsText" text="error">
      <formula>NOT(ISERROR(SEARCH("error",L1573)))</formula>
    </cfRule>
  </conditionalFormatting>
  <conditionalFormatting sqref="L1577:L1598">
    <cfRule type="containsText" dxfId="311" priority="326" operator="containsText" text="error">
      <formula>NOT(ISERROR(SEARCH("error",L1577)))</formula>
    </cfRule>
  </conditionalFormatting>
  <conditionalFormatting sqref="L1599">
    <cfRule type="containsText" dxfId="310" priority="325" operator="containsText" text="error">
      <formula>NOT(ISERROR(SEARCH("error",L1599)))</formula>
    </cfRule>
  </conditionalFormatting>
  <conditionalFormatting sqref="K1616:K1617">
    <cfRule type="containsText" dxfId="309" priority="324" operator="containsText" text="error">
      <formula>NOT(ISERROR(SEARCH("error",K1616)))</formula>
    </cfRule>
  </conditionalFormatting>
  <conditionalFormatting sqref="L1614 L1616:L1617">
    <cfRule type="containsText" dxfId="308" priority="323" operator="containsText" text="error">
      <formula>NOT(ISERROR(SEARCH("error",L1614)))</formula>
    </cfRule>
  </conditionalFormatting>
  <conditionalFormatting sqref="L1618:L1639">
    <cfRule type="containsText" dxfId="307" priority="322" operator="containsText" text="error">
      <formula>NOT(ISERROR(SEARCH("error",L1618)))</formula>
    </cfRule>
  </conditionalFormatting>
  <conditionalFormatting sqref="L1640">
    <cfRule type="containsText" dxfId="306" priority="321" operator="containsText" text="error">
      <formula>NOT(ISERROR(SEARCH("error",L1640)))</formula>
    </cfRule>
  </conditionalFormatting>
  <conditionalFormatting sqref="K1657:K1658">
    <cfRule type="containsText" dxfId="305" priority="320" operator="containsText" text="error">
      <formula>NOT(ISERROR(SEARCH("error",K1657)))</formula>
    </cfRule>
  </conditionalFormatting>
  <conditionalFormatting sqref="L1655 L1657:L1658">
    <cfRule type="containsText" dxfId="304" priority="319" operator="containsText" text="error">
      <formula>NOT(ISERROR(SEARCH("error",L1655)))</formula>
    </cfRule>
  </conditionalFormatting>
  <conditionalFormatting sqref="L1659:L1680">
    <cfRule type="containsText" dxfId="303" priority="318" operator="containsText" text="error">
      <formula>NOT(ISERROR(SEARCH("error",L1659)))</formula>
    </cfRule>
  </conditionalFormatting>
  <conditionalFormatting sqref="L1681">
    <cfRule type="containsText" dxfId="302" priority="317" operator="containsText" text="error">
      <formula>NOT(ISERROR(SEARCH("error",L1681)))</formula>
    </cfRule>
  </conditionalFormatting>
  <conditionalFormatting sqref="K1698:K1699">
    <cfRule type="containsText" dxfId="301" priority="316" operator="containsText" text="error">
      <formula>NOT(ISERROR(SEARCH("error",K1698)))</formula>
    </cfRule>
  </conditionalFormatting>
  <conditionalFormatting sqref="L1696 L1698:L1699">
    <cfRule type="containsText" dxfId="300" priority="315" operator="containsText" text="error">
      <formula>NOT(ISERROR(SEARCH("error",L1696)))</formula>
    </cfRule>
  </conditionalFormatting>
  <conditionalFormatting sqref="L1700:L1721">
    <cfRule type="containsText" dxfId="299" priority="314" operator="containsText" text="error">
      <formula>NOT(ISERROR(SEARCH("error",L1700)))</formula>
    </cfRule>
  </conditionalFormatting>
  <conditionalFormatting sqref="L1722">
    <cfRule type="containsText" dxfId="298" priority="313" operator="containsText" text="error">
      <formula>NOT(ISERROR(SEARCH("error",L1722)))</formula>
    </cfRule>
  </conditionalFormatting>
  <conditionalFormatting sqref="K1739:K1740">
    <cfRule type="containsText" dxfId="297" priority="312" operator="containsText" text="error">
      <formula>NOT(ISERROR(SEARCH("error",K1739)))</formula>
    </cfRule>
  </conditionalFormatting>
  <conditionalFormatting sqref="L1737 L1739:L1740">
    <cfRule type="containsText" dxfId="296" priority="311" operator="containsText" text="error">
      <formula>NOT(ISERROR(SEARCH("error",L1737)))</formula>
    </cfRule>
  </conditionalFormatting>
  <conditionalFormatting sqref="L1741:L1762">
    <cfRule type="containsText" dxfId="295" priority="310" operator="containsText" text="error">
      <formula>NOT(ISERROR(SEARCH("error",L1741)))</formula>
    </cfRule>
  </conditionalFormatting>
  <conditionalFormatting sqref="L1763">
    <cfRule type="containsText" dxfId="294" priority="309" operator="containsText" text="error">
      <formula>NOT(ISERROR(SEARCH("error",L1763)))</formula>
    </cfRule>
  </conditionalFormatting>
  <conditionalFormatting sqref="K1780:K1781">
    <cfRule type="containsText" dxfId="293" priority="308" operator="containsText" text="error">
      <formula>NOT(ISERROR(SEARCH("error",K1780)))</formula>
    </cfRule>
  </conditionalFormatting>
  <conditionalFormatting sqref="L1778 L1780:L1781">
    <cfRule type="containsText" dxfId="292" priority="307" operator="containsText" text="error">
      <formula>NOT(ISERROR(SEARCH("error",L1778)))</formula>
    </cfRule>
  </conditionalFormatting>
  <conditionalFormatting sqref="L1782:L1803">
    <cfRule type="containsText" dxfId="291" priority="306" operator="containsText" text="error">
      <formula>NOT(ISERROR(SEARCH("error",L1782)))</formula>
    </cfRule>
  </conditionalFormatting>
  <conditionalFormatting sqref="L1804">
    <cfRule type="containsText" dxfId="290" priority="305" operator="containsText" text="error">
      <formula>NOT(ISERROR(SEARCH("error",L1804)))</formula>
    </cfRule>
  </conditionalFormatting>
  <conditionalFormatting sqref="K1821:K1822">
    <cfRule type="containsText" dxfId="289" priority="304" operator="containsText" text="error">
      <formula>NOT(ISERROR(SEARCH("error",K1821)))</formula>
    </cfRule>
  </conditionalFormatting>
  <conditionalFormatting sqref="L1819 L1821:L1822">
    <cfRule type="containsText" dxfId="288" priority="303" operator="containsText" text="error">
      <formula>NOT(ISERROR(SEARCH("error",L1819)))</formula>
    </cfRule>
  </conditionalFormatting>
  <conditionalFormatting sqref="L1823:L1844">
    <cfRule type="containsText" dxfId="287" priority="302" operator="containsText" text="error">
      <formula>NOT(ISERROR(SEARCH("error",L1823)))</formula>
    </cfRule>
  </conditionalFormatting>
  <conditionalFormatting sqref="L1845">
    <cfRule type="containsText" dxfId="286" priority="301" operator="containsText" text="error">
      <formula>NOT(ISERROR(SEARCH("error",L1845)))</formula>
    </cfRule>
  </conditionalFormatting>
  <conditionalFormatting sqref="K1862:K1863">
    <cfRule type="containsText" dxfId="285" priority="300" operator="containsText" text="error">
      <formula>NOT(ISERROR(SEARCH("error",K1862)))</formula>
    </cfRule>
  </conditionalFormatting>
  <conditionalFormatting sqref="L1860 L1862:L1863">
    <cfRule type="containsText" dxfId="284" priority="299" operator="containsText" text="error">
      <formula>NOT(ISERROR(SEARCH("error",L1860)))</formula>
    </cfRule>
  </conditionalFormatting>
  <conditionalFormatting sqref="L1864:L1885">
    <cfRule type="containsText" dxfId="283" priority="298" operator="containsText" text="error">
      <formula>NOT(ISERROR(SEARCH("error",L1864)))</formula>
    </cfRule>
  </conditionalFormatting>
  <conditionalFormatting sqref="L1886">
    <cfRule type="containsText" dxfId="282" priority="297" operator="containsText" text="error">
      <formula>NOT(ISERROR(SEARCH("error",L1886)))</formula>
    </cfRule>
  </conditionalFormatting>
  <conditionalFormatting sqref="K1903:K1904">
    <cfRule type="containsText" dxfId="281" priority="296" operator="containsText" text="error">
      <formula>NOT(ISERROR(SEARCH("error",K1903)))</formula>
    </cfRule>
  </conditionalFormatting>
  <conditionalFormatting sqref="L1901 L1903:L1904">
    <cfRule type="containsText" dxfId="280" priority="295" operator="containsText" text="error">
      <formula>NOT(ISERROR(SEARCH("error",L1901)))</formula>
    </cfRule>
  </conditionalFormatting>
  <conditionalFormatting sqref="L1905:L1926">
    <cfRule type="containsText" dxfId="279" priority="294" operator="containsText" text="error">
      <formula>NOT(ISERROR(SEARCH("error",L1905)))</formula>
    </cfRule>
  </conditionalFormatting>
  <conditionalFormatting sqref="L1927">
    <cfRule type="containsText" dxfId="278" priority="293" operator="containsText" text="error">
      <formula>NOT(ISERROR(SEARCH("error",L1927)))</formula>
    </cfRule>
  </conditionalFormatting>
  <conditionalFormatting sqref="K1944:K1945">
    <cfRule type="containsText" dxfId="277" priority="292" operator="containsText" text="error">
      <formula>NOT(ISERROR(SEARCH("error",K1944)))</formula>
    </cfRule>
  </conditionalFormatting>
  <conditionalFormatting sqref="L1942 L1944:L1945">
    <cfRule type="containsText" dxfId="276" priority="291" operator="containsText" text="error">
      <formula>NOT(ISERROR(SEARCH("error",L1942)))</formula>
    </cfRule>
  </conditionalFormatting>
  <conditionalFormatting sqref="L1946:L1967">
    <cfRule type="containsText" dxfId="275" priority="290" operator="containsText" text="error">
      <formula>NOT(ISERROR(SEARCH("error",L1946)))</formula>
    </cfRule>
  </conditionalFormatting>
  <conditionalFormatting sqref="L1968">
    <cfRule type="containsText" dxfId="274" priority="289" operator="containsText" text="error">
      <formula>NOT(ISERROR(SEARCH("error",L1968)))</formula>
    </cfRule>
  </conditionalFormatting>
  <conditionalFormatting sqref="K1985:K1986">
    <cfRule type="containsText" dxfId="273" priority="288" operator="containsText" text="error">
      <formula>NOT(ISERROR(SEARCH("error",K1985)))</formula>
    </cfRule>
  </conditionalFormatting>
  <conditionalFormatting sqref="L1983 L1985:L1986">
    <cfRule type="containsText" dxfId="272" priority="287" operator="containsText" text="error">
      <formula>NOT(ISERROR(SEARCH("error",L1983)))</formula>
    </cfRule>
  </conditionalFormatting>
  <conditionalFormatting sqref="L1987:L2008">
    <cfRule type="containsText" dxfId="271" priority="286" operator="containsText" text="error">
      <formula>NOT(ISERROR(SEARCH("error",L1987)))</formula>
    </cfRule>
  </conditionalFormatting>
  <conditionalFormatting sqref="L2009">
    <cfRule type="containsText" dxfId="270" priority="285" operator="containsText" text="error">
      <formula>NOT(ISERROR(SEARCH("error",L2009)))</formula>
    </cfRule>
  </conditionalFormatting>
  <conditionalFormatting sqref="K2026:K2027">
    <cfRule type="containsText" dxfId="269" priority="284" operator="containsText" text="error">
      <formula>NOT(ISERROR(SEARCH("error",K2026)))</formula>
    </cfRule>
  </conditionalFormatting>
  <conditionalFormatting sqref="L2024 L2026:L2027">
    <cfRule type="containsText" dxfId="268" priority="283" operator="containsText" text="error">
      <formula>NOT(ISERROR(SEARCH("error",L2024)))</formula>
    </cfRule>
  </conditionalFormatting>
  <conditionalFormatting sqref="L2028:L2049">
    <cfRule type="containsText" dxfId="267" priority="282" operator="containsText" text="error">
      <formula>NOT(ISERROR(SEARCH("error",L2028)))</formula>
    </cfRule>
  </conditionalFormatting>
  <conditionalFormatting sqref="L2050">
    <cfRule type="containsText" dxfId="266" priority="281" operator="containsText" text="error">
      <formula>NOT(ISERROR(SEARCH("error",L2050)))</formula>
    </cfRule>
  </conditionalFormatting>
  <conditionalFormatting sqref="J58:J82">
    <cfRule type="containsText" dxfId="265" priority="280" operator="containsText" text="error">
      <formula>NOT(ISERROR(SEARCH("error",J58)))</formula>
    </cfRule>
  </conditionalFormatting>
  <conditionalFormatting sqref="J58:J82">
    <cfRule type="cellIs" dxfId="264" priority="278" operator="lessThan">
      <formula>12</formula>
    </cfRule>
    <cfRule type="cellIs" dxfId="263" priority="279" operator="equal">
      <formula>"4,6,8"</formula>
    </cfRule>
  </conditionalFormatting>
  <conditionalFormatting sqref="J58">
    <cfRule type="expression" dxfId="262" priority="277">
      <formula>AND(C58="NO",E58&lt;12,C59="")</formula>
    </cfRule>
  </conditionalFormatting>
  <conditionalFormatting sqref="J99:J123">
    <cfRule type="containsText" dxfId="261" priority="276" operator="containsText" text="error">
      <formula>NOT(ISERROR(SEARCH("error",J99)))</formula>
    </cfRule>
  </conditionalFormatting>
  <conditionalFormatting sqref="J99:J123">
    <cfRule type="cellIs" dxfId="260" priority="274" operator="lessThan">
      <formula>12</formula>
    </cfRule>
    <cfRule type="cellIs" dxfId="259" priority="275" operator="equal">
      <formula>"4,6,8"</formula>
    </cfRule>
  </conditionalFormatting>
  <conditionalFormatting sqref="J99">
    <cfRule type="expression" dxfId="258" priority="273">
      <formula>AND(C99="NO",E99&lt;12,C100="")</formula>
    </cfRule>
  </conditionalFormatting>
  <conditionalFormatting sqref="J140:J164">
    <cfRule type="containsText" dxfId="257" priority="272" operator="containsText" text="error">
      <formula>NOT(ISERROR(SEARCH("error",J140)))</formula>
    </cfRule>
  </conditionalFormatting>
  <conditionalFormatting sqref="J140:J164">
    <cfRule type="cellIs" dxfId="256" priority="270" operator="lessThan">
      <formula>12</formula>
    </cfRule>
    <cfRule type="cellIs" dxfId="255" priority="271" operator="equal">
      <formula>"4,6,8"</formula>
    </cfRule>
  </conditionalFormatting>
  <conditionalFormatting sqref="J140">
    <cfRule type="expression" dxfId="254" priority="269">
      <formula>AND(C140="NO",E140&lt;12,C141="")</formula>
    </cfRule>
  </conditionalFormatting>
  <conditionalFormatting sqref="J181:J205">
    <cfRule type="containsText" dxfId="253" priority="268" operator="containsText" text="error">
      <formula>NOT(ISERROR(SEARCH("error",J181)))</formula>
    </cfRule>
  </conditionalFormatting>
  <conditionalFormatting sqref="J181:J205">
    <cfRule type="cellIs" dxfId="252" priority="266" operator="lessThan">
      <formula>12</formula>
    </cfRule>
    <cfRule type="cellIs" dxfId="251" priority="267" operator="equal">
      <formula>"4,6,8"</formula>
    </cfRule>
  </conditionalFormatting>
  <conditionalFormatting sqref="J181">
    <cfRule type="expression" dxfId="250" priority="265">
      <formula>AND(C181="NO",E181&lt;12,C182="")</formula>
    </cfRule>
  </conditionalFormatting>
  <conditionalFormatting sqref="J222:J246">
    <cfRule type="containsText" dxfId="249" priority="264" operator="containsText" text="error">
      <formula>NOT(ISERROR(SEARCH("error",J222)))</formula>
    </cfRule>
  </conditionalFormatting>
  <conditionalFormatting sqref="J222:J246">
    <cfRule type="cellIs" dxfId="248" priority="262" operator="lessThan">
      <formula>12</formula>
    </cfRule>
    <cfRule type="cellIs" dxfId="247" priority="263" operator="equal">
      <formula>"4,6,8"</formula>
    </cfRule>
  </conditionalFormatting>
  <conditionalFormatting sqref="J222">
    <cfRule type="expression" dxfId="246" priority="261">
      <formula>AND(C222="NO",E222&lt;12,C223="")</formula>
    </cfRule>
  </conditionalFormatting>
  <conditionalFormatting sqref="J263:J287">
    <cfRule type="containsText" dxfId="245" priority="260" operator="containsText" text="error">
      <formula>NOT(ISERROR(SEARCH("error",J263)))</formula>
    </cfRule>
  </conditionalFormatting>
  <conditionalFormatting sqref="J263:J287">
    <cfRule type="cellIs" dxfId="244" priority="258" operator="lessThan">
      <formula>12</formula>
    </cfRule>
    <cfRule type="cellIs" dxfId="243" priority="259" operator="equal">
      <formula>"4,6,8"</formula>
    </cfRule>
  </conditionalFormatting>
  <conditionalFormatting sqref="J263">
    <cfRule type="expression" dxfId="242" priority="257">
      <formula>AND(C263="NO",E263&lt;12,C264="")</formula>
    </cfRule>
  </conditionalFormatting>
  <conditionalFormatting sqref="J304:J328">
    <cfRule type="containsText" dxfId="241" priority="256" operator="containsText" text="error">
      <formula>NOT(ISERROR(SEARCH("error",J304)))</formula>
    </cfRule>
  </conditionalFormatting>
  <conditionalFormatting sqref="J304:J328">
    <cfRule type="cellIs" dxfId="240" priority="254" operator="lessThan">
      <formula>12</formula>
    </cfRule>
    <cfRule type="cellIs" dxfId="239" priority="255" operator="equal">
      <formula>"4,6,8"</formula>
    </cfRule>
  </conditionalFormatting>
  <conditionalFormatting sqref="J304">
    <cfRule type="expression" dxfId="238" priority="253">
      <formula>AND(C304="NO",E304&lt;12,C305="")</formula>
    </cfRule>
  </conditionalFormatting>
  <conditionalFormatting sqref="J345:J369">
    <cfRule type="containsText" dxfId="237" priority="252" operator="containsText" text="error">
      <formula>NOT(ISERROR(SEARCH("error",J345)))</formula>
    </cfRule>
  </conditionalFormatting>
  <conditionalFormatting sqref="J345:J369">
    <cfRule type="cellIs" dxfId="236" priority="250" operator="lessThan">
      <formula>12</formula>
    </cfRule>
    <cfRule type="cellIs" dxfId="235" priority="251" operator="equal">
      <formula>"4,6,8"</formula>
    </cfRule>
  </conditionalFormatting>
  <conditionalFormatting sqref="J345">
    <cfRule type="expression" dxfId="234" priority="249">
      <formula>AND(C345="NO",E345&lt;12,C346="")</formula>
    </cfRule>
  </conditionalFormatting>
  <conditionalFormatting sqref="J386:J410">
    <cfRule type="containsText" dxfId="233" priority="248" operator="containsText" text="error">
      <formula>NOT(ISERROR(SEARCH("error",J386)))</formula>
    </cfRule>
  </conditionalFormatting>
  <conditionalFormatting sqref="J386:J410">
    <cfRule type="cellIs" dxfId="232" priority="246" operator="lessThan">
      <formula>12</formula>
    </cfRule>
    <cfRule type="cellIs" dxfId="231" priority="247" operator="equal">
      <formula>"4,6,8"</formula>
    </cfRule>
  </conditionalFormatting>
  <conditionalFormatting sqref="J386">
    <cfRule type="expression" dxfId="230" priority="245">
      <formula>AND(C386="NO",E386&lt;12,C387="")</formula>
    </cfRule>
  </conditionalFormatting>
  <conditionalFormatting sqref="J427:J451">
    <cfRule type="containsText" dxfId="229" priority="244" operator="containsText" text="error">
      <formula>NOT(ISERROR(SEARCH("error",J427)))</formula>
    </cfRule>
  </conditionalFormatting>
  <conditionalFormatting sqref="J427:J451">
    <cfRule type="cellIs" dxfId="228" priority="242" operator="lessThan">
      <formula>12</formula>
    </cfRule>
    <cfRule type="cellIs" dxfId="227" priority="243" operator="equal">
      <formula>"4,6,8"</formula>
    </cfRule>
  </conditionalFormatting>
  <conditionalFormatting sqref="J427">
    <cfRule type="expression" dxfId="226" priority="241">
      <formula>AND(C427="NO",E427&lt;12,C428="")</formula>
    </cfRule>
  </conditionalFormatting>
  <conditionalFormatting sqref="J468:J492">
    <cfRule type="containsText" dxfId="225" priority="240" operator="containsText" text="error">
      <formula>NOT(ISERROR(SEARCH("error",J468)))</formula>
    </cfRule>
  </conditionalFormatting>
  <conditionalFormatting sqref="J468:J492">
    <cfRule type="cellIs" dxfId="224" priority="238" operator="lessThan">
      <formula>12</formula>
    </cfRule>
    <cfRule type="cellIs" dxfId="223" priority="239" operator="equal">
      <formula>"4,6,8"</formula>
    </cfRule>
  </conditionalFormatting>
  <conditionalFormatting sqref="J468">
    <cfRule type="expression" dxfId="222" priority="237">
      <formula>AND(C468="NO",E468&lt;12,C469="")</formula>
    </cfRule>
  </conditionalFormatting>
  <conditionalFormatting sqref="J509:J533">
    <cfRule type="containsText" dxfId="221" priority="236" operator="containsText" text="error">
      <formula>NOT(ISERROR(SEARCH("error",J509)))</formula>
    </cfRule>
  </conditionalFormatting>
  <conditionalFormatting sqref="J509:J533">
    <cfRule type="cellIs" dxfId="220" priority="234" operator="lessThan">
      <formula>12</formula>
    </cfRule>
    <cfRule type="cellIs" dxfId="219" priority="235" operator="equal">
      <formula>"4,6,8"</formula>
    </cfRule>
  </conditionalFormatting>
  <conditionalFormatting sqref="J509">
    <cfRule type="expression" dxfId="218" priority="233">
      <formula>AND(C509="NO",E509&lt;12,C510="")</formula>
    </cfRule>
  </conditionalFormatting>
  <conditionalFormatting sqref="J550:J574">
    <cfRule type="containsText" dxfId="217" priority="232" operator="containsText" text="error">
      <formula>NOT(ISERROR(SEARCH("error",J550)))</formula>
    </cfRule>
  </conditionalFormatting>
  <conditionalFormatting sqref="J550:J574">
    <cfRule type="cellIs" dxfId="216" priority="230" operator="lessThan">
      <formula>12</formula>
    </cfRule>
    <cfRule type="cellIs" dxfId="215" priority="231" operator="equal">
      <formula>"4,6,8"</formula>
    </cfRule>
  </conditionalFormatting>
  <conditionalFormatting sqref="J550">
    <cfRule type="expression" dxfId="214" priority="229">
      <formula>AND(C550="NO",E550&lt;12,C551="")</formula>
    </cfRule>
  </conditionalFormatting>
  <conditionalFormatting sqref="J591:J615">
    <cfRule type="containsText" dxfId="213" priority="228" operator="containsText" text="error">
      <formula>NOT(ISERROR(SEARCH("error",J591)))</formula>
    </cfRule>
  </conditionalFormatting>
  <conditionalFormatting sqref="J591:J615">
    <cfRule type="cellIs" dxfId="212" priority="226" operator="lessThan">
      <formula>12</formula>
    </cfRule>
    <cfRule type="cellIs" dxfId="211" priority="227" operator="equal">
      <formula>"4,6,8"</formula>
    </cfRule>
  </conditionalFormatting>
  <conditionalFormatting sqref="J591">
    <cfRule type="expression" dxfId="210" priority="225">
      <formula>AND(C591="NO",E591&lt;12,C592="")</formula>
    </cfRule>
  </conditionalFormatting>
  <conditionalFormatting sqref="J632:J656">
    <cfRule type="containsText" dxfId="209" priority="224" operator="containsText" text="error">
      <formula>NOT(ISERROR(SEARCH("error",J632)))</formula>
    </cfRule>
  </conditionalFormatting>
  <conditionalFormatting sqref="J632:J656">
    <cfRule type="cellIs" dxfId="208" priority="222" operator="lessThan">
      <formula>12</formula>
    </cfRule>
    <cfRule type="cellIs" dxfId="207" priority="223" operator="equal">
      <formula>"4,6,8"</formula>
    </cfRule>
  </conditionalFormatting>
  <conditionalFormatting sqref="J632">
    <cfRule type="expression" dxfId="206" priority="221">
      <formula>AND(C632="NO",E632&lt;12,C633="")</formula>
    </cfRule>
  </conditionalFormatting>
  <conditionalFormatting sqref="J673:J697">
    <cfRule type="containsText" dxfId="205" priority="220" operator="containsText" text="error">
      <formula>NOT(ISERROR(SEARCH("error",J673)))</formula>
    </cfRule>
  </conditionalFormatting>
  <conditionalFormatting sqref="J673:J697">
    <cfRule type="cellIs" dxfId="204" priority="218" operator="lessThan">
      <formula>12</formula>
    </cfRule>
    <cfRule type="cellIs" dxfId="203" priority="219" operator="equal">
      <formula>"4,6,8"</formula>
    </cfRule>
  </conditionalFormatting>
  <conditionalFormatting sqref="J673">
    <cfRule type="expression" dxfId="202" priority="217">
      <formula>AND(C673="NO",E673&lt;12,C674="")</formula>
    </cfRule>
  </conditionalFormatting>
  <conditionalFormatting sqref="J714:J738">
    <cfRule type="containsText" dxfId="201" priority="216" operator="containsText" text="error">
      <formula>NOT(ISERROR(SEARCH("error",J714)))</formula>
    </cfRule>
  </conditionalFormatting>
  <conditionalFormatting sqref="J714:J738">
    <cfRule type="cellIs" dxfId="200" priority="214" operator="lessThan">
      <formula>12</formula>
    </cfRule>
    <cfRule type="cellIs" dxfId="199" priority="215" operator="equal">
      <formula>"4,6,8"</formula>
    </cfRule>
  </conditionalFormatting>
  <conditionalFormatting sqref="J714">
    <cfRule type="expression" dxfId="198" priority="213">
      <formula>AND(C714="NO",E714&lt;12,C715="")</formula>
    </cfRule>
  </conditionalFormatting>
  <conditionalFormatting sqref="J755:J779">
    <cfRule type="containsText" dxfId="197" priority="212" operator="containsText" text="error">
      <formula>NOT(ISERROR(SEARCH("error",J755)))</formula>
    </cfRule>
  </conditionalFormatting>
  <conditionalFormatting sqref="J755:J779">
    <cfRule type="cellIs" dxfId="196" priority="210" operator="lessThan">
      <formula>12</formula>
    </cfRule>
    <cfRule type="cellIs" dxfId="195" priority="211" operator="equal">
      <formula>"4,6,8"</formula>
    </cfRule>
  </conditionalFormatting>
  <conditionalFormatting sqref="J755">
    <cfRule type="expression" dxfId="194" priority="209">
      <formula>AND(C755="NO",E755&lt;12,C756="")</formula>
    </cfRule>
  </conditionalFormatting>
  <conditionalFormatting sqref="J796:J820">
    <cfRule type="containsText" dxfId="193" priority="208" operator="containsText" text="error">
      <formula>NOT(ISERROR(SEARCH("error",J796)))</formula>
    </cfRule>
  </conditionalFormatting>
  <conditionalFormatting sqref="J796:J820">
    <cfRule type="cellIs" dxfId="192" priority="206" operator="lessThan">
      <formula>12</formula>
    </cfRule>
    <cfRule type="cellIs" dxfId="191" priority="207" operator="equal">
      <formula>"4,6,8"</formula>
    </cfRule>
  </conditionalFormatting>
  <conditionalFormatting sqref="J796">
    <cfRule type="expression" dxfId="190" priority="205">
      <formula>AND(C796="NO",E796&lt;12,C797="")</formula>
    </cfRule>
  </conditionalFormatting>
  <conditionalFormatting sqref="J837:J861">
    <cfRule type="containsText" dxfId="189" priority="204" operator="containsText" text="error">
      <formula>NOT(ISERROR(SEARCH("error",J837)))</formula>
    </cfRule>
  </conditionalFormatting>
  <conditionalFormatting sqref="J837:J861">
    <cfRule type="cellIs" dxfId="188" priority="202" operator="lessThan">
      <formula>12</formula>
    </cfRule>
    <cfRule type="cellIs" dxfId="187" priority="203" operator="equal">
      <formula>"4,6,8"</formula>
    </cfRule>
  </conditionalFormatting>
  <conditionalFormatting sqref="J837">
    <cfRule type="expression" dxfId="186" priority="201">
      <formula>AND(C837="NO",E837&lt;12,C838="")</formula>
    </cfRule>
  </conditionalFormatting>
  <conditionalFormatting sqref="J878:J902">
    <cfRule type="containsText" dxfId="185" priority="200" operator="containsText" text="error">
      <formula>NOT(ISERROR(SEARCH("error",J878)))</formula>
    </cfRule>
  </conditionalFormatting>
  <conditionalFormatting sqref="J878:J902">
    <cfRule type="cellIs" dxfId="184" priority="198" operator="lessThan">
      <formula>12</formula>
    </cfRule>
    <cfRule type="cellIs" dxfId="183" priority="199" operator="equal">
      <formula>"4,6,8"</formula>
    </cfRule>
  </conditionalFormatting>
  <conditionalFormatting sqref="J878">
    <cfRule type="expression" dxfId="182" priority="197">
      <formula>AND(C878="NO",E878&lt;12,C879="")</formula>
    </cfRule>
  </conditionalFormatting>
  <conditionalFormatting sqref="J919:J943">
    <cfRule type="containsText" dxfId="181" priority="196" operator="containsText" text="error">
      <formula>NOT(ISERROR(SEARCH("error",J919)))</formula>
    </cfRule>
  </conditionalFormatting>
  <conditionalFormatting sqref="J919:J943">
    <cfRule type="cellIs" dxfId="180" priority="194" operator="lessThan">
      <formula>12</formula>
    </cfRule>
    <cfRule type="cellIs" dxfId="179" priority="195" operator="equal">
      <formula>"4,6,8"</formula>
    </cfRule>
  </conditionalFormatting>
  <conditionalFormatting sqref="J919">
    <cfRule type="expression" dxfId="178" priority="193">
      <formula>AND(C919="NO",E919&lt;12,C920="")</formula>
    </cfRule>
  </conditionalFormatting>
  <conditionalFormatting sqref="J960:J984">
    <cfRule type="containsText" dxfId="177" priority="192" operator="containsText" text="error">
      <formula>NOT(ISERROR(SEARCH("error",J960)))</formula>
    </cfRule>
  </conditionalFormatting>
  <conditionalFormatting sqref="J960:J984">
    <cfRule type="cellIs" dxfId="176" priority="190" operator="lessThan">
      <formula>12</formula>
    </cfRule>
    <cfRule type="cellIs" dxfId="175" priority="191" operator="equal">
      <formula>"4,6,8"</formula>
    </cfRule>
  </conditionalFormatting>
  <conditionalFormatting sqref="J960">
    <cfRule type="expression" dxfId="174" priority="189">
      <formula>AND(C960="NO",E960&lt;12,C961="")</formula>
    </cfRule>
  </conditionalFormatting>
  <conditionalFormatting sqref="J1001:J1025">
    <cfRule type="containsText" dxfId="173" priority="188" operator="containsText" text="error">
      <formula>NOT(ISERROR(SEARCH("error",J1001)))</formula>
    </cfRule>
  </conditionalFormatting>
  <conditionalFormatting sqref="J1001:J1025">
    <cfRule type="cellIs" dxfId="172" priority="186" operator="lessThan">
      <formula>12</formula>
    </cfRule>
    <cfRule type="cellIs" dxfId="171" priority="187" operator="equal">
      <formula>"4,6,8"</formula>
    </cfRule>
  </conditionalFormatting>
  <conditionalFormatting sqref="J1001">
    <cfRule type="expression" dxfId="170" priority="185">
      <formula>AND(C1001="NO",E1001&lt;12,C1002="")</formula>
    </cfRule>
  </conditionalFormatting>
  <conditionalFormatting sqref="J1042:J1066">
    <cfRule type="containsText" dxfId="169" priority="184" operator="containsText" text="error">
      <formula>NOT(ISERROR(SEARCH("error",J1042)))</formula>
    </cfRule>
  </conditionalFormatting>
  <conditionalFormatting sqref="J1042:J1066">
    <cfRule type="cellIs" dxfId="168" priority="182" operator="lessThan">
      <formula>12</formula>
    </cfRule>
    <cfRule type="cellIs" dxfId="167" priority="183" operator="equal">
      <formula>"4,6,8"</formula>
    </cfRule>
  </conditionalFormatting>
  <conditionalFormatting sqref="J1042">
    <cfRule type="expression" dxfId="166" priority="181">
      <formula>AND(C1042="NO",E1042&lt;12,C1043="")</formula>
    </cfRule>
  </conditionalFormatting>
  <conditionalFormatting sqref="J1083:J1107">
    <cfRule type="containsText" dxfId="165" priority="180" operator="containsText" text="error">
      <formula>NOT(ISERROR(SEARCH("error",J1083)))</formula>
    </cfRule>
  </conditionalFormatting>
  <conditionalFormatting sqref="J1083:J1107">
    <cfRule type="cellIs" dxfId="164" priority="178" operator="lessThan">
      <formula>12</formula>
    </cfRule>
    <cfRule type="cellIs" dxfId="163" priority="179" operator="equal">
      <formula>"4,6,8"</formula>
    </cfRule>
  </conditionalFormatting>
  <conditionalFormatting sqref="J1083">
    <cfRule type="expression" dxfId="162" priority="177">
      <formula>AND(C1083="NO",E1083&lt;12,C1084="")</formula>
    </cfRule>
  </conditionalFormatting>
  <conditionalFormatting sqref="J1124:J1148">
    <cfRule type="containsText" dxfId="161" priority="176" operator="containsText" text="error">
      <formula>NOT(ISERROR(SEARCH("error",J1124)))</formula>
    </cfRule>
  </conditionalFormatting>
  <conditionalFormatting sqref="J1124:J1148">
    <cfRule type="cellIs" dxfId="160" priority="174" operator="lessThan">
      <formula>12</formula>
    </cfRule>
    <cfRule type="cellIs" dxfId="159" priority="175" operator="equal">
      <formula>"4,6,8"</formula>
    </cfRule>
  </conditionalFormatting>
  <conditionalFormatting sqref="J1124">
    <cfRule type="expression" dxfId="158" priority="173">
      <formula>AND(C1124="NO",E1124&lt;12,C1125="")</formula>
    </cfRule>
  </conditionalFormatting>
  <conditionalFormatting sqref="J1165:J1189">
    <cfRule type="containsText" dxfId="157" priority="172" operator="containsText" text="error">
      <formula>NOT(ISERROR(SEARCH("error",J1165)))</formula>
    </cfRule>
  </conditionalFormatting>
  <conditionalFormatting sqref="J1165:J1189">
    <cfRule type="cellIs" dxfId="156" priority="170" operator="lessThan">
      <formula>12</formula>
    </cfRule>
    <cfRule type="cellIs" dxfId="155" priority="171" operator="equal">
      <formula>"4,6,8"</formula>
    </cfRule>
  </conditionalFormatting>
  <conditionalFormatting sqref="J1165">
    <cfRule type="expression" dxfId="154" priority="169">
      <formula>AND(C1165="NO",E1165&lt;12,C1166="")</formula>
    </cfRule>
  </conditionalFormatting>
  <conditionalFormatting sqref="J1206:J1230">
    <cfRule type="containsText" dxfId="153" priority="168" operator="containsText" text="error">
      <formula>NOT(ISERROR(SEARCH("error",J1206)))</formula>
    </cfRule>
  </conditionalFormatting>
  <conditionalFormatting sqref="J1206:J1230">
    <cfRule type="cellIs" dxfId="152" priority="166" operator="lessThan">
      <formula>12</formula>
    </cfRule>
    <cfRule type="cellIs" dxfId="151" priority="167" operator="equal">
      <formula>"4,6,8"</formula>
    </cfRule>
  </conditionalFormatting>
  <conditionalFormatting sqref="J1206">
    <cfRule type="expression" dxfId="150" priority="165">
      <formula>AND(C1206="NO",E1206&lt;12,C1207="")</formula>
    </cfRule>
  </conditionalFormatting>
  <conditionalFormatting sqref="J1247:J1271">
    <cfRule type="containsText" dxfId="149" priority="164" operator="containsText" text="error">
      <formula>NOT(ISERROR(SEARCH("error",J1247)))</formula>
    </cfRule>
  </conditionalFormatting>
  <conditionalFormatting sqref="J1247:J1271">
    <cfRule type="cellIs" dxfId="148" priority="162" operator="lessThan">
      <formula>12</formula>
    </cfRule>
    <cfRule type="cellIs" dxfId="147" priority="163" operator="equal">
      <formula>"4,6,8"</formula>
    </cfRule>
  </conditionalFormatting>
  <conditionalFormatting sqref="J1247">
    <cfRule type="expression" dxfId="146" priority="161">
      <formula>AND(C1247="NO",E1247&lt;12,C1248="")</formula>
    </cfRule>
  </conditionalFormatting>
  <conditionalFormatting sqref="J1288:J1312">
    <cfRule type="containsText" dxfId="145" priority="160" operator="containsText" text="error">
      <formula>NOT(ISERROR(SEARCH("error",J1288)))</formula>
    </cfRule>
  </conditionalFormatting>
  <conditionalFormatting sqref="J1288:J1312">
    <cfRule type="cellIs" dxfId="144" priority="158" operator="lessThan">
      <formula>12</formula>
    </cfRule>
    <cfRule type="cellIs" dxfId="143" priority="159" operator="equal">
      <formula>"4,6,8"</formula>
    </cfRule>
  </conditionalFormatting>
  <conditionalFormatting sqref="J1288">
    <cfRule type="expression" dxfId="142" priority="157">
      <formula>AND(C1288="NO",E1288&lt;12,C1289="")</formula>
    </cfRule>
  </conditionalFormatting>
  <conditionalFormatting sqref="J1329:J1353">
    <cfRule type="containsText" dxfId="141" priority="156" operator="containsText" text="error">
      <formula>NOT(ISERROR(SEARCH("error",J1329)))</formula>
    </cfRule>
  </conditionalFormatting>
  <conditionalFormatting sqref="J1329:J1353">
    <cfRule type="cellIs" dxfId="140" priority="154" operator="lessThan">
      <formula>12</formula>
    </cfRule>
    <cfRule type="cellIs" dxfId="139" priority="155" operator="equal">
      <formula>"4,6,8"</formula>
    </cfRule>
  </conditionalFormatting>
  <conditionalFormatting sqref="J1329">
    <cfRule type="expression" dxfId="138" priority="153">
      <formula>AND(C1329="NO",E1329&lt;12,C1330="")</formula>
    </cfRule>
  </conditionalFormatting>
  <conditionalFormatting sqref="J1370:J1394">
    <cfRule type="containsText" dxfId="137" priority="152" operator="containsText" text="error">
      <formula>NOT(ISERROR(SEARCH("error",J1370)))</formula>
    </cfRule>
  </conditionalFormatting>
  <conditionalFormatting sqref="J1370:J1394">
    <cfRule type="cellIs" dxfId="136" priority="150" operator="lessThan">
      <formula>12</formula>
    </cfRule>
    <cfRule type="cellIs" dxfId="135" priority="151" operator="equal">
      <formula>"4,6,8"</formula>
    </cfRule>
  </conditionalFormatting>
  <conditionalFormatting sqref="J1370">
    <cfRule type="expression" dxfId="134" priority="149">
      <formula>AND(C1370="NO",E1370&lt;12,C1371="")</formula>
    </cfRule>
  </conditionalFormatting>
  <conditionalFormatting sqref="J1411:J1435">
    <cfRule type="containsText" dxfId="133" priority="148" operator="containsText" text="error">
      <formula>NOT(ISERROR(SEARCH("error",J1411)))</formula>
    </cfRule>
  </conditionalFormatting>
  <conditionalFormatting sqref="J1411:J1435">
    <cfRule type="cellIs" dxfId="132" priority="146" operator="lessThan">
      <formula>12</formula>
    </cfRule>
    <cfRule type="cellIs" dxfId="131" priority="147" operator="equal">
      <formula>"4,6,8"</formula>
    </cfRule>
  </conditionalFormatting>
  <conditionalFormatting sqref="J1411">
    <cfRule type="expression" dxfId="130" priority="145">
      <formula>AND(C1411="NO",E1411&lt;12,C1412="")</formula>
    </cfRule>
  </conditionalFormatting>
  <conditionalFormatting sqref="J1452:J1476">
    <cfRule type="containsText" dxfId="129" priority="144" operator="containsText" text="error">
      <formula>NOT(ISERROR(SEARCH("error",J1452)))</formula>
    </cfRule>
  </conditionalFormatting>
  <conditionalFormatting sqref="J1452:J1476">
    <cfRule type="cellIs" dxfId="128" priority="142" operator="lessThan">
      <formula>12</formula>
    </cfRule>
    <cfRule type="cellIs" dxfId="127" priority="143" operator="equal">
      <formula>"4,6,8"</formula>
    </cfRule>
  </conditionalFormatting>
  <conditionalFormatting sqref="J1452">
    <cfRule type="expression" dxfId="126" priority="141">
      <formula>AND(C1452="NO",E1452&lt;12,C1453="")</formula>
    </cfRule>
  </conditionalFormatting>
  <conditionalFormatting sqref="J1493:J1517">
    <cfRule type="containsText" dxfId="125" priority="140" operator="containsText" text="error">
      <formula>NOT(ISERROR(SEARCH("error",J1493)))</formula>
    </cfRule>
  </conditionalFormatting>
  <conditionalFormatting sqref="J1493:J1517">
    <cfRule type="cellIs" dxfId="124" priority="138" operator="lessThan">
      <formula>12</formula>
    </cfRule>
    <cfRule type="cellIs" dxfId="123" priority="139" operator="equal">
      <formula>"4,6,8"</formula>
    </cfRule>
  </conditionalFormatting>
  <conditionalFormatting sqref="J1493">
    <cfRule type="expression" dxfId="122" priority="137">
      <formula>AND(C1493="NO",E1493&lt;12,C1494="")</formula>
    </cfRule>
  </conditionalFormatting>
  <conditionalFormatting sqref="J1534:J1558">
    <cfRule type="containsText" dxfId="121" priority="136" operator="containsText" text="error">
      <formula>NOT(ISERROR(SEARCH("error",J1534)))</formula>
    </cfRule>
  </conditionalFormatting>
  <conditionalFormatting sqref="J1534:J1558">
    <cfRule type="cellIs" dxfId="120" priority="134" operator="lessThan">
      <formula>12</formula>
    </cfRule>
    <cfRule type="cellIs" dxfId="119" priority="135" operator="equal">
      <formula>"4,6,8"</formula>
    </cfRule>
  </conditionalFormatting>
  <conditionalFormatting sqref="J1534">
    <cfRule type="expression" dxfId="118" priority="133">
      <formula>AND(C1534="NO",E1534&lt;12,C1535="")</formula>
    </cfRule>
  </conditionalFormatting>
  <conditionalFormatting sqref="J1575:J1599">
    <cfRule type="containsText" dxfId="117" priority="132" operator="containsText" text="error">
      <formula>NOT(ISERROR(SEARCH("error",J1575)))</formula>
    </cfRule>
  </conditionalFormatting>
  <conditionalFormatting sqref="J1575:J1599">
    <cfRule type="cellIs" dxfId="116" priority="130" operator="lessThan">
      <formula>12</formula>
    </cfRule>
    <cfRule type="cellIs" dxfId="115" priority="131" operator="equal">
      <formula>"4,6,8"</formula>
    </cfRule>
  </conditionalFormatting>
  <conditionalFormatting sqref="J1575">
    <cfRule type="expression" dxfId="114" priority="129">
      <formula>AND(C1575="NO",E1575&lt;12,C1576="")</formula>
    </cfRule>
  </conditionalFormatting>
  <conditionalFormatting sqref="J1616:J1640">
    <cfRule type="containsText" dxfId="113" priority="128" operator="containsText" text="error">
      <formula>NOT(ISERROR(SEARCH("error",J1616)))</formula>
    </cfRule>
  </conditionalFormatting>
  <conditionalFormatting sqref="J1616:J1640">
    <cfRule type="cellIs" dxfId="112" priority="126" operator="lessThan">
      <formula>12</formula>
    </cfRule>
    <cfRule type="cellIs" dxfId="111" priority="127" operator="equal">
      <formula>"4,6,8"</formula>
    </cfRule>
  </conditionalFormatting>
  <conditionalFormatting sqref="J1616">
    <cfRule type="expression" dxfId="110" priority="125">
      <formula>AND(C1616="NO",E1616&lt;12,C1617="")</formula>
    </cfRule>
  </conditionalFormatting>
  <conditionalFormatting sqref="J1657:J1681">
    <cfRule type="containsText" dxfId="109" priority="124" operator="containsText" text="error">
      <formula>NOT(ISERROR(SEARCH("error",J1657)))</formula>
    </cfRule>
  </conditionalFormatting>
  <conditionalFormatting sqref="J1657:J1681">
    <cfRule type="cellIs" dxfId="108" priority="122" operator="lessThan">
      <formula>12</formula>
    </cfRule>
    <cfRule type="cellIs" dxfId="107" priority="123" operator="equal">
      <formula>"4,6,8"</formula>
    </cfRule>
  </conditionalFormatting>
  <conditionalFormatting sqref="J1657">
    <cfRule type="expression" dxfId="106" priority="121">
      <formula>AND(C1657="NO",E1657&lt;12,C1658="")</formula>
    </cfRule>
  </conditionalFormatting>
  <conditionalFormatting sqref="J1698:J1722">
    <cfRule type="containsText" dxfId="105" priority="120" operator="containsText" text="error">
      <formula>NOT(ISERROR(SEARCH("error",J1698)))</formula>
    </cfRule>
  </conditionalFormatting>
  <conditionalFormatting sqref="J1698:J1722">
    <cfRule type="cellIs" dxfId="104" priority="118" operator="lessThan">
      <formula>12</formula>
    </cfRule>
    <cfRule type="cellIs" dxfId="103" priority="119" operator="equal">
      <formula>"4,6,8"</formula>
    </cfRule>
  </conditionalFormatting>
  <conditionalFormatting sqref="J1698">
    <cfRule type="expression" dxfId="102" priority="117">
      <formula>AND(C1698="NO",E1698&lt;12,C1699="")</formula>
    </cfRule>
  </conditionalFormatting>
  <conditionalFormatting sqref="J1739:J1763">
    <cfRule type="containsText" dxfId="101" priority="116" operator="containsText" text="error">
      <formula>NOT(ISERROR(SEARCH("error",J1739)))</formula>
    </cfRule>
  </conditionalFormatting>
  <conditionalFormatting sqref="J1739:J1763">
    <cfRule type="cellIs" dxfId="100" priority="114" operator="lessThan">
      <formula>12</formula>
    </cfRule>
    <cfRule type="cellIs" dxfId="99" priority="115" operator="equal">
      <formula>"4,6,8"</formula>
    </cfRule>
  </conditionalFormatting>
  <conditionalFormatting sqref="J1739">
    <cfRule type="expression" dxfId="98" priority="113">
      <formula>AND(C1739="NO",E1739&lt;12,C1740="")</formula>
    </cfRule>
  </conditionalFormatting>
  <conditionalFormatting sqref="J1780:J1804">
    <cfRule type="containsText" dxfId="97" priority="112" operator="containsText" text="error">
      <formula>NOT(ISERROR(SEARCH("error",J1780)))</formula>
    </cfRule>
  </conditionalFormatting>
  <conditionalFormatting sqref="J1780:J1804">
    <cfRule type="cellIs" dxfId="96" priority="110" operator="lessThan">
      <formula>12</formula>
    </cfRule>
    <cfRule type="cellIs" dxfId="95" priority="111" operator="equal">
      <formula>"4,6,8"</formula>
    </cfRule>
  </conditionalFormatting>
  <conditionalFormatting sqref="J1780">
    <cfRule type="expression" dxfId="94" priority="109">
      <formula>AND(C1780="NO",E1780&lt;12,C1781="")</formula>
    </cfRule>
  </conditionalFormatting>
  <conditionalFormatting sqref="J1821:J1845">
    <cfRule type="containsText" dxfId="93" priority="108" operator="containsText" text="error">
      <formula>NOT(ISERROR(SEARCH("error",J1821)))</formula>
    </cfRule>
  </conditionalFormatting>
  <conditionalFormatting sqref="J1821:J1845">
    <cfRule type="cellIs" dxfId="92" priority="106" operator="lessThan">
      <formula>12</formula>
    </cfRule>
    <cfRule type="cellIs" dxfId="91" priority="107" operator="equal">
      <formula>"4,6,8"</formula>
    </cfRule>
  </conditionalFormatting>
  <conditionalFormatting sqref="J1821">
    <cfRule type="expression" dxfId="90" priority="105">
      <formula>AND(C1821="NO",E1821&lt;12,C1822="")</formula>
    </cfRule>
  </conditionalFormatting>
  <conditionalFormatting sqref="J1862:J1886">
    <cfRule type="containsText" dxfId="89" priority="104" operator="containsText" text="error">
      <formula>NOT(ISERROR(SEARCH("error",J1862)))</formula>
    </cfRule>
  </conditionalFormatting>
  <conditionalFormatting sqref="J1862:J1886">
    <cfRule type="cellIs" dxfId="88" priority="102" operator="lessThan">
      <formula>12</formula>
    </cfRule>
    <cfRule type="cellIs" dxfId="87" priority="103" operator="equal">
      <formula>"4,6,8"</formula>
    </cfRule>
  </conditionalFormatting>
  <conditionalFormatting sqref="J1862">
    <cfRule type="expression" dxfId="86" priority="101">
      <formula>AND(C1862="NO",E1862&lt;12,C1863="")</formula>
    </cfRule>
  </conditionalFormatting>
  <conditionalFormatting sqref="J1903:J1927">
    <cfRule type="containsText" dxfId="85" priority="100" operator="containsText" text="error">
      <formula>NOT(ISERROR(SEARCH("error",J1903)))</formula>
    </cfRule>
  </conditionalFormatting>
  <conditionalFormatting sqref="J1903:J1927">
    <cfRule type="cellIs" dxfId="84" priority="98" operator="lessThan">
      <formula>12</formula>
    </cfRule>
    <cfRule type="cellIs" dxfId="83" priority="99" operator="equal">
      <formula>"4,6,8"</formula>
    </cfRule>
  </conditionalFormatting>
  <conditionalFormatting sqref="J1903">
    <cfRule type="expression" dxfId="82" priority="97">
      <formula>AND(C1903="NO",E1903&lt;12,C1904="")</formula>
    </cfRule>
  </conditionalFormatting>
  <conditionalFormatting sqref="J1944:J1968">
    <cfRule type="containsText" dxfId="81" priority="96" operator="containsText" text="error">
      <formula>NOT(ISERROR(SEARCH("error",J1944)))</formula>
    </cfRule>
  </conditionalFormatting>
  <conditionalFormatting sqref="J1944:J1968">
    <cfRule type="cellIs" dxfId="80" priority="94" operator="lessThan">
      <formula>12</formula>
    </cfRule>
    <cfRule type="cellIs" dxfId="79" priority="95" operator="equal">
      <formula>"4,6,8"</formula>
    </cfRule>
  </conditionalFormatting>
  <conditionalFormatting sqref="J1944">
    <cfRule type="expression" dxfId="78" priority="93">
      <formula>AND(C1944="NO",E1944&lt;12,C1945="")</formula>
    </cfRule>
  </conditionalFormatting>
  <conditionalFormatting sqref="J1985:J2009">
    <cfRule type="containsText" dxfId="77" priority="92" operator="containsText" text="error">
      <formula>NOT(ISERROR(SEARCH("error",J1985)))</formula>
    </cfRule>
  </conditionalFormatting>
  <conditionalFormatting sqref="J1985:J2009">
    <cfRule type="cellIs" dxfId="76" priority="90" operator="lessThan">
      <formula>12</formula>
    </cfRule>
    <cfRule type="cellIs" dxfId="75" priority="91" operator="equal">
      <formula>"4,6,8"</formula>
    </cfRule>
  </conditionalFormatting>
  <conditionalFormatting sqref="J1985">
    <cfRule type="expression" dxfId="74" priority="89">
      <formula>AND(C1985="NO",E1985&lt;12,C1986="")</formula>
    </cfRule>
  </conditionalFormatting>
  <conditionalFormatting sqref="J2026:J2050">
    <cfRule type="containsText" dxfId="73" priority="88" operator="containsText" text="error">
      <formula>NOT(ISERROR(SEARCH("error",J2026)))</formula>
    </cfRule>
  </conditionalFormatting>
  <conditionalFormatting sqref="J2026:J2050">
    <cfRule type="cellIs" dxfId="72" priority="86" operator="lessThan">
      <formula>12</formula>
    </cfRule>
    <cfRule type="cellIs" dxfId="71" priority="87" operator="equal">
      <formula>"4,6,8"</formula>
    </cfRule>
  </conditionalFormatting>
  <conditionalFormatting sqref="J2026">
    <cfRule type="expression" dxfId="70" priority="85">
      <formula>AND(C2026="NO",E2026&lt;12,C2027="")</formula>
    </cfRule>
  </conditionalFormatting>
  <conditionalFormatting sqref="E17:E19">
    <cfRule type="expression" dxfId="69" priority="84">
      <formula>AND(OR(C17="NO",C17="REV T",C17="DBL REV",C17="TPL REV",C17="QD REV"),E17&gt;12)</formula>
    </cfRule>
  </conditionalFormatting>
  <conditionalFormatting sqref="C17:C19">
    <cfRule type="expression" dxfId="68" priority="83">
      <formula>AND(OR(C18="FST",C18="REV T",C18="DBL REV",C18="TPL REV",C18="QD REV"),C17="Field SPL")</formula>
    </cfRule>
  </conditionalFormatting>
  <conditionalFormatting sqref="E76">
    <cfRule type="expression" dxfId="67" priority="82">
      <formula>AND(OR(C76="NO",C76="REV T",C76="DBL REV",C76="TPL REV",C76="QD REV"),E76&gt;12)</formula>
    </cfRule>
  </conditionalFormatting>
  <conditionalFormatting sqref="C76">
    <cfRule type="expression" dxfId="66" priority="81">
      <formula>AND(OR(C77="FST",C77="REV T",C77="DBL REV",C77="TPL REV",C77="QD REV"),C76="Field SPL")</formula>
    </cfRule>
  </conditionalFormatting>
  <conditionalFormatting sqref="E58:E75">
    <cfRule type="expression" dxfId="65" priority="80">
      <formula>AND(OR(C58="NO",C58="REV T",C58="DBL REV",C58="TPL REV",C58="QD REV"),E58&gt;12)</formula>
    </cfRule>
  </conditionalFormatting>
  <conditionalFormatting sqref="C58:C75">
    <cfRule type="expression" dxfId="64" priority="79">
      <formula>AND(OR(C59="FST",C59="REV T",C59="DBL REV",C59="TPL REV",C59="QD REV"),C58="Field SPL")</formula>
    </cfRule>
  </conditionalFormatting>
  <conditionalFormatting sqref="E99:E108">
    <cfRule type="expression" dxfId="63" priority="78">
      <formula>AND(OR(C99="NO",C99="REV T",C99="DBL REV",C99="TPL REV",C99="QD REV"),E99&gt;12)</formula>
    </cfRule>
  </conditionalFormatting>
  <conditionalFormatting sqref="C99:C108">
    <cfRule type="expression" dxfId="62" priority="77">
      <formula>AND(OR(C100="FST",C100="REV T",C100="DBL REV",C100="TPL REV",C100="QD REV"),C99="Field SPL")</formula>
    </cfRule>
  </conditionalFormatting>
  <conditionalFormatting sqref="E140:E151">
    <cfRule type="expression" dxfId="61" priority="76">
      <formula>AND(OR(C140="NO",C140="REV T",C140="DBL REV",C140="TPL REV",C140="QD REV"),E140&gt;12)</formula>
    </cfRule>
  </conditionalFormatting>
  <conditionalFormatting sqref="C140:C151">
    <cfRule type="expression" dxfId="60" priority="75">
      <formula>AND(OR(C141="FST",C141="REV T",C141="DBL REV",C141="TPL REV",C141="QD REV"),C140="Field SPL")</formula>
    </cfRule>
  </conditionalFormatting>
  <conditionalFormatting sqref="E181:E191">
    <cfRule type="expression" dxfId="59" priority="74">
      <formula>AND(OR(C181="NO",C181="REV T",C181="DBL REV",C181="TPL REV",C181="QD REV"),E181&gt;12)</formula>
    </cfRule>
  </conditionalFormatting>
  <conditionalFormatting sqref="C181:C191">
    <cfRule type="expression" dxfId="58" priority="73">
      <formula>AND(OR(C182="FST",C182="REV T",C182="DBL REV",C182="TPL REV",C182="QD REV"),C181="Field SPL")</formula>
    </cfRule>
  </conditionalFormatting>
  <conditionalFormatting sqref="E222:E233">
    <cfRule type="expression" dxfId="57" priority="72">
      <formula>AND(OR(C222="NO",C222="REV T",C222="DBL REV",C222="TPL REV",C222="QD REV"),E222&gt;12)</formula>
    </cfRule>
  </conditionalFormatting>
  <conditionalFormatting sqref="C222:C233">
    <cfRule type="expression" dxfId="56" priority="71">
      <formula>AND(OR(C223="FST",C223="REV T",C223="DBL REV",C223="TPL REV",C223="QD REV"),C222="Field SPL")</formula>
    </cfRule>
  </conditionalFormatting>
  <conditionalFormatting sqref="E263:E270">
    <cfRule type="expression" dxfId="55" priority="70">
      <formula>AND(OR(C263="NO",C263="REV T",C263="DBL REV",C263="TPL REV",C263="QD REV"),E263&gt;12)</formula>
    </cfRule>
  </conditionalFormatting>
  <conditionalFormatting sqref="C263:C270">
    <cfRule type="expression" dxfId="54" priority="69">
      <formula>AND(OR(C264="FST",C264="REV T",C264="DBL REV",C264="TPL REV",C264="QD REV"),C263="Field SPL")</formula>
    </cfRule>
  </conditionalFormatting>
  <conditionalFormatting sqref="E304:E305">
    <cfRule type="expression" dxfId="53" priority="68">
      <formula>AND(OR(C304="NO",C304="REV T",C304="DBL REV",C304="TPL REV",C304="QD REV"),E304&gt;12)</formula>
    </cfRule>
  </conditionalFormatting>
  <conditionalFormatting sqref="C304:C305">
    <cfRule type="expression" dxfId="52" priority="67">
      <formula>AND(OR(C305="FST",C305="REV T",C305="DBL REV",C305="TPL REV",C305="QD REV"),C304="Field SPL")</formula>
    </cfRule>
  </conditionalFormatting>
  <conditionalFormatting sqref="E347:E349">
    <cfRule type="expression" dxfId="51" priority="66">
      <formula>AND(OR(C347="NO",C347="REV T",C347="DBL REV",C347="TPL REV",C347="QD REV"),E347&gt;12)</formula>
    </cfRule>
  </conditionalFormatting>
  <conditionalFormatting sqref="C347:C349">
    <cfRule type="expression" dxfId="50" priority="65">
      <formula>AND(OR(C348="FST",C348="REV T",C348="DBL REV",C348="TPL REV",C348="QD REV"),C347="Field SPL")</formula>
    </cfRule>
  </conditionalFormatting>
  <conditionalFormatting sqref="E388:E391">
    <cfRule type="expression" dxfId="49" priority="64">
      <formula>AND(OR(C388="NO",C388="REV T",C388="DBL REV",C388="TPL REV",C388="QD REV"),E388&gt;12)</formula>
    </cfRule>
  </conditionalFormatting>
  <conditionalFormatting sqref="C388:C391">
    <cfRule type="expression" dxfId="48" priority="63">
      <formula>AND(OR(C389="FST",C389="REV T",C389="DBL REV",C389="TPL REV",C389="QD REV"),C388="Field SPL")</formula>
    </cfRule>
  </conditionalFormatting>
  <conditionalFormatting sqref="E314:E319">
    <cfRule type="expression" dxfId="47" priority="58">
      <formula>AND(OR(C314="NO",C314="REV T",C314="DBL REV",C314="TPL REV",C314="QD REV"),E314&gt;12)</formula>
    </cfRule>
  </conditionalFormatting>
  <conditionalFormatting sqref="C314:C319">
    <cfRule type="expression" dxfId="46" priority="57">
      <formula>AND(OR(C315="FST",C315="REV T",C315="DBL REV",C315="TPL REV",C315="QD REV"),C314="Field SPL")</formula>
    </cfRule>
  </conditionalFormatting>
  <conditionalFormatting sqref="E305:E311">
    <cfRule type="expression" dxfId="45" priority="56">
      <formula>AND(OR(C305="NO",C305="REV T",C305="DBL REV",C305="TPL REV",C305="QD REV"),E305&gt;12)</formula>
    </cfRule>
  </conditionalFormatting>
  <conditionalFormatting sqref="C305:C311">
    <cfRule type="expression" dxfId="44" priority="55">
      <formula>AND(OR(C306="FST",C306="REV T",C306="DBL REV",C306="TPL REV",C306="QD REV"),C305="Field SPL")</formula>
    </cfRule>
  </conditionalFormatting>
  <conditionalFormatting sqref="E354:E355">
    <cfRule type="expression" dxfId="43" priority="54">
      <formula>AND(OR(C354="NO",C354="REV T",C354="DBL REV",C354="TPL REV",C354="QD REV"),E354&gt;12)</formula>
    </cfRule>
  </conditionalFormatting>
  <conditionalFormatting sqref="C354:C355">
    <cfRule type="expression" dxfId="42" priority="53">
      <formula>AND(OR(C355="FST",C355="REV T",C355="DBL REV",C355="TPL REV",C355="QD REV"),C354="Field SPL")</formula>
    </cfRule>
  </conditionalFormatting>
  <conditionalFormatting sqref="E345:E346">
    <cfRule type="expression" dxfId="41" priority="52">
      <formula>AND(OR(C345="NO",C345="REV T",C345="DBL REV",C345="TPL REV",C345="QD REV"),E345&gt;12)</formula>
    </cfRule>
  </conditionalFormatting>
  <conditionalFormatting sqref="C345:C346">
    <cfRule type="expression" dxfId="40" priority="51">
      <formula>AND(OR(C346="FST",C346="REV T",C346="DBL REV",C346="TPL REV",C346="QD REV"),C345="Field SPL")</formula>
    </cfRule>
  </conditionalFormatting>
  <conditionalFormatting sqref="E436:E441">
    <cfRule type="expression" dxfId="39" priority="50">
      <formula>AND(OR(C436="NO",C436="REV T",C436="DBL REV",C436="TPL REV",C436="QD REV"),E436&gt;12)</formula>
    </cfRule>
  </conditionalFormatting>
  <conditionalFormatting sqref="C436:C441">
    <cfRule type="expression" dxfId="38" priority="49">
      <formula>AND(OR(C437="FST",C437="REV T",C437="DBL REV",C437="TPL REV",C437="QD REV"),C436="Field SPL")</formula>
    </cfRule>
  </conditionalFormatting>
  <conditionalFormatting sqref="E477:E479">
    <cfRule type="expression" dxfId="37" priority="48">
      <formula>AND(OR(C477="NO",C477="REV T",C477="DBL REV",C477="TPL REV",C477="QD REV"),E477&gt;12)</formula>
    </cfRule>
  </conditionalFormatting>
  <conditionalFormatting sqref="C477:C479">
    <cfRule type="expression" dxfId="36" priority="47">
      <formula>AND(OR(C478="FST",C478="REV T",C478="DBL REV",C478="TPL REV",C478="QD REV"),C477="Field SPL")</formula>
    </cfRule>
  </conditionalFormatting>
  <conditionalFormatting sqref="E474:E476">
    <cfRule type="expression" dxfId="35" priority="46">
      <formula>AND(OR(C474="NO",C474="REV T",C474="DBL REV",C474="TPL REV",C474="QD REV"),E474&gt;12)</formula>
    </cfRule>
  </conditionalFormatting>
  <conditionalFormatting sqref="C474:C476">
    <cfRule type="expression" dxfId="34" priority="45">
      <formula>AND(OR(C475="FST",C475="REV T",C475="DBL REV",C475="TPL REV",C475="QD REV"),C474="Field SPL")</formula>
    </cfRule>
  </conditionalFormatting>
  <conditionalFormatting sqref="E480:E485">
    <cfRule type="expression" dxfId="33" priority="44">
      <formula>AND(OR(C480="NO",C480="REV T",C480="DBL REV",C480="TPL REV",C480="QD REV"),E480&gt;12)</formula>
    </cfRule>
  </conditionalFormatting>
  <conditionalFormatting sqref="C480:C485">
    <cfRule type="expression" dxfId="32" priority="43">
      <formula>AND(OR(C481="FST",C481="REV T",C481="DBL REV",C481="TPL REV",C481="QD REV"),C480="Field SPL")</formula>
    </cfRule>
  </conditionalFormatting>
  <conditionalFormatting sqref="E386:E387">
    <cfRule type="expression" dxfId="31" priority="42">
      <formula>AND(OR(C386="NO",C386="REV T",C386="DBL REV",C386="TPL REV",C386="QD REV"),E386&gt;12)</formula>
    </cfRule>
  </conditionalFormatting>
  <conditionalFormatting sqref="C386:C387">
    <cfRule type="expression" dxfId="30" priority="41">
      <formula>AND(OR(C387="FST",C387="REV T",C387="DBL REV",C387="TPL REV",C387="QD REV"),C386="Field SPL")</formula>
    </cfRule>
  </conditionalFormatting>
  <conditionalFormatting sqref="E434">
    <cfRule type="expression" dxfId="29" priority="40">
      <formula>AND(OR(C434="NO",C434="REV T",C434="DBL REV",C434="TPL REV",C434="QD REV"),E434&gt;12)</formula>
    </cfRule>
  </conditionalFormatting>
  <conditionalFormatting sqref="C434">
    <cfRule type="expression" dxfId="28" priority="39">
      <formula>AND(OR(C435="FST",C435="REV T",C435="DBL REV",C435="TPL REV",C435="QD REV"),C434="Field SPL")</formula>
    </cfRule>
  </conditionalFormatting>
  <conditionalFormatting sqref="E521">
    <cfRule type="expression" dxfId="27" priority="36">
      <formula>AND(OR(C521="NO",C521="REV T",C521="DBL REV",C521="TPL REV",C521="QD REV"),E521&gt;12)</formula>
    </cfRule>
  </conditionalFormatting>
  <conditionalFormatting sqref="C521">
    <cfRule type="expression" dxfId="26" priority="35">
      <formula>AND(OR(C522="FST",C522="REV T",C522="DBL REV",C522="TPL REV",C522="QD REV"),C521="Field SPL")</formula>
    </cfRule>
  </conditionalFormatting>
  <conditionalFormatting sqref="E519:E520">
    <cfRule type="expression" dxfId="25" priority="34">
      <formula>AND(OR(C519="NO",C519="REV T",C519="DBL REV",C519="TPL REV",C519="QD REV"),E519&gt;12)</formula>
    </cfRule>
  </conditionalFormatting>
  <conditionalFormatting sqref="C519:C520">
    <cfRule type="expression" dxfId="24" priority="33">
      <formula>AND(OR(C520="FST",C520="REV T",C520="DBL REV",C520="TPL REV",C520="QD REV"),C519="Field SPL")</formula>
    </cfRule>
  </conditionalFormatting>
  <conditionalFormatting sqref="E519:E524">
    <cfRule type="expression" dxfId="23" priority="32">
      <formula>AND(OR(C519="NO",C519="REV T",C519="DBL REV",C519="TPL REV",C519="QD REV"),E519&gt;12)</formula>
    </cfRule>
  </conditionalFormatting>
  <conditionalFormatting sqref="C519:C524">
    <cfRule type="expression" dxfId="22" priority="31">
      <formula>AND(OR(C520="FST",C520="REV T",C520="DBL REV",C520="TPL REV",C520="QD REV"),C519="Field SPL")</formula>
    </cfRule>
  </conditionalFormatting>
  <conditionalFormatting sqref="E526:E531">
    <cfRule type="expression" dxfId="21" priority="30">
      <formula>AND(OR(C526="NO",C526="REV T",C526="DBL REV",C526="TPL REV",C526="QD REV"),E526&gt;12)</formula>
    </cfRule>
  </conditionalFormatting>
  <conditionalFormatting sqref="C526:C531">
    <cfRule type="expression" dxfId="20" priority="29">
      <formula>AND(OR(C527="FST",C527="REV T",C527="DBL REV",C527="TPL REV",C527="QD REV"),C526="Field SPL")</formula>
    </cfRule>
  </conditionalFormatting>
  <conditionalFormatting sqref="E550:E555">
    <cfRule type="expression" dxfId="19" priority="22">
      <formula>AND(OR(C550="NO",C550="REV T",C550="DBL REV",C550="TPL REV",C550="QD REV"),E550&gt;12)</formula>
    </cfRule>
  </conditionalFormatting>
  <conditionalFormatting sqref="C550:C555">
    <cfRule type="expression" dxfId="18" priority="21">
      <formula>AND(OR(C551="FST",C551="REV T",C551="DBL REV",C551="TPL REV",C551="QD REV"),C550="Field SPL")</formula>
    </cfRule>
  </conditionalFormatting>
  <conditionalFormatting sqref="E510:E514">
    <cfRule type="expression" dxfId="17" priority="14">
      <formula>AND(OR(C510="NO",C510="REV T",C510="DBL REV",C510="TPL REV",C510="QD REV"),E510&gt;12)</formula>
    </cfRule>
  </conditionalFormatting>
  <conditionalFormatting sqref="C510:C514">
    <cfRule type="expression" dxfId="16" priority="13">
      <formula>AND(OR(C511="FST",C511="REV T",C511="DBL REV",C511="TPL REV",C511="QD REV"),C510="Field SPL")</formula>
    </cfRule>
  </conditionalFormatting>
  <conditionalFormatting sqref="E429">
    <cfRule type="expression" dxfId="15" priority="12">
      <formula>AND(OR(C429="NO",C429="REV T",C429="DBL REV",C429="TPL REV",C429="QD REV"),E429&gt;12)</formula>
    </cfRule>
  </conditionalFormatting>
  <conditionalFormatting sqref="C429">
    <cfRule type="expression" dxfId="14" priority="11">
      <formula>AND(OR(C430="FST",C430="REV T",C430="DBL REV",C430="TPL REV",C430="QD REV"),C429="Field SPL")</formula>
    </cfRule>
  </conditionalFormatting>
  <conditionalFormatting sqref="E427:E428">
    <cfRule type="expression" dxfId="13" priority="10">
      <formula>AND(OR(C427="NO",C427="REV T",C427="DBL REV",C427="TPL REV",C427="QD REV"),E427&gt;12)</formula>
    </cfRule>
  </conditionalFormatting>
  <conditionalFormatting sqref="C427:C428">
    <cfRule type="expression" dxfId="12" priority="9">
      <formula>AND(OR(C428="FST",C428="REV T",C428="DBL REV",C428="TPL REV",C428="QD REV"),C427="Field SPL")</formula>
    </cfRule>
  </conditionalFormatting>
  <conditionalFormatting sqref="E427:E432">
    <cfRule type="expression" dxfId="11" priority="8">
      <formula>AND(OR(C427="NO",C427="REV T",C427="DBL REV",C427="TPL REV",C427="QD REV"),E427&gt;12)</formula>
    </cfRule>
  </conditionalFormatting>
  <conditionalFormatting sqref="C427:C432">
    <cfRule type="expression" dxfId="10" priority="7">
      <formula>AND(OR(C428="FST",C428="REV T",C428="DBL REV",C428="TPL REV",C428="QD REV"),C427="Field SPL")</formula>
    </cfRule>
  </conditionalFormatting>
  <conditionalFormatting sqref="E468:E473">
    <cfRule type="expression" dxfId="9" priority="6">
      <formula>AND(OR(C468="NO",C468="REV T",C468="DBL REV",C468="TPL REV",C468="QD REV"),E468&gt;12)</formula>
    </cfRule>
  </conditionalFormatting>
  <conditionalFormatting sqref="C468:C473">
    <cfRule type="expression" dxfId="8" priority="5">
      <formula>AND(OR(C469="FST",C469="REV T",C469="DBL REV",C469="TPL REV",C469="QD REV"),C468="Field SPL")</formula>
    </cfRule>
  </conditionalFormatting>
  <conditionalFormatting sqref="E509">
    <cfRule type="expression" dxfId="7" priority="4">
      <formula>AND(OR(C509="NO",C509="REV T",C509="DBL REV",C509="TPL REV",C509="QD REV"),E509&gt;12)</formula>
    </cfRule>
  </conditionalFormatting>
  <conditionalFormatting sqref="C509">
    <cfRule type="expression" dxfId="6" priority="3">
      <formula>AND(OR(C510="FST",C510="REV T",C510="DBL REV",C510="TPL REV",C510="QD REV"),C509="Field SPL")</formula>
    </cfRule>
  </conditionalFormatting>
  <conditionalFormatting sqref="E428">
    <cfRule type="expression" dxfId="5" priority="2">
      <formula>AND(OR(C428="NO",C428="REV T",C428="DBL REV",C428="TPL REV",C428="QD REV"),E428&gt;12)</formula>
    </cfRule>
  </conditionalFormatting>
  <conditionalFormatting sqref="C428">
    <cfRule type="expression" dxfId="4" priority="1">
      <formula>AND(OR(C429="FST",C429="REV T",C429="DBL REV",C429="TPL REV",C429="QD REV"),C428="Field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10" sqref="E10:H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37466.409999999996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4000.0100000000007</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3067.2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1100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59</v>
      </c>
      <c r="F2" s="186">
        <f t="shared" ref="F2:F5" si="0">PRODUCT(D2:E2)</f>
        <v>6616.85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3</v>
      </c>
      <c r="K2" s="180">
        <f>COUNTIFS('Assignment Tool'!$E$17:$E$2050, "4",'Assignment Tool'!$F$17:$F$2050,"PED", 'Assignment Tool'!$C$17:$C$2050, "FST",'Assignment Tool'!$K$17:$K$2050,"")</f>
        <v>0</v>
      </c>
      <c r="L2" s="180">
        <f>COUNTIFS('Assignment Tool'!$E$17:$E$2050, "4",'Assignment Tool'!$F$17:$F$2050,"HH", 'Assignment Tool'!$C$17:$C$2050, "FST",'Assignment Tool'!$K$17:$K$2050,"")</f>
        <v>52</v>
      </c>
      <c r="N2" s="181">
        <f>PRODUCT(SUM(G2,J2),D2)</f>
        <v>336.45000000000005</v>
      </c>
      <c r="O2" s="180">
        <f>PRODUCT(SUM(H2:I2,K2:L2),D2)</f>
        <v>6280.4000000000005</v>
      </c>
      <c r="P2" s="183">
        <f>SUM(N2:N5,F11:F16,F27:F36,F43:F46,F51:F54,N88:N135)</f>
        <v>4000.0100000000007</v>
      </c>
      <c r="Q2" s="182">
        <f>SUM(O2:O5,F17:F26,F37:F42,F47:F50,F55:F58,F60:F67,O88:O135)</f>
        <v>37466.409999999996</v>
      </c>
      <c r="R2" s="126">
        <f>SUM(F69:F71)</f>
        <v>3067.2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6</v>
      </c>
      <c r="F4" s="186">
        <f t="shared" si="0"/>
        <v>1018.6200000000001</v>
      </c>
      <c r="G4" s="181">
        <f>COUNTIFS('Assignment Tool'!$E$17:$E$2050, "8", 'Assignment Tool'!$F$17:$F$2050, "POLE", 'Assignment Tool'!$C$17:$C$2050, "FST",'Assignment Tool'!$K$17:$K$2050,"")</f>
        <v>3</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509.31000000000006</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4</v>
      </c>
      <c r="F5" s="186">
        <f t="shared" si="0"/>
        <v>911.8</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3</v>
      </c>
      <c r="N5" s="181">
        <f t="shared" si="2"/>
        <v>227.95</v>
      </c>
      <c r="O5" s="180">
        <f t="shared" si="3"/>
        <v>683.84999999999991</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1.5</v>
      </c>
      <c r="F11" s="181">
        <f>E11*D11</f>
        <v>370.77</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3</v>
      </c>
      <c r="F12" s="181">
        <f t="shared" ref="F12:F58" si="5">E12*D12</f>
        <v>645.45000000000005</v>
      </c>
      <c r="Q12" s="21"/>
      <c r="R12" s="21"/>
      <c r="Y12" s="1">
        <v>72</v>
      </c>
      <c r="AA12" s="1">
        <f t="shared" si="4"/>
        <v>132</v>
      </c>
      <c r="AC12" s="1">
        <v>900</v>
      </c>
    </row>
    <row r="13" spans="1:29" x14ac:dyDescent="0.25">
      <c r="A13" s="181">
        <v>100083493</v>
      </c>
      <c r="B13" s="181"/>
      <c r="C13" s="181" t="s">
        <v>505</v>
      </c>
      <c r="D13" s="1">
        <v>183.1</v>
      </c>
      <c r="E13" s="162">
        <f>'Construction Exempt Material'!B19</f>
        <v>3</v>
      </c>
      <c r="F13" s="181">
        <f t="shared" si="5"/>
        <v>549.29999999999995</v>
      </c>
      <c r="Q13" s="21"/>
      <c r="R13" s="21"/>
      <c r="Y13" s="1">
        <v>84</v>
      </c>
      <c r="AA13" s="1">
        <f t="shared" si="4"/>
        <v>144</v>
      </c>
      <c r="AC13" s="1">
        <v>1000</v>
      </c>
    </row>
    <row r="14" spans="1:29" x14ac:dyDescent="0.25">
      <c r="A14" s="181">
        <v>100089023</v>
      </c>
      <c r="B14" s="181"/>
      <c r="C14" s="181" t="s">
        <v>506</v>
      </c>
      <c r="D14" s="1">
        <v>247.18</v>
      </c>
      <c r="E14" s="162">
        <f>'Construction Exempt Material'!B20</f>
        <v>0.5</v>
      </c>
      <c r="F14" s="181">
        <f t="shared" si="5"/>
        <v>123.59</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13</v>
      </c>
      <c r="F17" s="180">
        <f t="shared" si="5"/>
        <v>3468.0099999999998</v>
      </c>
      <c r="Q17" s="21"/>
      <c r="Y17" s="1">
        <v>132</v>
      </c>
      <c r="AA17" s="1">
        <f t="shared" si="4"/>
        <v>192</v>
      </c>
    </row>
    <row r="18" spans="1:27" x14ac:dyDescent="0.25">
      <c r="A18" s="180">
        <v>100083594</v>
      </c>
      <c r="B18" s="180"/>
      <c r="C18" s="180" t="s">
        <v>510</v>
      </c>
      <c r="D18" s="1">
        <v>233.96</v>
      </c>
      <c r="E18" s="162">
        <f>'Construction Exempt Material'!B24</f>
        <v>3</v>
      </c>
      <c r="F18" s="180">
        <f t="shared" si="5"/>
        <v>701.88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52</v>
      </c>
      <c r="F20" s="180">
        <f t="shared" si="5"/>
        <v>10392.720000000001</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10</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1</v>
      </c>
      <c r="F46" s="181">
        <f t="shared" si="5"/>
        <v>989.75</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4</v>
      </c>
      <c r="F50" s="180">
        <f t="shared" si="5"/>
        <v>4268.32</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53</v>
      </c>
      <c r="F61" s="180">
        <f t="shared" ref="F61:F67" si="6">E61*D61</f>
        <v>1296.3800000000001</v>
      </c>
      <c r="G61" s="1">
        <f>SUM(I2:I4,L2,I88:I123,L88:L99,I61:I64)</f>
        <v>59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10</v>
      </c>
      <c r="F63" s="180">
        <f t="shared" si="6"/>
        <v>4937.7</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2</v>
      </c>
      <c r="F64" s="180">
        <f t="shared" si="6"/>
        <v>1279.7</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2</v>
      </c>
      <c r="F66" s="180">
        <f t="shared" si="6"/>
        <v>175.92</v>
      </c>
      <c r="G66" s="1">
        <f>SUM(I5,I124:I135,J61)</f>
        <v>3</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45</v>
      </c>
      <c r="F69" s="126">
        <f>E69*D69</f>
        <v>1019.7</v>
      </c>
    </row>
    <row r="70" spans="1:16" x14ac:dyDescent="0.25">
      <c r="A70" s="1">
        <v>100069989</v>
      </c>
      <c r="B70" s="1" t="s">
        <v>565</v>
      </c>
      <c r="C70" s="1" t="s">
        <v>566</v>
      </c>
      <c r="D70" s="1">
        <v>0.65</v>
      </c>
      <c r="E70" s="1">
        <f>'Construction Exempt Material'!B69</f>
        <v>3150</v>
      </c>
      <c r="F70" s="126">
        <f>E70*D70</f>
        <v>2047.5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B14" sqref="B14"/>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806</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59</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v>53</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2</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10</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v>2</v>
      </c>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1.5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0.5</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3</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52</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1</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4</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3150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45</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2024-11-07T16:06:40Z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