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updateLinks="never" codeName="ThisWorkbook" defaultThemeVersion="124226"/>
  <mc:AlternateContent xmlns:mc="http://schemas.openxmlformats.org/markup-compatibility/2006">
    <mc:Choice Requires="x15">
      <x15ac:absPath xmlns:x15ac="http://schemas.microsoft.com/office/spreadsheetml/2010/11/ac" url="C:\Temp\"/>
    </mc:Choice>
  </mc:AlternateContent>
  <xr:revisionPtr revIDLastSave="0" documentId="13_ncr:1_{BD1F8E4E-79BD-47A5-BDCD-E85E52F16DCD}" xr6:coauthVersionLast="47" xr6:coauthVersionMax="47" xr10:uidLastSave="{00000000-0000-0000-0000-000000000000}"/>
  <workbookProtection workbookAlgorithmName="SHA-512" workbookHashValue="IB0M7+O8SVDfAzc7hw7mxv712bgTjOQNvM9I8xkCGLxLqu9NlNmcxnHvNO6lf7FE0BEkRrFNz35w8TJkqmfvJQ==" workbookSaltValue="j4Qv/+iDrkw6jdBFFDwgYg==" workbookSpinCount="100000" lockStructure="1"/>
  <bookViews>
    <workbookView xWindow="19095" yWindow="0" windowWidth="19410" windowHeight="13905" tabRatio="769" activeTab="9"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07" i="29"/>
  <c r="J1106" i="29"/>
  <c r="J1105" i="29"/>
  <c r="J1104" i="29"/>
  <c r="J1103" i="29"/>
  <c r="J1102" i="29"/>
  <c r="J1101" i="29"/>
  <c r="J1100" i="29"/>
  <c r="J1099" i="29"/>
  <c r="J1098" i="29"/>
  <c r="J1097" i="29"/>
  <c r="J1096" i="29"/>
  <c r="J1095" i="29"/>
  <c r="J1094" i="29"/>
  <c r="J1093" i="29"/>
  <c r="J1092" i="29"/>
  <c r="J1091" i="29"/>
  <c r="J1090" i="29"/>
  <c r="J1089" i="29"/>
  <c r="J1066" i="29"/>
  <c r="J1065" i="29"/>
  <c r="J1064" i="29"/>
  <c r="J1063" i="29"/>
  <c r="J1062" i="29"/>
  <c r="J1061" i="29"/>
  <c r="J1060" i="29"/>
  <c r="J1059" i="29"/>
  <c r="J1058" i="29"/>
  <c r="J1057" i="29"/>
  <c r="J1055" i="29"/>
  <c r="J1054" i="29"/>
  <c r="J1053" i="29"/>
  <c r="J1052" i="29"/>
  <c r="J1025" i="29"/>
  <c r="J1024" i="29"/>
  <c r="J1023" i="29"/>
  <c r="J1022" i="29"/>
  <c r="J1021" i="29"/>
  <c r="J1020" i="29"/>
  <c r="J1019" i="29"/>
  <c r="J1018" i="29"/>
  <c r="J1017" i="29"/>
  <c r="J1016" i="29"/>
  <c r="J1015" i="29"/>
  <c r="J1014" i="29"/>
  <c r="J1013" i="29"/>
  <c r="J1012" i="29"/>
  <c r="J1011" i="29"/>
  <c r="J1010" i="29"/>
  <c r="J1009" i="29"/>
  <c r="J1008"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779" i="29"/>
  <c r="J778" i="29"/>
  <c r="J777" i="29"/>
  <c r="J776" i="29"/>
  <c r="J775" i="29"/>
  <c r="J774" i="29"/>
  <c r="J773" i="29"/>
  <c r="J772" i="29"/>
  <c r="J771" i="29"/>
  <c r="J770" i="29"/>
  <c r="J769" i="29"/>
  <c r="J768" i="29"/>
  <c r="J767" i="29"/>
  <c r="J766" i="29"/>
  <c r="J765" i="29"/>
  <c r="J764" i="29"/>
  <c r="J763" i="29"/>
  <c r="J762" i="29"/>
  <c r="J738" i="29"/>
  <c r="J737" i="29"/>
  <c r="J736" i="29"/>
  <c r="J735" i="29"/>
  <c r="J734" i="29"/>
  <c r="J733" i="29"/>
  <c r="J732" i="29"/>
  <c r="J731" i="29"/>
  <c r="J730" i="29"/>
  <c r="J729" i="29"/>
  <c r="J728" i="29"/>
  <c r="J727" i="29"/>
  <c r="J726" i="29"/>
  <c r="J725" i="29"/>
  <c r="J724" i="29"/>
  <c r="J723" i="29"/>
  <c r="J722" i="29"/>
  <c r="J721" i="29"/>
  <c r="J720" i="29"/>
  <c r="J719" i="29"/>
  <c r="J718" i="29"/>
  <c r="J697" i="29"/>
  <c r="J696" i="29"/>
  <c r="J695" i="29"/>
  <c r="J694" i="29"/>
  <c r="J693" i="29"/>
  <c r="J692" i="29"/>
  <c r="J691" i="29"/>
  <c r="J690" i="29"/>
  <c r="J689" i="29"/>
  <c r="J688" i="29"/>
  <c r="J687" i="29"/>
  <c r="J686" i="29"/>
  <c r="J685" i="29"/>
  <c r="J684" i="29"/>
  <c r="J683" i="29"/>
  <c r="J682" i="29"/>
  <c r="J681" i="29"/>
  <c r="J680" i="29"/>
  <c r="J679" i="29"/>
  <c r="J678" i="29"/>
  <c r="J677" i="29"/>
  <c r="J656" i="29"/>
  <c r="J655" i="29"/>
  <c r="J654" i="29"/>
  <c r="J653" i="29"/>
  <c r="J652" i="29"/>
  <c r="J651" i="29"/>
  <c r="J650" i="29"/>
  <c r="J649" i="29"/>
  <c r="J648" i="29"/>
  <c r="J647" i="29"/>
  <c r="J646" i="29"/>
  <c r="J645" i="29"/>
  <c r="J644" i="29"/>
  <c r="J643" i="29"/>
  <c r="J642" i="29"/>
  <c r="J641" i="29"/>
  <c r="J640" i="29"/>
  <c r="J639" i="29"/>
  <c r="J638" i="29"/>
  <c r="J637"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33" i="29"/>
  <c r="J532" i="29"/>
  <c r="J531" i="29"/>
  <c r="J530" i="29"/>
  <c r="J529" i="29"/>
  <c r="J528" i="29"/>
  <c r="J527" i="29"/>
  <c r="J526" i="29"/>
  <c r="J525" i="29"/>
  <c r="J524" i="29"/>
  <c r="J523" i="29"/>
  <c r="J522" i="29"/>
  <c r="J521" i="29"/>
  <c r="J520" i="29"/>
  <c r="J519" i="29"/>
  <c r="J518" i="29"/>
  <c r="J517" i="29"/>
  <c r="J516" i="29"/>
  <c r="J515" i="29"/>
  <c r="J514" i="29"/>
  <c r="J513" i="29"/>
  <c r="J492" i="29"/>
  <c r="J491" i="29"/>
  <c r="J490" i="29"/>
  <c r="J489" i="29"/>
  <c r="J488" i="29"/>
  <c r="J487" i="29"/>
  <c r="J486" i="29"/>
  <c r="J485" i="29"/>
  <c r="J484" i="29"/>
  <c r="J483" i="29"/>
  <c r="J482" i="29"/>
  <c r="J481" i="29"/>
  <c r="J480" i="29"/>
  <c r="J479" i="29"/>
  <c r="J478" i="29"/>
  <c r="J477" i="29"/>
  <c r="J476" i="29"/>
  <c r="J475" i="29"/>
  <c r="J474" i="29"/>
  <c r="J473" i="29"/>
  <c r="J472"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69" i="29"/>
  <c r="J368" i="29"/>
  <c r="J367" i="29"/>
  <c r="J366" i="29"/>
  <c r="J365" i="29"/>
  <c r="J364" i="29"/>
  <c r="J363" i="29"/>
  <c r="J362" i="29"/>
  <c r="J361" i="29"/>
  <c r="J360" i="29"/>
  <c r="J359" i="29"/>
  <c r="J358" i="29"/>
  <c r="J357" i="29"/>
  <c r="J356" i="29"/>
  <c r="J355" i="29"/>
  <c r="J354" i="29"/>
  <c r="J353" i="29"/>
  <c r="J352" i="29"/>
  <c r="J351" i="29"/>
  <c r="J350" i="29"/>
  <c r="J349" i="29"/>
  <c r="J328" i="29"/>
  <c r="J327" i="29"/>
  <c r="J326" i="29"/>
  <c r="J325" i="29"/>
  <c r="J324" i="29"/>
  <c r="J323" i="29"/>
  <c r="J322" i="29"/>
  <c r="J321" i="29"/>
  <c r="J320" i="29"/>
  <c r="J319" i="29"/>
  <c r="J318" i="29"/>
  <c r="J317" i="29"/>
  <c r="J316" i="29"/>
  <c r="J315" i="29"/>
  <c r="J314" i="29"/>
  <c r="J313" i="29"/>
  <c r="J312" i="29"/>
  <c r="J311" i="29"/>
  <c r="J310" i="29"/>
  <c r="J309" i="29"/>
  <c r="J308" i="29"/>
  <c r="J287" i="29"/>
  <c r="J286" i="29"/>
  <c r="J285" i="29"/>
  <c r="J284" i="29"/>
  <c r="J283" i="29"/>
  <c r="J282" i="29"/>
  <c r="J281" i="29"/>
  <c r="J280" i="29"/>
  <c r="J279" i="29"/>
  <c r="J278" i="29"/>
  <c r="J277" i="29"/>
  <c r="J276" i="29"/>
  <c r="J275" i="29"/>
  <c r="J274" i="29"/>
  <c r="J273" i="29"/>
  <c r="J272" i="29"/>
  <c r="J271" i="29"/>
  <c r="J270" i="29"/>
  <c r="J269"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107" i="29"/>
  <c r="J82" i="29"/>
  <c r="J81" i="29"/>
  <c r="J80" i="29"/>
  <c r="J79" i="29"/>
  <c r="J78" i="29"/>
  <c r="J77" i="29"/>
  <c r="J76" i="29"/>
  <c r="J75" i="29"/>
  <c r="J74" i="29"/>
  <c r="J73" i="29"/>
  <c r="J72" i="29"/>
  <c r="J71" i="29"/>
  <c r="J70"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I258" i="29" s="1"/>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E217" i="29"/>
  <c r="E212" i="29"/>
  <c r="AI225" i="29" s="1"/>
  <c r="E176" i="29"/>
  <c r="E171" i="29"/>
  <c r="AJ185" i="29" s="1"/>
  <c r="E135" i="29"/>
  <c r="E130" i="29"/>
  <c r="M137" i="29" s="1" a="1"/>
  <c r="M137" i="29" s="1"/>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I1961" i="29"/>
  <c r="H1961" i="29"/>
  <c r="Y1960" i="29"/>
  <c r="W1960" i="29" s="1"/>
  <c r="AA1963" i="29" s="1"/>
  <c r="I1960" i="29"/>
  <c r="H1960" i="29"/>
  <c r="Y1959" i="29"/>
  <c r="W1959" i="29" s="1"/>
  <c r="I1959" i="29"/>
  <c r="H1959" i="29"/>
  <c r="Y1958" i="29"/>
  <c r="W1958"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L1893" i="29" s="1"/>
  <c r="E1897" i="29"/>
  <c r="X1896" i="29"/>
  <c r="W1896" i="29"/>
  <c r="R1896" i="29"/>
  <c r="I1896" i="29"/>
  <c r="X1895" i="29"/>
  <c r="W1895" i="29"/>
  <c r="R1895" i="29"/>
  <c r="I1895" i="29"/>
  <c r="X1894" i="29"/>
  <c r="W1894" i="29"/>
  <c r="R1894" i="29"/>
  <c r="I1894" i="29"/>
  <c r="X1893" i="29"/>
  <c r="W1893" i="29"/>
  <c r="R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L1811" i="29" s="1"/>
  <c r="E1815" i="29"/>
  <c r="X1814" i="29"/>
  <c r="W1814" i="29"/>
  <c r="T1814" i="29"/>
  <c r="S1814" i="29"/>
  <c r="R1814" i="29"/>
  <c r="I1814" i="29"/>
  <c r="X1813" i="29"/>
  <c r="W1813" i="29"/>
  <c r="R1813" i="29"/>
  <c r="I1813" i="29"/>
  <c r="X1812" i="29"/>
  <c r="W1812" i="29"/>
  <c r="R1812" i="29"/>
  <c r="I1812" i="29"/>
  <c r="X1811" i="29"/>
  <c r="W1811" i="29"/>
  <c r="R1811" i="29"/>
  <c r="AJ1824" i="29"/>
  <c r="X1810" i="29"/>
  <c r="W1810" i="29"/>
  <c r="R1810" i="29"/>
  <c r="I1810" i="29"/>
  <c r="C1817" i="29" s="1"/>
  <c r="Y1804" i="29"/>
  <c r="I1804" i="29"/>
  <c r="H1804" i="29"/>
  <c r="Y1803" i="29"/>
  <c r="I1803" i="29"/>
  <c r="H1803" i="29"/>
  <c r="Y1802" i="29"/>
  <c r="I1802" i="29"/>
  <c r="H1802" i="29"/>
  <c r="Y1801" i="29"/>
  <c r="W1801" i="29" s="1"/>
  <c r="I1801" i="29"/>
  <c r="H1801" i="29"/>
  <c r="Y1800" i="29"/>
  <c r="I1800" i="29"/>
  <c r="H1800" i="29"/>
  <c r="Y1799" i="29"/>
  <c r="W1799" i="29" s="1"/>
  <c r="I1799" i="29"/>
  <c r="H1799" i="29"/>
  <c r="Y1798" i="29"/>
  <c r="W1798"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s="1"/>
  <c r="I1638" i="29"/>
  <c r="H1638" i="29"/>
  <c r="Y1637" i="29"/>
  <c r="W1637" i="29" s="1"/>
  <c r="I1637" i="29"/>
  <c r="H1637" i="29"/>
  <c r="Y1636" i="29"/>
  <c r="W1636"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s="1"/>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I1596" i="29"/>
  <c r="H1596" i="29"/>
  <c r="Y1595" i="29"/>
  <c r="I1595" i="29"/>
  <c r="H1595" i="29"/>
  <c r="Y1594" i="29"/>
  <c r="W1594" i="29" s="1"/>
  <c r="I1594" i="29"/>
  <c r="H1594"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I1588" i="29"/>
  <c r="H1588" i="29"/>
  <c r="Y1587" i="29"/>
  <c r="W1587" i="29" s="1"/>
  <c r="I1587" i="29"/>
  <c r="H1587" i="29"/>
  <c r="Y1586" i="29"/>
  <c r="I1586" i="29"/>
  <c r="H1586" i="29"/>
  <c r="Z1582" i="29"/>
  <c r="Z1583" i="29" s="1"/>
  <c r="Z1584" i="29" s="1"/>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W1242" i="29"/>
  <c r="M1242" i="29"/>
  <c r="I1242" i="29"/>
  <c r="I1247" i="29" s="1"/>
  <c r="H1247" i="29" s="1"/>
  <c r="I1248" i="29" s="1"/>
  <c r="H1248" i="29" s="1"/>
  <c r="I1249" i="29" s="1"/>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1" i="29"/>
  <c r="I1241" i="29"/>
  <c r="L1237" i="29" s="1"/>
  <c r="E1241" i="29"/>
  <c r="X1240" i="29"/>
  <c r="W1240" i="29"/>
  <c r="R1240" i="29"/>
  <c r="I1240" i="29"/>
  <c r="X1239" i="29"/>
  <c r="W1239" i="29"/>
  <c r="R1239" i="29"/>
  <c r="I1239" i="29"/>
  <c r="X1238" i="29"/>
  <c r="W1238" i="29"/>
  <c r="R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L1196" i="29" s="1"/>
  <c r="E1200" i="29"/>
  <c r="X1199" i="29"/>
  <c r="W1199" i="29"/>
  <c r="R1199" i="29"/>
  <c r="I1199" i="29"/>
  <c r="X1198" i="29"/>
  <c r="W1198" i="29"/>
  <c r="R1198" i="29"/>
  <c r="I1198" i="29"/>
  <c r="X1197" i="29"/>
  <c r="W1197" i="29"/>
  <c r="R1197" i="29"/>
  <c r="X1196" i="29"/>
  <c r="W1196" i="29"/>
  <c r="R1196" i="29"/>
  <c r="AK1209" i="29"/>
  <c r="X1195" i="29"/>
  <c r="W1195" i="29"/>
  <c r="R1195" i="29"/>
  <c r="I1195" i="29"/>
  <c r="I1197" i="29" s="1"/>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AA1143"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s="1"/>
  <c r="Y1055" i="29"/>
  <c r="W1055" i="29" s="1"/>
  <c r="I1055" i="29"/>
  <c r="H1055" i="29"/>
  <c r="Y1054" i="29"/>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X1032" i="29"/>
  <c r="W1032" i="29"/>
  <c r="R1032" i="29"/>
  <c r="AK1044" i="29"/>
  <c r="X1031" i="29"/>
  <c r="W1031" i="29"/>
  <c r="R1031" i="29"/>
  <c r="I1031" i="29"/>
  <c r="I1033" i="29" s="1"/>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s="1"/>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I930" i="29" s="1"/>
  <c r="H930" i="29" s="1"/>
  <c r="W913" i="29"/>
  <c r="I913" i="29"/>
  <c r="L909" i="29" s="1"/>
  <c r="E913" i="29"/>
  <c r="X912" i="29"/>
  <c r="W912" i="29"/>
  <c r="R912" i="29"/>
  <c r="I912" i="29"/>
  <c r="X911" i="29"/>
  <c r="W911" i="29"/>
  <c r="R911" i="29"/>
  <c r="I911" i="29"/>
  <c r="X910" i="29"/>
  <c r="W910" i="29"/>
  <c r="R910" i="29"/>
  <c r="X909" i="29"/>
  <c r="W909" i="29"/>
  <c r="R909" i="29"/>
  <c r="X908" i="29"/>
  <c r="W908" i="29"/>
  <c r="R908" i="29"/>
  <c r="I908" i="29"/>
  <c r="I910" i="29" s="1"/>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X827" i="29"/>
  <c r="W827" i="29"/>
  <c r="R827" i="29"/>
  <c r="X826" i="29"/>
  <c r="W826" i="29"/>
  <c r="R826" i="29"/>
  <c r="I826" i="29"/>
  <c r="I828" i="29" s="1"/>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I807" i="29"/>
  <c r="H807" i="29"/>
  <c r="Z803" i="29"/>
  <c r="Z804" i="29" s="1"/>
  <c r="Z805" i="29" s="1"/>
  <c r="AB800" i="29"/>
  <c r="AA801" i="29" s="1"/>
  <c r="AA800"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X786" i="29"/>
  <c r="W786" i="29"/>
  <c r="R786"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W626" i="29"/>
  <c r="I626" i="29"/>
  <c r="L622" i="29" s="1"/>
  <c r="E626" i="29"/>
  <c r="X625" i="29"/>
  <c r="W625" i="29"/>
  <c r="R625" i="29"/>
  <c r="Q625" i="29"/>
  <c r="N625" i="29"/>
  <c r="I625" i="29"/>
  <c r="X624" i="29"/>
  <c r="W624" i="29"/>
  <c r="R624" i="29"/>
  <c r="I624" i="29"/>
  <c r="X623" i="29"/>
  <c r="W623" i="29"/>
  <c r="R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W463" i="29"/>
  <c r="M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0" i="29"/>
  <c r="Z271" i="29" s="1"/>
  <c r="Z272" i="29" s="1"/>
  <c r="AB267" i="29"/>
  <c r="AA268" i="29" s="1"/>
  <c r="AA267" i="29"/>
  <c r="W258" i="29"/>
  <c r="M258" i="29"/>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W135" i="29"/>
  <c r="M135" i="29"/>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I176" i="29" l="1"/>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Z1588" i="29"/>
  <c r="I459" i="29"/>
  <c r="Z858" i="29"/>
  <c r="I1279" i="29"/>
  <c r="I1238" i="29"/>
  <c r="I172" i="29"/>
  <c r="Z1593" i="29"/>
  <c r="AA163" i="29"/>
  <c r="Z360" i="29"/>
  <c r="I381" i="29"/>
  <c r="I386" i="29" s="1"/>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AA446" i="29"/>
  <c r="AA1270" i="29"/>
  <c r="L1484" i="29"/>
  <c r="AA1554" i="29"/>
  <c r="Z1597" i="29"/>
  <c r="AA1639" i="29"/>
  <c r="AA1801" i="29"/>
  <c r="AB1908" i="29"/>
  <c r="AA1909" i="29" s="1"/>
  <c r="AA1925" i="29"/>
  <c r="Z1999"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I500" i="29"/>
  <c r="AB514" i="29"/>
  <c r="AA515" i="29" s="1"/>
  <c r="I1156" i="29"/>
  <c r="AA1837" i="29"/>
  <c r="AA1845" i="29"/>
  <c r="Z1874" i="29"/>
  <c r="AA1961" i="29"/>
  <c r="P133" i="29"/>
  <c r="Z1546" i="29"/>
  <c r="W1588" i="29"/>
  <c r="AA1591" i="29" s="1"/>
  <c r="AA1761" i="29"/>
  <c r="Z1800" i="29"/>
  <c r="Z1962" i="29"/>
  <c r="AA1188" i="29"/>
  <c r="Z982" i="29"/>
  <c r="I1074" i="29"/>
  <c r="AA1148" i="29"/>
  <c r="Z940" i="29"/>
  <c r="Z1055" i="29"/>
  <c r="AA981" i="29"/>
  <c r="Z735" i="29"/>
  <c r="AA897" i="29"/>
  <c r="Z899" i="29"/>
  <c r="I746" i="29"/>
  <c r="I623" i="29"/>
  <c r="AA894" i="29"/>
  <c r="I787" i="29"/>
  <c r="AA810" i="29"/>
  <c r="AA609" i="29"/>
  <c r="M464" i="29"/>
  <c r="I463" i="29"/>
  <c r="AK471" i="29"/>
  <c r="Z400" i="29"/>
  <c r="AA281" i="29"/>
  <c r="AA160" i="29"/>
  <c r="AA164"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69" i="29" s="1"/>
  <c r="H69"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AB148"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I797" i="29" s="1"/>
  <c r="H797" i="29" s="1"/>
  <c r="I798" i="29" s="1"/>
  <c r="H798" i="29" s="1"/>
  <c r="I799" i="29" s="1"/>
  <c r="H799" i="29" s="1"/>
  <c r="I800" i="29" s="1"/>
  <c r="H800" i="29" s="1"/>
  <c r="I801" i="29" s="1"/>
  <c r="H801" i="29" s="1"/>
  <c r="I802" i="29" s="1"/>
  <c r="H802" i="29" s="1"/>
  <c r="I803" i="29" s="1"/>
  <c r="H803" i="29" s="1"/>
  <c r="I804" i="29" s="1"/>
  <c r="H804" i="29" s="1"/>
  <c r="I805" i="29" s="1"/>
  <c r="H805" i="29" s="1"/>
  <c r="I806" i="29" s="1"/>
  <c r="H80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Z1301" i="29"/>
  <c r="V1281" i="29"/>
  <c r="Z1303" i="29"/>
  <c r="Z1308" i="29"/>
  <c r="Z1311" i="29"/>
  <c r="M1284" i="29"/>
  <c r="Z1305" i="29"/>
  <c r="J1285" i="29"/>
  <c r="AA1293" i="29"/>
  <c r="N1281" i="29"/>
  <c r="M1285" i="29" a="1"/>
  <c r="M1285" i="29" s="1"/>
  <c r="Z1310" i="29"/>
  <c r="O1281" i="29"/>
  <c r="AC1313" i="29"/>
  <c r="S1240" i="29"/>
  <c r="AB1253" i="29"/>
  <c r="W1260" i="29"/>
  <c r="AA1263" i="29" s="1"/>
  <c r="Z126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AC1231" i="29"/>
  <c r="Q1199" i="29"/>
  <c r="AA1171" i="29"/>
  <c r="AB1171" i="29"/>
  <c r="S1158" i="29"/>
  <c r="W1178" i="29"/>
  <c r="AA1181" i="29" s="1"/>
  <c r="Z1183" i="29"/>
  <c r="Z117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Z1137" i="29"/>
  <c r="M1120" i="29"/>
  <c r="Z1141" i="29"/>
  <c r="J1121" i="29"/>
  <c r="AC1149" i="29"/>
  <c r="N1117" i="29"/>
  <c r="M1121" i="29" a="1"/>
  <c r="M1121" i="29" s="1"/>
  <c r="Z1143" i="29"/>
  <c r="O1117" i="29"/>
  <c r="Q1117" i="29"/>
  <c r="S1076"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Z975" i="29"/>
  <c r="Z980" i="29"/>
  <c r="Z983" i="29"/>
  <c r="M956" i="29"/>
  <c r="J957" i="29"/>
  <c r="AA965" i="29"/>
  <c r="N953" i="29"/>
  <c r="M957" i="29" a="1"/>
  <c r="M957" i="29" s="1"/>
  <c r="O953" i="29"/>
  <c r="AA925" i="29"/>
  <c r="AB925" i="29"/>
  <c r="S912" i="29"/>
  <c r="Z937" i="29"/>
  <c r="L910" i="29"/>
  <c r="T912" i="29"/>
  <c r="W934" i="29"/>
  <c r="AA937" i="29" s="1"/>
  <c r="W939" i="29"/>
  <c r="AA942" i="29" s="1"/>
  <c r="W942" i="29"/>
  <c r="Z934" i="29"/>
  <c r="Z939" i="29"/>
  <c r="Z942" i="29"/>
  <c r="M915" i="29"/>
  <c r="J916" i="29"/>
  <c r="AA924" i="29"/>
  <c r="N912" i="29"/>
  <c r="M916" i="29" a="1"/>
  <c r="M916" i="29" s="1"/>
  <c r="Z938" i="29"/>
  <c r="Z941" i="29"/>
  <c r="O912" i="29"/>
  <c r="AC944" i="29"/>
  <c r="S871" i="29"/>
  <c r="T871" i="29"/>
  <c r="Z89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Z809" i="29"/>
  <c r="Z811" i="29"/>
  <c r="Z813" i="29"/>
  <c r="W808" i="29"/>
  <c r="AA811" i="29" s="1"/>
  <c r="W817" i="29"/>
  <c r="AA820" i="29" s="1"/>
  <c r="S748" i="29"/>
  <c r="AB761" i="29"/>
  <c r="W768" i="29"/>
  <c r="AA771" i="29" s="1"/>
  <c r="Z773" i="29"/>
  <c r="C751" i="29"/>
  <c r="Z768" i="29"/>
  <c r="Z770" i="29"/>
  <c r="Z775" i="29"/>
  <c r="Z778" i="29"/>
  <c r="M751" i="29"/>
  <c r="Z772" i="29"/>
  <c r="O748" i="29"/>
  <c r="AC780" i="29"/>
  <c r="S707" i="29"/>
  <c r="T707" i="29"/>
  <c r="W725" i="29"/>
  <c r="AA728" i="29" s="1"/>
  <c r="W729" i="29"/>
  <c r="AA732" i="29" s="1"/>
  <c r="W734" i="29"/>
  <c r="AA737" i="29" s="1"/>
  <c r="W737" i="29"/>
  <c r="Z727" i="29"/>
  <c r="Z729" i="29"/>
  <c r="Z734" i="29"/>
  <c r="Z737" i="29"/>
  <c r="M710" i="29"/>
  <c r="Z731" i="29"/>
  <c r="J711" i="29"/>
  <c r="AC739" i="29"/>
  <c r="N707" i="29"/>
  <c r="M711" i="29" a="1"/>
  <c r="M711" i="29" s="1"/>
  <c r="O707" i="29"/>
  <c r="Q707" i="29"/>
  <c r="AA679" i="29"/>
  <c r="AB679" i="29"/>
  <c r="T666" i="29"/>
  <c r="W688" i="29"/>
  <c r="AA691" i="29" s="1"/>
  <c r="W693" i="29"/>
  <c r="AA696" i="29" s="1"/>
  <c r="W696" i="29"/>
  <c r="Z696" i="29"/>
  <c r="J670" i="29"/>
  <c r="AA678" i="29"/>
  <c r="N666" i="29"/>
  <c r="M670" i="29" a="1"/>
  <c r="M670" i="29" s="1"/>
  <c r="Z692"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Z604" i="29"/>
  <c r="Z606" i="29"/>
  <c r="Z611" i="29"/>
  <c r="Z614" i="29"/>
  <c r="M587" i="29"/>
  <c r="J588" i="29"/>
  <c r="AA596" i="29"/>
  <c r="N584" i="29"/>
  <c r="M588" i="29" a="1"/>
  <c r="M588" i="29" s="1"/>
  <c r="Z610" i="29"/>
  <c r="O584" i="29"/>
  <c r="P584" i="29"/>
  <c r="Q584" i="29"/>
  <c r="AC616" i="29"/>
  <c r="S543"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Z483" i="29"/>
  <c r="Z488" i="29"/>
  <c r="Z491" i="29"/>
  <c r="J465" i="29"/>
  <c r="AA473" i="29"/>
  <c r="M465" i="29" a="1"/>
  <c r="M465" i="29" s="1"/>
  <c r="Z487" i="29"/>
  <c r="AC493" i="29"/>
  <c r="P461" i="29"/>
  <c r="Q461" i="29"/>
  <c r="AB433"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C136" i="29"/>
  <c r="Z153" i="29"/>
  <c r="Z155" i="29"/>
  <c r="Z163" i="29"/>
  <c r="M136"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L295" i="29" l="1"/>
  <c r="L49" i="29"/>
  <c r="AB556" i="29"/>
  <c r="AB720" i="29"/>
  <c r="AA1828" i="29"/>
  <c r="L377" i="29"/>
  <c r="AA147" i="29"/>
  <c r="AB1089" i="29"/>
  <c r="L213" i="29"/>
  <c r="AA146" i="29"/>
  <c r="L336"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7" i="34"/>
  <c r="DP6" i="34" s="1"/>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7" i="34"/>
  <c r="CV6" i="34" s="1"/>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FD3" i="34" l="1"/>
  <c r="DA3" i="34"/>
  <c r="EO3" i="34"/>
  <c r="FI3" i="34"/>
  <c r="FH3" i="34" s="1"/>
  <c r="FH2" i="34" s="1"/>
  <c r="EY3" i="34"/>
  <c r="EX3" i="34" s="1"/>
  <c r="EX2" i="34" s="1"/>
  <c r="DF3" i="34"/>
  <c r="DE3" i="34" s="1"/>
  <c r="L870" i="29" s="1"/>
  <c r="CQ3" i="34"/>
  <c r="CP3" i="34" s="1"/>
  <c r="CP2" i="34" s="1"/>
  <c r="BH3" i="34"/>
  <c r="BG3" i="34" s="1"/>
  <c r="BG2" i="34" s="1"/>
  <c r="EJ5" i="34"/>
  <c r="EE3" i="34"/>
  <c r="DZ3" i="34"/>
  <c r="DY3" i="34" s="1"/>
  <c r="L1034" i="29" s="1"/>
  <c r="DU3" i="34"/>
  <c r="DP3" i="34"/>
  <c r="DO3" i="34" s="1"/>
  <c r="DO2" i="34" s="1"/>
  <c r="DP5" i="34"/>
  <c r="CV5" i="34"/>
  <c r="CV3" i="34"/>
  <c r="CL3" i="34"/>
  <c r="CK3" i="34" s="1"/>
  <c r="CK2" i="34" s="1"/>
  <c r="CB3" i="34"/>
  <c r="BW3" i="34"/>
  <c r="BV3" i="34" s="1"/>
  <c r="BV2" i="34" s="1"/>
  <c r="BR3" i="34"/>
  <c r="BQ3" i="34" s="1"/>
  <c r="L542" i="29" s="1"/>
  <c r="BM3" i="34"/>
  <c r="AS3" i="34"/>
  <c r="GB2" i="34"/>
  <c r="L1485" i="29"/>
  <c r="GL2" i="34"/>
  <c r="L1567" i="29"/>
  <c r="GV2" i="34"/>
  <c r="L1649" i="29"/>
  <c r="HF2" i="34"/>
  <c r="L1731" i="29"/>
  <c r="HP2" i="34"/>
  <c r="L1813" i="29"/>
  <c r="HZ2" i="34"/>
  <c r="L1895" i="29"/>
  <c r="IJ2" i="34"/>
  <c r="L1977" i="29"/>
  <c r="GG2" i="34"/>
  <c r="L1526" i="29"/>
  <c r="GQ2" i="34"/>
  <c r="L1608" i="29"/>
  <c r="HA2" i="34"/>
  <c r="L1690" i="29"/>
  <c r="HK2" i="34"/>
  <c r="L1772" i="29"/>
  <c r="HU2" i="34"/>
  <c r="L1854" i="29"/>
  <c r="IE2" i="34"/>
  <c r="L1936" i="29"/>
  <c r="AX3" i="34"/>
  <c r="FC3" i="34"/>
  <c r="FC2" i="34" s="1"/>
  <c r="EN3" i="34"/>
  <c r="L1157" i="29" s="1"/>
  <c r="CZ3" i="34"/>
  <c r="CZ2" i="34" s="1"/>
  <c r="FS3" i="34"/>
  <c r="FR3" i="34" s="1"/>
  <c r="FR2" i="34" s="1"/>
  <c r="FX5" i="34"/>
  <c r="FW3" i="34" s="1"/>
  <c r="FM2" i="34"/>
  <c r="L1362" i="29"/>
  <c r="ET3" i="34"/>
  <c r="ES3" i="34" s="1"/>
  <c r="L1198" i="29" s="1"/>
  <c r="EJ3" i="34"/>
  <c r="EI3" i="34" s="1"/>
  <c r="EI2" i="34" s="1"/>
  <c r="DK3" i="34"/>
  <c r="DJ3" i="34" s="1"/>
  <c r="DJ2" i="34" s="1"/>
  <c r="EE5" i="34"/>
  <c r="DU5" i="34"/>
  <c r="CG3" i="34"/>
  <c r="CF3" i="34" s="1"/>
  <c r="CF2" i="34" s="1"/>
  <c r="CB5" i="34"/>
  <c r="AN5" i="34"/>
  <c r="BC3" i="34"/>
  <c r="AX5" i="34"/>
  <c r="O5" i="34"/>
  <c r="AI5" i="34"/>
  <c r="BC5" i="34"/>
  <c r="BM5" i="34"/>
  <c r="AS5" i="34"/>
  <c r="Y5" i="34"/>
  <c r="AI3" i="34"/>
  <c r="AD3" i="34"/>
  <c r="T5" i="34"/>
  <c r="Y3" i="34"/>
  <c r="AN3" i="34"/>
  <c r="AM3" i="34" s="1"/>
  <c r="AD5" i="34"/>
  <c r="T3" i="34"/>
  <c r="O3" i="34"/>
  <c r="J3" i="34"/>
  <c r="I3" i="34" s="1"/>
  <c r="IP3" i="34"/>
  <c r="IO3" i="34" s="1"/>
  <c r="E12" i="29"/>
  <c r="E7" i="29"/>
  <c r="E9" i="34"/>
  <c r="E7" i="34"/>
  <c r="E6" i="34" s="1"/>
  <c r="DT3" i="34" l="1"/>
  <c r="DT2" i="34" s="1"/>
  <c r="ED3" i="34"/>
  <c r="ED2" i="34" s="1"/>
  <c r="L952" i="29"/>
  <c r="CU3" i="34"/>
  <c r="L788" i="29" s="1"/>
  <c r="CA3" i="34"/>
  <c r="L624" i="29" s="1"/>
  <c r="BL3" i="34"/>
  <c r="L501" i="29" s="1"/>
  <c r="AR3" i="34"/>
  <c r="L337" i="29" s="1"/>
  <c r="IO2" i="34"/>
  <c r="L2018" i="29"/>
  <c r="AW3" i="34"/>
  <c r="L378" i="29" s="1"/>
  <c r="L1321" i="29"/>
  <c r="L1280" i="29"/>
  <c r="EN2" i="34"/>
  <c r="DY2" i="34"/>
  <c r="DE2" i="34"/>
  <c r="L829" i="29"/>
  <c r="L747" i="29"/>
  <c r="L706" i="29"/>
  <c r="L583" i="29"/>
  <c r="BQ2" i="34"/>
  <c r="N3" i="34"/>
  <c r="L91" i="29" s="1"/>
  <c r="L1403" i="29"/>
  <c r="FW2" i="34"/>
  <c r="L1444" i="29"/>
  <c r="L1239" i="29"/>
  <c r="ES2" i="34"/>
  <c r="L1116" i="29"/>
  <c r="L911" i="29"/>
  <c r="L665" i="29"/>
  <c r="L460" i="29"/>
  <c r="BB3" i="34"/>
  <c r="BB2" i="34" s="1"/>
  <c r="AH3" i="34"/>
  <c r="AH2" i="34" s="1"/>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AR2" i="34" l="1"/>
  <c r="CU2" i="34"/>
  <c r="L993" i="29"/>
  <c r="L1075" i="29"/>
  <c r="CA2" i="34"/>
  <c r="BL2" i="34"/>
  <c r="AW2" i="34"/>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V461" i="29" s="1"/>
  <c r="AR534" i="29"/>
  <c r="AN575" i="29"/>
  <c r="V543" i="29" s="1"/>
  <c r="AR575" i="29"/>
  <c r="AQ616" i="29"/>
  <c r="AN657" i="29"/>
  <c r="AR657" i="29"/>
  <c r="AQ698" i="29"/>
  <c r="AN739" i="29"/>
  <c r="AR780" i="29"/>
  <c r="AN821" i="29"/>
  <c r="V789" i="29" s="1"/>
  <c r="AR821" i="29"/>
  <c r="AR862" i="29"/>
  <c r="AN903" i="29"/>
  <c r="V871" i="29" s="1"/>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1240" i="29" l="1"/>
  <c r="V953" i="29"/>
  <c r="V707" i="29"/>
  <c r="V133" i="29"/>
  <c r="V748" i="29"/>
  <c r="V1158" i="29"/>
  <c r="V1117" i="29"/>
  <c r="V502" i="29"/>
  <c r="V338" i="29"/>
  <c r="V912" i="29"/>
  <c r="V584" i="29"/>
  <c r="V297" i="29"/>
  <c r="V379"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120" i="29" l="1"/>
  <c r="E1202" i="29"/>
  <c r="E1284"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J1249" i="29" s="1"/>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J1126" i="29" s="1"/>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J1088" i="29" s="1"/>
  <c r="BA1086" i="29"/>
  <c r="J1087" i="29" s="1"/>
  <c r="BA1085" i="29"/>
  <c r="J1086" i="29" s="1"/>
  <c r="BA1084" i="29"/>
  <c r="J1085" i="29" s="1"/>
  <c r="AE1083" i="29"/>
  <c r="BA1083" i="29"/>
  <c r="J1084" i="29" s="1"/>
  <c r="BA1065" i="29"/>
  <c r="BA1064" i="29"/>
  <c r="BA1063" i="29"/>
  <c r="BA1061" i="29"/>
  <c r="BA1060" i="29"/>
  <c r="BA1059" i="29"/>
  <c r="BA1058" i="29"/>
  <c r="BA1057" i="29"/>
  <c r="BA1056" i="29"/>
  <c r="BA1055" i="29"/>
  <c r="J1056" i="29" s="1"/>
  <c r="BA1054" i="29"/>
  <c r="BA1053" i="29"/>
  <c r="BA1052" i="29"/>
  <c r="BA1051" i="29"/>
  <c r="BA1050" i="29"/>
  <c r="J1051" i="29" s="1"/>
  <c r="BA1049" i="29"/>
  <c r="J1050" i="29" s="1"/>
  <c r="BA1048" i="29"/>
  <c r="J1049" i="29" s="1"/>
  <c r="BA1047" i="29"/>
  <c r="J1048" i="29" s="1"/>
  <c r="BA1046" i="29"/>
  <c r="J1047" i="29" s="1"/>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J1007" i="29" s="1"/>
  <c r="BA1005" i="29"/>
  <c r="J1006" i="29" s="1"/>
  <c r="BA1004" i="29"/>
  <c r="J1005" i="29" s="1"/>
  <c r="BA1003" i="29"/>
  <c r="J1004" i="29" s="1"/>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J930" i="29" s="1"/>
  <c r="BA928" i="29"/>
  <c r="J929" i="29" s="1"/>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U871" i="29" s="1"/>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S1199" i="29" s="1"/>
  <c r="AJ1198" i="29"/>
  <c r="P1198" i="29" s="1"/>
  <c r="AL1195" i="29"/>
  <c r="S1195" i="29" s="1"/>
  <c r="AJ1199" i="29"/>
  <c r="P1199" i="29" s="1"/>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U912" i="29" s="1"/>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U1240" i="29" s="1"/>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U584" i="29" s="1"/>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U953" i="29" s="1"/>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U1281" i="29" s="1"/>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P666" i="29" s="1"/>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U707" i="29" s="1"/>
  <c r="AI706" i="29"/>
  <c r="N706" i="29" s="1"/>
  <c r="AK703" i="29"/>
  <c r="U703" i="29" s="1"/>
  <c r="AJ707" i="29"/>
  <c r="P707" i="29" s="1"/>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U748" i="29" s="1"/>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U1117" i="29" s="1"/>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U789" i="29" s="1"/>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U1158" i="29" s="1"/>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G524" i="29"/>
  <c r="AU500" i="29"/>
  <c r="AU499" i="29"/>
  <c r="AU501"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X704" i="29"/>
  <c r="AU706" i="29"/>
  <c r="AV705" i="29"/>
  <c r="AU704"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U582" i="29"/>
  <c r="AV581" i="29"/>
  <c r="AU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X745" i="29"/>
  <c r="AX747" i="29"/>
  <c r="AU746" i="29"/>
  <c r="AX746" i="29"/>
  <c r="AU745" i="29"/>
  <c r="AU747"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U336" i="29"/>
  <c r="AU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X458" i="29"/>
  <c r="AV459" i="29"/>
  <c r="AX459"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X786" i="29"/>
  <c r="AU788" i="29"/>
  <c r="AV787" i="29"/>
  <c r="AU786"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AA1601" i="29"/>
  <c r="AA903" i="29"/>
  <c r="AA904" i="29"/>
  <c r="G915" i="36"/>
  <c r="AD1026" i="29"/>
  <c r="AA1068" i="29"/>
  <c r="AA944" i="29"/>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1571" i="29" l="1"/>
  <c r="J915" i="29"/>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U10" i="29" l="1"/>
  <c r="P10" i="29"/>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S540" i="29"/>
  <c r="AW540" i="29" s="1"/>
  <c r="AS541" i="29"/>
  <c r="AS706" i="29"/>
  <c r="AW706" i="29" s="1"/>
  <c r="AS704" i="29"/>
  <c r="AW704" i="29" s="1"/>
  <c r="AS705" i="29"/>
  <c r="AW705" i="29" s="1"/>
  <c r="AS254" i="29"/>
  <c r="AS255" i="29"/>
  <c r="AS253" i="29"/>
  <c r="AS581" i="29"/>
  <c r="AS583" i="29"/>
  <c r="AS582" i="29"/>
  <c r="AS132" i="29"/>
  <c r="AU132" i="29" s="1"/>
  <c r="AS131" i="29"/>
  <c r="AU131" i="29" s="1"/>
  <c r="AS130" i="29"/>
  <c r="AU130" i="29" s="1"/>
  <c r="AS295" i="29"/>
  <c r="AS296" i="29"/>
  <c r="AS294" i="29"/>
  <c r="AW294" i="29" s="1"/>
  <c r="AS460" i="29"/>
  <c r="AS458" i="29"/>
  <c r="AS459" i="29"/>
  <c r="AS624" i="29"/>
  <c r="AW624" i="29" s="1"/>
  <c r="AS622" i="29"/>
  <c r="AW622" i="29" s="1"/>
  <c r="AS623" i="29"/>
  <c r="AW623" i="29" s="1"/>
  <c r="AS788" i="29"/>
  <c r="AW788" i="29" s="1"/>
  <c r="AS786" i="29"/>
  <c r="AW786" i="29" s="1"/>
  <c r="AS787" i="29"/>
  <c r="AW787" i="29" s="1"/>
  <c r="AS90" i="29"/>
  <c r="AS89" i="29"/>
  <c r="AV89" i="29" s="1"/>
  <c r="AS91" i="29"/>
  <c r="AV91" i="29" s="1"/>
  <c r="AS417" i="29"/>
  <c r="AS419" i="29"/>
  <c r="AS418" i="29"/>
  <c r="AS745" i="29"/>
  <c r="AS747" i="29"/>
  <c r="AS746" i="29"/>
  <c r="AS172" i="29"/>
  <c r="AW172" i="29" s="1"/>
  <c r="AS173" i="29"/>
  <c r="AW173" i="29" s="1"/>
  <c r="AS171" i="29"/>
  <c r="AS335" i="29"/>
  <c r="AW335" i="29" s="1"/>
  <c r="AS337" i="29"/>
  <c r="AW337" i="29" s="1"/>
  <c r="AS336" i="29"/>
  <c r="AW336" i="29" s="1"/>
  <c r="AS499" i="29"/>
  <c r="AW499" i="29" s="1"/>
  <c r="AS501" i="29"/>
  <c r="AW501" i="29" s="1"/>
  <c r="AS500" i="29"/>
  <c r="AW500" i="29" s="1"/>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J800" i="29" s="1"/>
  <c r="BA798" i="29"/>
  <c r="J799" i="29" s="1"/>
  <c r="BA797" i="29"/>
  <c r="J798" i="29" s="1"/>
  <c r="AE796" i="29"/>
  <c r="BA796" i="29"/>
  <c r="J797" i="29" s="1"/>
  <c r="BA778" i="29"/>
  <c r="BA777" i="29"/>
  <c r="BA776" i="29"/>
  <c r="BA774" i="29"/>
  <c r="BA773" i="29"/>
  <c r="BA772" i="29"/>
  <c r="BA771" i="29"/>
  <c r="BA770" i="29"/>
  <c r="BA769" i="29"/>
  <c r="BA768" i="29"/>
  <c r="BA767" i="29"/>
  <c r="BA766" i="29"/>
  <c r="BA765" i="29"/>
  <c r="BA764" i="29"/>
  <c r="BA763" i="29"/>
  <c r="BA762" i="29"/>
  <c r="BA761" i="29"/>
  <c r="BA760" i="29"/>
  <c r="J761" i="29" s="1"/>
  <c r="BA759" i="29"/>
  <c r="J760" i="29" s="1"/>
  <c r="BA758" i="29"/>
  <c r="J759" i="29" s="1"/>
  <c r="BA757" i="29"/>
  <c r="J758" i="29" s="1"/>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J717" i="29" s="1"/>
  <c r="BA715" i="29"/>
  <c r="J716" i="29" s="1"/>
  <c r="AE714" i="29"/>
  <c r="BA714" i="29"/>
  <c r="J715" i="29" s="1"/>
  <c r="BA696" i="29"/>
  <c r="BA695" i="29"/>
  <c r="BA694" i="29"/>
  <c r="BA692" i="29"/>
  <c r="BA691" i="29"/>
  <c r="BA690" i="29"/>
  <c r="BA689" i="29"/>
  <c r="BA688" i="29"/>
  <c r="BA687" i="29"/>
  <c r="BA686" i="29"/>
  <c r="BA685" i="29"/>
  <c r="BA684" i="29"/>
  <c r="BA683" i="29"/>
  <c r="BA682" i="29"/>
  <c r="BA681" i="29"/>
  <c r="BA680" i="29"/>
  <c r="BA679" i="29"/>
  <c r="BA678" i="29"/>
  <c r="BA677" i="29"/>
  <c r="BA676" i="29"/>
  <c r="BA675" i="29"/>
  <c r="J676" i="29" s="1"/>
  <c r="BA674" i="29"/>
  <c r="J675" i="29" s="1"/>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J636" i="29" s="1"/>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J557" i="29" s="1"/>
  <c r="BA555" i="29"/>
  <c r="J556" i="29" s="1"/>
  <c r="BA554" i="29"/>
  <c r="J555" i="29" s="1"/>
  <c r="BA553" i="29"/>
  <c r="J554" i="29" s="1"/>
  <c r="BA552" i="29"/>
  <c r="J553" i="29" s="1"/>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J512" i="29" s="1"/>
  <c r="BA510" i="29"/>
  <c r="J511" i="29" s="1"/>
  <c r="AE509" i="29"/>
  <c r="BA509" i="29"/>
  <c r="J510" i="29" s="1"/>
  <c r="BA491" i="29"/>
  <c r="BA490" i="29"/>
  <c r="BA489" i="29"/>
  <c r="BA487" i="29"/>
  <c r="BA486" i="29"/>
  <c r="BA485" i="29"/>
  <c r="BA484" i="29"/>
  <c r="BA483" i="29"/>
  <c r="BA482" i="29"/>
  <c r="BA481" i="29"/>
  <c r="BA480" i="29"/>
  <c r="BA479" i="29"/>
  <c r="BA478" i="29"/>
  <c r="BA477" i="29"/>
  <c r="BA476" i="29"/>
  <c r="BA475" i="29"/>
  <c r="BA474" i="29"/>
  <c r="BA473" i="29"/>
  <c r="BA472" i="29"/>
  <c r="BA471" i="29"/>
  <c r="BA470" i="29"/>
  <c r="J471" i="29" s="1"/>
  <c r="BA469" i="29"/>
  <c r="J470" i="29" s="1"/>
  <c r="AE468" i="29"/>
  <c r="BA468" i="29"/>
  <c r="J469" i="29" s="1"/>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J396" i="29" s="1"/>
  <c r="BA394" i="29"/>
  <c r="J395" i="29" s="1"/>
  <c r="BA393" i="29"/>
  <c r="J394" i="29" s="1"/>
  <c r="BA392" i="29"/>
  <c r="J393" i="29" s="1"/>
  <c r="BA391" i="29"/>
  <c r="J392" i="29" s="1"/>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BA348" i="29"/>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BA306" i="29"/>
  <c r="J307" i="29" s="1"/>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J268" i="29" s="1"/>
  <c r="BA266" i="29"/>
  <c r="J267" i="29" s="1"/>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J69" i="29" s="1"/>
  <c r="BA67" i="29"/>
  <c r="J68" i="29" s="1"/>
  <c r="BA66" i="29"/>
  <c r="J67" i="29" s="1"/>
  <c r="BA65" i="29"/>
  <c r="J66" i="29" s="1"/>
  <c r="BA64" i="29"/>
  <c r="J65" i="29" s="1"/>
  <c r="BA63" i="29"/>
  <c r="J64" i="29" s="1"/>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V747" i="29" l="1"/>
  <c r="AW747" i="29"/>
  <c r="AU460" i="29"/>
  <c r="AW460" i="29"/>
  <c r="AV541" i="29"/>
  <c r="AW541" i="29"/>
  <c r="AV745" i="29"/>
  <c r="AW745" i="29"/>
  <c r="AU459" i="29"/>
  <c r="AW459" i="29"/>
  <c r="AV542" i="29"/>
  <c r="AW542" i="29"/>
  <c r="AV746" i="29"/>
  <c r="AW746" i="29"/>
  <c r="AU458" i="29"/>
  <c r="AW458" i="29"/>
  <c r="AX581" i="29"/>
  <c r="AW581" i="29"/>
  <c r="AX583" i="29"/>
  <c r="AW583" i="29"/>
  <c r="AX582" i="29"/>
  <c r="AW582" i="29"/>
  <c r="AV296" i="29"/>
  <c r="AW296" i="29"/>
  <c r="AV295" i="29"/>
  <c r="AW295"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<sst xmlns="http://schemas.openxmlformats.org/spreadsheetml/2006/main" count="8067" uniqueCount="826">
  <si>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</si>
  <si>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</si>
  <si>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</si>
  <si>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</si>
  <si>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</si>
  <si>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</si>
  <si>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</si>
  <si>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</si>
  <si>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</si>
  <si>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</si>
  <si>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</si>
  <si>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</si>
  <si>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</si>
  <si>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</si>
  <si>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</si>
  <si>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</si>
  <si>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</si>
  <si>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</si>
  <si>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</si>
  <si>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</si>
  <si>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</si>
  <si>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</si>
  <si>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</si>
  <si>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</si>
  <si>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</si>
  <si>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</si>
  <si>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</si>
  <si>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</si>
  <si>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</si>
  <si>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</si>
  <si>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</si>
  <si>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</si>
  <si>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</si>
  <si>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</si>
  <si>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</si>
  <si>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</si>
  <si>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</si>
  <si>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</si>
  <si>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</si>
  <si>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</si>
  <si>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</si>
  <si>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</si>
  <si>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</si>
  <si>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</si>
  <si>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</si>
  <si>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</si>
  <si>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</si>
  <si>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</si>
  <si>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</si>
  <si>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</si>
  <si>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</si>
  <si>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</si>
  <si>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</si>
  <si>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</si>
  <si>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</si>
  <si>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</si>
  <si>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</si>
  <si>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</si>
  <si>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</si>
  <si>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</si>
  <si>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</si>
  <si>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</si>
  <si>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</si>
  <si>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</si>
  <si>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</si>
  <si>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</si>
  <si>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</si>
  <si>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</si>
  <si>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</si>
  <si>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</si>
  <si>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</si>
  <si>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</si>
  <si>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</si>
  <si>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</si>
  <si>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</si>
  <si>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</si>
  <si>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</si>
  <si>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</si>
  <si>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</si>
  <si>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</si>
  <si>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</si>
  <si>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</si>
  <si>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</si>
  <si>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</si>
  <si>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</si>
  <si>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</si>
  <si>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</si>
  <si>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</si>
  <si>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</si>
  <si>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</si>
  <si>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</si>
  <si>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</si>
  <si>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</si>
  <si>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</si>
  <si>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</si>
  <si>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</si>
  <si>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</si>
  <si>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</si>
  <si>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</si>
  <si>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</si>
  <si>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</si>
  <si>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</si>
  <si>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</si>
  <si>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</si>
  <si>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</si>
  <si>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</si>
  <si>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</si>
  <si>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</si>
  <si>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</si>
  <si>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</si>
  <si>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</si>
  <si>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</si>
  <si>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</si>
  <si>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</si>
  <si>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</si>
  <si>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</si>
  <si>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</si>
  <si>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</si>
  <si>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</si>
  <si>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</si>
  <si>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</si>
  <si>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</si>
  <si>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</si>
  <si>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</si>
  <si>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</si>
  <si>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</si>
  <si>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</si>
  <si>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</si>
  <si>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</si>
  <si>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</si>
  <si>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</si>
  <si>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</si>
  <si>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</si>
  <si>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</si>
  <si>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</si>
  <si>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</si>
  <si>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</si>
  <si>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</si>
  <si>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</si>
  <si>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</si>
  <si>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</si>
  <si>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</si>
  <si>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</si>
  <si>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</si>
  <si>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</si>
  <si>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</si>
  <si>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</si>
  <si>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</si>
  <si>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</si>
  <si>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</si>
  <si>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</si>
  <si>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</si>
  <si>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</si>
  <si>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</si>
  <si>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</si>
  <si>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</si>
  <si>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</si>
  <si>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</si>
  <si>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</si>
  <si>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</si>
  <si>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</si>
  <si>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</si>
  <si>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</si>
  <si>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</si>
  <si>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</si>
  <si>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</si>
  <si>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</si>
  <si>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</si>
  <si>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</si>
  <si>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</si>
  <si>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</si>
  <si>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</si>
  <si>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</si>
  <si>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</si>
  <si>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</si>
  <si>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</si>
  <si>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</si>
  <si>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</si>
  <si>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</si>
  <si>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</si>
  <si>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</si>
  <si>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</si>
  <si>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</si>
  <si>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</si>
  <si>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</si>
  <si>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</si>
  <si>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</si>
  <si>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</si>
  <si>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</si>
  <si>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</si>
  <si>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</si>
  <si>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</si>
  <si>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</si>
  <si>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</si>
  <si>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</si>
  <si>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</si>
  <si>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</si>
  <si>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</si>
  <si>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</si>
  <si>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</si>
  <si>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</si>
  <si>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</si>
  <si>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</si>
  <si>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</si>
  <si>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</si>
  <si>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</si>
  <si>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</si>
  <si>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</si>
  <si>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</si>
  <si>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</si>
  <si>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</si>
  <si>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</si>
  <si>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</si>
  <si>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</si>
  <si>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</si>
  <si>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</si>
  <si>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</si>
  <si>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</si>
  <si>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</si>
  <si>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</si>
  <si>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</si>
  <si>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</si>
  <si>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</si>
  <si>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</si>
  <si>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</si>
  <si>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</si>
  <si>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</si>
  <si>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</si>
  <si>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</si>
  <si>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</si>
  <si>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</si>
  <si>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</si>
  <si>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</si>
  <si>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</si>
  <si>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</si>
  <si>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</si>
  <si>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</si>
  <si>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</si>
  <si>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</si>
  <si>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</si>
  <si>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</si>
  <si>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</si>
  <si>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</si>
  <si>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</si>
  <si>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</si>
  <si>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</si>
  <si>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</si>
  <si>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</si>
  <si>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</si>
  <si>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</si>
  <si>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</si>
  <si>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</si>
  <si>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</si>
  <si>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</si>
  <si>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</si>
  <si>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</si>
  <si>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</si>
  <si>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</si>
  <si>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</si>
  <si>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</si>
  <si>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</si>
  <si>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</si>
  <si>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</si>
  <si>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</si>
  <si>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</si>
  <si>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</si>
  <si>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</si>
  <si>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</si>
  <si>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</si>
  <si>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</si>
  <si>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</si>
  <si>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</si>
  <si>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</si>
  <si>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</si>
  <si>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</si>
  <si>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</si>
  <si>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</si>
  <si>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</si>
  <si>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</si>
  <si>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</si>
  <si>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</si>
  <si>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</si>
  <si>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</si>
  <si>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</si>
  <si>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</si>
  <si>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</si>
  <si>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</si>
  <si>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</si>
  <si>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</si>
  <si>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</si>
  <si>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</si>
  <si>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</si>
  <si>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</si>
  <si>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</si>
  <si>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</si>
  <si>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</si>
  <si>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</si>
  <si>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</si>
  <si>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</si>
  <si>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</si>
  <si>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</si>
  <si>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</si>
  <si>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</si>
  <si>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</si>
  <si>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</si>
  <si>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</si>
  <si>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</si>
  <si>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</si>
  <si>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</si>
  <si>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</si>
  <si>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</si>
  <si>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</si>
  <si>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</si>
  <si>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</si>
  <si>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</si>
  <si>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</si>
  <si>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</si>
  <si>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</si>
  <si>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</si>
  <si>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</si>
  <si>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</si>
  <si>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</si>
  <si>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</si>
  <si>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</si>
  <si>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</si>
  <si>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</si>
  <si>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</si>
  <si>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</si>
  <si>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</si>
  <si>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</si>
  <si>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</si>
  <si>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</si>
  <si>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</si>
  <si>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</si>
  <si>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</si>
  <si>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</si>
  <si>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</si>
  <si>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</si>
  <si>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</si>
  <si>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</si>
  <si>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</si>
  <si>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</si>
  <si>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</si>
  <si>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</si>
  <si>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</si>
  <si>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</si>
  <si>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</si>
  <si>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</si>
  <si>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</si>
  <si>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</si>
  <si>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</si>
  <si>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</si>
  <si>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</si>
  <si>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</si>
  <si>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</si>
  <si>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</si>
  <si>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</si>
  <si>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</si>
  <si>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</si>
  <si>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</si>
  <si>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</si>
  <si>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</si>
  <si>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</si>
  <si>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</si>
  <si>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</si>
  <si>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</si>
  <si>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</si>
  <si>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</si>
  <si>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</si>
  <si>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</si>
  <si>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</si>
  <si>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</si>
  <si>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</si>
  <si>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</si>
  <si>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</si>
  <si>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</si>
  <si>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</si>
  <si>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</si>
  <si>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</si>
  <si>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</si>
  <si>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</si>
  <si>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</si>
  <si>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</si>
  <si>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</si>
  <si>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</si>
  <si>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</si>
  <si>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</si>
  <si>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</si>
  <si>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</si>
  <si>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</si>
  <si>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</si>
  <si>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</si>
  <si>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</si>
  <si>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</si>
  <si>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</si>
  <si>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</si>
  <si>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</si>
  <si>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</si>
  <si>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</si>
  <si>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</si>
  <si>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</si>
  <si>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</si>
  <si>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</si>
  <si>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</si>
  <si>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</si>
  <si>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</si>
  <si>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</si>
  <si>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</si>
  <si>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</si>
  <si>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</si>
  <si>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</si>
  <si>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</si>
  <si>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</si>
  <si>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</si>
  <si>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</si>
  <si>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</si>
  <si>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</si>
  <si>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</si>
  <si>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</si>
  <si>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</si>
  <si>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</si>
  <si>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</si>
  <si>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</si>
  <si>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</si>
  <si>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</si>
  <si>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</si>
  <si>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</si>
  <si>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</si>
  <si>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</si>
  <si>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</si>
  <si>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</si>
  <si>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</si>
  <si>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</si>
  <si>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</si>
  <si>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</si>
  <si>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</si>
  <si>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</si>
  <si>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</si>
  <si>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</si>
  <si>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</si>
  <si>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</si>
  <si>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</si>
  <si>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</si>
  <si>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</si>
  <si>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</si>
  <si>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</si>
  <si>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</si>
  <si>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</si>
  <si>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</si>
  <si>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</si>
  <si>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</si>
  <si>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</si>
  <si>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</si>
  <si>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</si>
  <si>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</si>
  <si>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</si>
  <si>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</si>
  <si>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</si>
  <si>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</si>
  <si>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</si>
  <si>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</si>
  <si>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</si>
  <si>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</si>
  <si>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</si>
  <si>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</si>
  <si>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</si>
  <si>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</si>
  <si>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</si>
  <si>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</si>
  <si>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</si>
  <si>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</si>
  <si>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</si>
  <si>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</si>
  <si>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</si>
  <si>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</si>
  <si>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</si>
  <si>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</si>
  <si>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</si>
  <si>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</si>
  <si>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</si>
  <si>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</si>
  <si>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</si>
  <si>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</si>
  <si>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</si>
  <si>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</si>
  <si>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</si>
  <si>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</si>
  <si>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</si>
  <si>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</si>
  <si>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</si>
  <si>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</si>
  <si>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</si>
  <si>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</si>
  <si>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</si>
  <si>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</si>
  <si>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</si>
  <si>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</si>
  <si>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</si>
  <si>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</si>
  <si>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</si>
  <si>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</si>
  <si>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</si>
  <si>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</si>
  <si>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</si>
  <si>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</si>
  <si>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</si>
  <si>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</si>
  <si>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</si>
  <si>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</si>
  <si>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</si>
  <si>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</si>
  <si>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</si>
  <si>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</si>
  <si>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</si>
  <si>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</si>
  <si>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</si>
  <si>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</si>
  <si>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</si>
  <si>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</si>
  <si>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</si>
  <si>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</si>
  <si>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</si>
  <si>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</si>
  <si>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</si>
  <si>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</si>
  <si>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</si>
  <si>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</si>
  <si>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</si>
  <si>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</si>
  <si>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</si>
  <si>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</si>
  <si>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</si>
  <si>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</si>
  <si>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</si>
  <si>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</si>
  <si>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</si>
  <si>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</si>
  <si>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</si>
  <si>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</si>
  <si>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</si>
  <si>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</si>
  <si>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</si>
  <si>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</si>
  <si>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</si>
  <si>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</si>
  <si>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</si>
  <si>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</si>
  <si>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</si>
  <si>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</si>
  <si>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</si>
  <si>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</si>
  <si>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</si>
  <si>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</si>
  <si>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</si>
  <si>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</si>
  <si>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</si>
  <si>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</si>
  <si>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</si>
  <si>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</si>
  <si>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</si>
  <si>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</si>
  <si>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</si>
  <si>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</si>
  <si>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</si>
  <si>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</si>
  <si>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</si>
  <si>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</si>
  <si>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</si>
  <si>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</si>
  <si>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</si>
  <si>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</si>
  <si>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</si>
  <si>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</si>
  <si>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</si>
  <si>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</si>
  <si>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</si>
  <si>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</si>
  <si>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</si>
  <si>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</si>
  <si>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</si>
  <si>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</si>
  <si>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</si>
  <si>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</si>
  <si>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</si>
  <si>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</si>
  <si>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</si>
  <si>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</si>
  <si>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</si>
  <si>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</si>
  <si>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</si>
  <si>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</si>
  <si>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</si>
  <si>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</si>
  <si>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</si>
  <si>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</si>
  <si>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</si>
  <si>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</si>
  <si>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</si>
  <si>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</si>
  <si>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</si>
  <si>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</si>
  <si>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</si>
  <si>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</si>
  <si>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</si>
  <si>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</si>
  <si>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</si>
  <si>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</si>
  <si>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</si>
  <si>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</si>
  <si>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</si>
  <si>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</si>
  <si>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</si>
  <si>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</si>
  <si>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</si>
  <si>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</si>
  <si>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</si>
  <si>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</si>
  <si>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</si>
  <si>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</si>
  <si>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</si>
  <si>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</si>
  <si>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</si>
  <si>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</si>
  <si>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</si>
  <si>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</si>
  <si>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</si>
  <si>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</si>
  <si>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</si>
  <si>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</si>
  <si>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</si>
  <si>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</si>
  <si>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</si>
  <si>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</si>
  <si>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</si>
  <si>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</si>
  <si>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</si>
  <si>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</si>
  <si>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</si>
  <si>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</si>
  <si>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</si>
  <si>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</si>
  <si>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</si>
  <si>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</si>
  <si>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</si>
  <si>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</si>
  <si>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</si>
  <si>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</si>
  <si>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</si>
  <si>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</si>
  <si>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</si>
  <si>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</si>
  <si>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</si>
  <si>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</si>
  <si>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</si>
  <si>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</si>
  <si>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</si>
  <si>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</si>
  <si>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</si>
  <si>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</si>
  <si>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</si>
  <si>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</si>
  <si>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</si>
  <si>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</si>
  <si>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</si>
  <si>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</si>
  <si>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</si>
  <si>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</si>
  <si>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</si>
  <si>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</si>
  <si>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</si>
  <si>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</si>
  <si>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</si>
  <si>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</si>
  <si>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</si>
  <si>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</si>
  <si>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</si>
  <si>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</si>
  <si>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</si>
  <si>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</si>
  <si>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</si>
  <si>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</si>
  <si>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</si>
  <si>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</si>
  <si>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</si>
  <si>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</si>
  <si>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</si>
  <si>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</si>
  <si>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</si>
  <si>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</si>
  <si>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</si>
  <si>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</si>
  <si>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</si>
  <si>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</si>
  <si>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</si>
  <si>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</si>
  <si>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</si>
  <si>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</si>
  <si>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</si>
  <si>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</si>
  <si>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</si>
  <si>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</si>
  <si>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</si>
  <si>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</si>
  <si>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</si>
  <si>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</si>
  <si>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</si>
  <si>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</si>
  <si>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</si>
  <si>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</si>
  <si>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</si>
  <si>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</si>
  <si>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</si>
  <si>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</si>
  <si>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</si>
  <si>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</si>
  <si>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</si>
  <si>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</si>
  <si>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</si>
  <si>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</si>
  <si>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</si>
  <si>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</si>
  <si>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</si>
  <si>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</si>
  <si>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</si>
  <si>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</si>
  <si>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</si>
  <si>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</si>
  <si>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</si>
  <si>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</si>
  <si>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</si>
  <si>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</si>
  <si>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A02SNQQ</t>
  </si>
  <si>
    <t>6800 HIGHWAY 22</t>
  </si>
  <si>
    <t>1210PA</t>
  </si>
  <si>
    <t>PON1210PA</t>
  </si>
  <si>
    <t>FBT</t>
  </si>
  <si>
    <t>REEL20</t>
  </si>
  <si>
    <t>F 6679-1 HIGHWAY 22</t>
  </si>
  <si>
    <t>F 6691-1 HIGHWAY 22</t>
  </si>
  <si>
    <t>F 6875-1 HIGHWAY 22</t>
  </si>
  <si>
    <t>F 6475-1 HIGHWAY 22</t>
  </si>
  <si>
    <t>F 6199-1 HIGHWAY 22</t>
  </si>
  <si>
    <t>F 6065-1 HIGHWAY 22</t>
  </si>
  <si>
    <t>F 6011-1 HIGHWAY 22</t>
  </si>
  <si>
    <t>F 5926-1 HIGHWAY 22</t>
  </si>
  <si>
    <t>F 5730-1 HIGHWAY 22</t>
  </si>
  <si>
    <t>F 128-2 MOUNTAINVIEW DR</t>
  </si>
  <si>
    <t>F 210-2 MOUNTAINVIEW DR</t>
  </si>
  <si>
    <t>F 4656-2 HIGHWAY 119</t>
  </si>
  <si>
    <t>F 4610-2 HIGHWAY 119</t>
  </si>
  <si>
    <t>F 4560-2 HIGHWAY 119</t>
  </si>
  <si>
    <t>S 4560-2 HIGHWAY 119</t>
  </si>
  <si>
    <t>F 7020-1 HIGHWAY 22</t>
  </si>
  <si>
    <t>OPP 7011-1 HIGHWAY 22</t>
  </si>
  <si>
    <t>F 4741-2 HIGHWAY 119</t>
  </si>
  <si>
    <t>F 4767-2 HIGHWAY 119</t>
  </si>
  <si>
    <t>F 200-1 AMMERSEE LAKES DR</t>
  </si>
  <si>
    <t>F 204-1 AMMERSEE LAKES DR</t>
  </si>
  <si>
    <t>F 220-1 AMMERSEE LAKES DR</t>
  </si>
  <si>
    <t>F 226-1 AMMERSEE LAKES DR</t>
  </si>
  <si>
    <t>F 272-1 AMMERSEE LAKES DR</t>
  </si>
  <si>
    <t>F 284-1 AMMERSEE LAKES DR</t>
  </si>
  <si>
    <t>F 101-1 MOORES SPRING RD</t>
  </si>
  <si>
    <t>F 109-1 MOORES SPRING RD</t>
  </si>
  <si>
    <t>F 116-1 MOORES SPRING RD</t>
  </si>
  <si>
    <t>F 135-1 MOORES SPRING RD</t>
  </si>
  <si>
    <t>F 143-1 MOORES SPRING RD</t>
  </si>
  <si>
    <t>F 151-1 MOORES SPRING RD</t>
  </si>
  <si>
    <t>F 167-1 MOORES SPRING RD</t>
  </si>
  <si>
    <t>F 179-1 MOORES SPRING RD</t>
  </si>
  <si>
    <t>F 7390-1 HIGHWAY 22</t>
  </si>
  <si>
    <t>F 7490-1 HIGHWAY 22</t>
  </si>
  <si>
    <t>F 7706-1 HIGHWAY 22</t>
  </si>
  <si>
    <t>F 6512-1 HIGHWAY 16</t>
  </si>
  <si>
    <t>F 6418-1 HIGHWAY 16</t>
  </si>
  <si>
    <t>F 6305-1 HIGHWAY 16</t>
  </si>
  <si>
    <t>F 6233-1 HIGHWAY 16</t>
  </si>
  <si>
    <t>F 7920-1 HIGHWAY 22</t>
  </si>
  <si>
    <t>F 7966-1 HIGHWAY 22</t>
  </si>
  <si>
    <t>F 8154-1 HIGHWAY 22</t>
  </si>
  <si>
    <t>F 6169-1 HIGHWAY 16</t>
  </si>
  <si>
    <t>OPP 6116-1 HIGHWAY 16</t>
  </si>
  <si>
    <t>F 6087-1 HIGHWAY 16</t>
  </si>
  <si>
    <t>F 5691-1 HIGHWAY 16</t>
  </si>
  <si>
    <t>F 5569-1 HIGHWAY 16</t>
  </si>
  <si>
    <t>OPP 5464-1 HIGHWAY 16</t>
  </si>
  <si>
    <t>F 5385-1 HIGHWAY 16</t>
  </si>
  <si>
    <t>F 5343-1 HIGHWAY 16</t>
  </si>
  <si>
    <t>F 30-1 HIGHWAY 107</t>
  </si>
  <si>
    <t>OPP 180-1 BUTTERCUP LN</t>
  </si>
  <si>
    <t>F 195-1 BUTTERCUP LN</t>
  </si>
  <si>
    <t>F 365-1 BUTTERCUP LN</t>
  </si>
  <si>
    <t>F 985-2 HIGHWAY 107</t>
  </si>
  <si>
    <t>S 1023-2 HIGHWAY 107</t>
  </si>
  <si>
    <t>F 1055-2 HIGHWAY 107</t>
  </si>
  <si>
    <t>OPP 566-2 HIGHWAY 107</t>
  </si>
  <si>
    <t>F 643-2 HIGHWAY 107</t>
  </si>
  <si>
    <t>F 661-2 HIGHWAY 107</t>
  </si>
  <si>
    <t>OPP 780-2 HIGHWAY 107</t>
  </si>
  <si>
    <t>F 815-2 HIGHWAY 107</t>
  </si>
  <si>
    <t>F 941-2 HIGHWAY 107</t>
  </si>
  <si>
    <t>F 1-2 HIGHWAY 107</t>
  </si>
  <si>
    <t>F 169-2 HIGHWAY 107</t>
  </si>
  <si>
    <t>OPP 314-2 HIGHWAY 107</t>
  </si>
  <si>
    <t>F 399-2 HIGHWAY 107</t>
  </si>
  <si>
    <t>F 236-2 AMMERSEE LAKES DR</t>
  </si>
  <si>
    <t>F 244-2 AMMERSEE LAKES DR</t>
  </si>
  <si>
    <t>F 276-2 AMMERSEE LAKES DR</t>
  </si>
  <si>
    <t>F 260-2 AMMERSEE LAKES DR</t>
  </si>
  <si>
    <t>F 252-2 AMMERSEE LAKES DR</t>
  </si>
  <si>
    <t>F 212-2 AMMERSEE LAKES DR</t>
  </si>
  <si>
    <t>F 127-2 MOORES SPRING RD</t>
  </si>
  <si>
    <t>F 159-2 MOORES SPRING RD</t>
  </si>
  <si>
    <t>F 175-2 MOORES SPRING RD</t>
  </si>
  <si>
    <t>F 27-1 AMBERWOOD TRL</t>
  </si>
  <si>
    <t>OPP 7615-1 HIGHWAY 22</t>
  </si>
  <si>
    <t>MNTVALNM</t>
  </si>
  <si>
    <t>F 122-1 LEGACY OAKS DR</t>
  </si>
  <si>
    <t>F 6577-2 HIGHWAY 22</t>
  </si>
  <si>
    <t>F 1005-1 PARKERS COVE</t>
  </si>
  <si>
    <t>F 1013-1 PARKERS COVE</t>
  </si>
  <si>
    <t>F 1021-1 PARKERS COVE</t>
  </si>
  <si>
    <t>REEL 16 (349-576)</t>
  </si>
  <si>
    <t>REEL 17 (493-564)</t>
  </si>
  <si>
    <t>REEL 18 (349-492)</t>
  </si>
  <si>
    <t>REEL 15 (349-588)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</si>
</sst>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5">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9" xfId="0" applyFont="1" applyFill="1" applyBorder="1" applyAlignment="1" applyProtection="1">
      <alignment horizontal="center" wrapText="1"/>
      <protection locked="0"/>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27">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ea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26" dataDxfId="1624" headerRowBorderDxfId="1625" tableBorderDxfId="1623" totalsRowBorderDxfId="1622">
  <autoFilter ref="A1:AP499" xr:uid="{00000000-0009-0000-0100-000003000000}"/>
  <tableColumns count="42">
    <tableColumn id="1" xr3:uid="{00000000-0010-0000-0000-000001000000}" name="DWG#" dataDxfId="1621"/>
    <tableColumn id="61" xr3:uid="{00000000-0010-0000-0000-00003D000000}" name="10x15 HH" dataDxfId="1620"/>
    <tableColumn id="9" xr3:uid="{00000000-0010-0000-0000-000009000000}" name="IDUCT 1" dataDxfId="1619"/>
    <tableColumn id="10" xr3:uid="{00000000-0010-0000-0000-00000A000000}" name="IDUCT 2" dataDxfId="1618"/>
    <tableColumn id="11" xr3:uid="{00000000-0010-0000-0000-00000B000000}" name="IDUCT 3" dataDxfId="1617"/>
    <tableColumn id="12" xr3:uid="{00000000-0010-0000-0000-00000C000000}" name="IDUCT 4" dataDxfId="1616"/>
    <tableColumn id="13" xr3:uid="{00000000-0010-0000-0000-00000D000000}" name="IDUCT 5" dataDxfId="1615"/>
    <tableColumn id="14" xr3:uid="{00000000-0010-0000-0000-00000E000000}" name="IDUCT 6" dataDxfId="1614"/>
    <tableColumn id="15" xr3:uid="{00000000-0010-0000-0000-00000F000000}" name="IDUCT 7" dataDxfId="1613"/>
    <tableColumn id="16" xr3:uid="{00000000-0010-0000-0000-000010000000}" name="IDUCT 8" dataDxfId="1612"/>
    <tableColumn id="17" xr3:uid="{00000000-0010-0000-0000-000011000000}" name="IDUCT 9" dataDxfId="1611"/>
    <tableColumn id="18" xr3:uid="{00000000-0010-0000-0000-000012000000}" name="IDUCT 10" dataDxfId="1610"/>
    <tableColumn id="19" xr3:uid="{00000000-0010-0000-0000-000013000000}" name="IDUCT 11" dataDxfId="1609"/>
    <tableColumn id="20" xr3:uid="{00000000-0010-0000-0000-000014000000}" name="IDUCT 12" dataDxfId="1608"/>
    <tableColumn id="21" xr3:uid="{00000000-0010-0000-0000-000015000000}" name="IDUCT 13" dataDxfId="1607"/>
    <tableColumn id="22" xr3:uid="{00000000-0010-0000-0000-000016000000}" name="IDUCT 14" dataDxfId="1606"/>
    <tableColumn id="23" xr3:uid="{00000000-0010-0000-0000-000017000000}" name="IDUCT 15" dataDxfId="1605"/>
    <tableColumn id="24" xr3:uid="{00000000-0010-0000-0000-000018000000}" name="IDUCT 16" dataDxfId="1604"/>
    <tableColumn id="25" xr3:uid="{00000000-0010-0000-0000-000019000000}" name="IDUCT 17" dataDxfId="1603"/>
    <tableColumn id="26" xr3:uid="{00000000-0010-0000-0000-00001A000000}" name="IDUCT 18" dataDxfId="1602"/>
    <tableColumn id="27" xr3:uid="{00000000-0010-0000-0000-00001B000000}" name="IDUCT 19" dataDxfId="1601"/>
    <tableColumn id="28" xr3:uid="{00000000-0010-0000-0000-00001C000000}" name="IDUCT 20" dataDxfId="1600"/>
    <tableColumn id="29" xr3:uid="{00000000-0010-0000-0000-00001D000000}" name="Pullback IDUCT 1" dataDxfId="1599"/>
    <tableColumn id="30" xr3:uid="{00000000-0010-0000-0000-00001E000000}" name="Pullback IDUCT 2" dataDxfId="1598"/>
    <tableColumn id="31" xr3:uid="{00000000-0010-0000-0000-00001F000000}" name="Pullback IDUCT 3" dataDxfId="1597"/>
    <tableColumn id="32" xr3:uid="{00000000-0010-0000-0000-000020000000}" name="Pullback IDUCT 4" dataDxfId="1596"/>
    <tableColumn id="33" xr3:uid="{00000000-0010-0000-0000-000021000000}" name="Pullback IDUCT 5" dataDxfId="1595"/>
    <tableColumn id="34" xr3:uid="{00000000-0010-0000-0000-000022000000}" name="Pullback IDUCT 6" dataDxfId="1594"/>
    <tableColumn id="35" xr3:uid="{00000000-0010-0000-0000-000023000000}" name="Pullback IDUCT 7" dataDxfId="1593"/>
    <tableColumn id="36" xr3:uid="{00000000-0010-0000-0000-000024000000}" name="Pullback IDUCT 8" dataDxfId="1592"/>
    <tableColumn id="37" xr3:uid="{00000000-0010-0000-0000-000025000000}" name="Pullback IDUCT 9" dataDxfId="1591"/>
    <tableColumn id="38" xr3:uid="{00000000-0010-0000-0000-000026000000}" name="Pullback IDUCT 10" dataDxfId="1590"/>
    <tableColumn id="49" xr3:uid="{00000000-0010-0000-0000-000031000000}" name="ROD Duct 1" dataDxfId="1589"/>
    <tableColumn id="50" xr3:uid="{00000000-0010-0000-0000-000032000000}" name="ROD Duct 2" dataDxfId="1588"/>
    <tableColumn id="51" xr3:uid="{00000000-0010-0000-0000-000033000000}" name="ROD Duct 3" dataDxfId="1587"/>
    <tableColumn id="52" xr3:uid="{00000000-0010-0000-0000-000034000000}" name="ROD Duct 4" dataDxfId="1586"/>
    <tableColumn id="53" xr3:uid="{00000000-0010-0000-0000-000035000000}" name="ROD Duct 5" dataDxfId="1585"/>
    <tableColumn id="54" xr3:uid="{00000000-0010-0000-0000-000036000000}" name="ROD Duct 6" dataDxfId="1584"/>
    <tableColumn id="55" xr3:uid="{00000000-0010-0000-0000-000037000000}" name="ROD Duct 7" dataDxfId="1583"/>
    <tableColumn id="56" xr3:uid="{00000000-0010-0000-0000-000038000000}" name="ROD Duct 8" dataDxfId="1582"/>
    <tableColumn id="57" xr3:uid="{00000000-0010-0000-0000-000039000000}" name="ROD Duct 9" dataDxfId="1581"/>
    <tableColumn id="58" xr3:uid="{00000000-0010-0000-0000-00003A000000}" name="ROD Duct 10" dataDxfId="1580"/>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B1" sqref="B1:C1"/>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6875-1 HIGHWAY 22</v>
      </c>
      <c r="B1" s="118"/>
      <c r="C1" s="118"/>
      <c r="D1" s="118"/>
      <c r="E1" s="118"/>
      <c r="G1" t="str">
        <f>IF('Assignment Tool'!C1="","",IF('Assignment Tool'!C1="FST",'Assignment Tool'!D1,""))</f>
        <v/>
      </c>
      <c r="H1">
        <v>1</v>
      </c>
      <c r="I1">
        <v>1</v>
      </c>
      <c r="J1" t="str">
        <f t="array" ref="J1">IFERROR(INDEX($G$2:$G$2050,_xlfn.AGGREGATE(15,6,(ROW($G$2:$G$2050)-ROW($G$2)+1)/($G$2:$G$2050&lt;&gt;""),ROWS(J$1:J1))),"")</f>
        <v>F 6875-1 HIGHWAY 22</v>
      </c>
      <c r="K1">
        <f>IF(J1="","",INDEX('Assignment Tool'!E17:E2050,MATCH(FA_DATA!J1,'Assignment Tool'!D17:D2050,0)))</f>
        <v>6</v>
      </c>
    </row>
    <row r="2" spans="1:11" x14ac:dyDescent="0.25">
      <c r="A2" s="118" t="str">
        <f t="shared" ref="A2:A65" si="0">VLOOKUP(H2,$I$1:$J$1000,2)</f>
        <v>F 6875-1 HIGHWAY 22</v>
      </c>
      <c r="G2" t="str">
        <f>IF('Assignment Tool'!C2="","",IF('Assignment Tool'!C2="FST",'Assignment Tool'!D2,""))</f>
        <v/>
      </c>
      <c r="H2">
        <v>2</v>
      </c>
      <c r="I2">
        <f>IFERROR((I1+K1),"")</f>
        <v>7</v>
      </c>
      <c r="J2" t="str">
        <f t="array" ref="J2">IFERROR(INDEX($G$2:$G$2050,_xlfn.AGGREGATE(15,6,(ROW($G$2:$G$2050)-ROW($G$2)+1)/($G$2:$G$2050&lt;&gt;""),ROWS(J$1:J2))),"")</f>
        <v>F 6691-1 HIGHWAY 22</v>
      </c>
      <c r="K2">
        <f>IF(J2="","",INDEX('Assignment Tool'!E18:E2051,MATCH(FA_DATA!J2,'Assignment Tool'!D18:D2051,0)))</f>
        <v>8</v>
      </c>
    </row>
    <row r="3" spans="1:11" x14ac:dyDescent="0.25">
      <c r="A3" s="118" t="str">
        <f t="shared" si="0"/>
        <v>F 6875-1 HIGHWAY 22</v>
      </c>
      <c r="G3" t="str">
        <f>IF('Assignment Tool'!C3="","",IF('Assignment Tool'!C3="FST",'Assignment Tool'!D3,""))</f>
        <v/>
      </c>
      <c r="H3">
        <v>3</v>
      </c>
      <c r="I3">
        <f t="shared" ref="I3:I66" si="1">IFERROR((I2+K2),"")</f>
        <v>15</v>
      </c>
      <c r="J3" t="str">
        <f t="array" ref="J3">IFERROR(INDEX($G$2:$G$2050,_xlfn.AGGREGATE(15,6,(ROW($G$2:$G$2050)-ROW($G$2)+1)/($G$2:$G$2050&lt;&gt;""),ROWS(J$1:J3))),"")</f>
        <v>F 6679-1 HIGHWAY 22</v>
      </c>
      <c r="K3">
        <f>IF(J3="","",INDEX('Assignment Tool'!E19:E2052,MATCH(FA_DATA!J3,'Assignment Tool'!D19:D2052,0)))</f>
        <v>2</v>
      </c>
    </row>
    <row r="4" spans="1:11" x14ac:dyDescent="0.25">
      <c r="A4" s="118" t="str">
        <f t="shared" si="0"/>
        <v>F 6875-1 HIGHWAY 22</v>
      </c>
      <c r="G4" t="str">
        <f>IF('Assignment Tool'!C4="","",IF('Assignment Tool'!C4="FST",'Assignment Tool'!D4,""))</f>
        <v/>
      </c>
      <c r="H4">
        <v>4</v>
      </c>
      <c r="I4">
        <f t="shared" si="1"/>
        <v>17</v>
      </c>
      <c r="J4" t="str">
        <f t="array" ref="J4">IFERROR(INDEX($G$2:$G$2050,_xlfn.AGGREGATE(15,6,(ROW($G$2:$G$2050)-ROW($G$2)+1)/($G$2:$G$2050&lt;&gt;""),ROWS(J$1:J4))),"")</f>
        <v>F 6577-2 HIGHWAY 22</v>
      </c>
      <c r="K4">
        <f>IF(J4="","",INDEX('Assignment Tool'!E20:E2053,MATCH(FA_DATA!J4,'Assignment Tool'!D20:D2053,0)))</f>
        <v>8</v>
      </c>
    </row>
    <row r="5" spans="1:11" x14ac:dyDescent="0.25">
      <c r="A5" s="118" t="str">
        <f t="shared" si="0"/>
        <v>F 6875-1 HIGHWAY 22</v>
      </c>
      <c r="G5" t="str">
        <f>IF('Assignment Tool'!C5="","",IF('Assignment Tool'!C5="FST",'Assignment Tool'!D5,""))</f>
        <v/>
      </c>
      <c r="H5">
        <v>5</v>
      </c>
      <c r="I5">
        <f t="shared" si="1"/>
        <v>25</v>
      </c>
      <c r="J5" t="str">
        <f t="array" ref="J5">IFERROR(INDEX($G$2:$G$2050,_xlfn.AGGREGATE(15,6,(ROW($G$2:$G$2050)-ROW($G$2)+1)/($G$2:$G$2050&lt;&gt;""),ROWS(J$1:J5))),"")</f>
        <v>F 6475-1 HIGHWAY 22</v>
      </c>
      <c r="K5">
        <f>IF(J5="","",INDEX('Assignment Tool'!E21:E2054,MATCH(FA_DATA!J5,'Assignment Tool'!D21:D2054,0)))</f>
        <v>12</v>
      </c>
    </row>
    <row r="6" spans="1:11" x14ac:dyDescent="0.25">
      <c r="A6" s="118" t="str">
        <f t="shared" si="0"/>
        <v>F 6875-1 HIGHWAY 22</v>
      </c>
      <c r="G6" t="str">
        <f>IF('Assignment Tool'!C6="","",IF('Assignment Tool'!C6="FST",'Assignment Tool'!D6,""))</f>
        <v/>
      </c>
      <c r="H6">
        <v>6</v>
      </c>
      <c r="I6">
        <f t="shared" si="1"/>
        <v>37</v>
      </c>
      <c r="J6" t="str">
        <f t="array" ref="J6">IFERROR(INDEX($G$2:$G$2050,_xlfn.AGGREGATE(15,6,(ROW($G$2:$G$2050)-ROW($G$2)+1)/($G$2:$G$2050&lt;&gt;""),ROWS(J$1:J6))),"")</f>
        <v>F 6199-1 HIGHWAY 22</v>
      </c>
      <c r="K6">
        <f>IF(J6="","",INDEX('Assignment Tool'!E22:E2055,MATCH(FA_DATA!J6,'Assignment Tool'!D22:D2055,0)))</f>
        <v>4</v>
      </c>
    </row>
    <row r="7" spans="1:11" x14ac:dyDescent="0.25">
      <c r="A7" s="118" t="str">
        <f t="shared" si="0"/>
        <v>F 6691-1 HIGHWAY 22</v>
      </c>
      <c r="G7" t="str">
        <f>IF('Assignment Tool'!C7="","",IF('Assignment Tool'!C7="FST",'Assignment Tool'!D7,""))</f>
        <v/>
      </c>
      <c r="H7">
        <v>7</v>
      </c>
      <c r="I7">
        <f t="shared" si="1"/>
        <v>41</v>
      </c>
      <c r="J7" t="str">
        <f t="array" ref="J7">IFERROR(INDEX($G$2:$G$2050,_xlfn.AGGREGATE(15,6,(ROW($G$2:$G$2050)-ROW($G$2)+1)/($G$2:$G$2050&lt;&gt;""),ROWS(J$1:J7))),"")</f>
        <v>F 6065-1 HIGHWAY 22</v>
      </c>
      <c r="K7">
        <f>IF(J7="","",INDEX('Assignment Tool'!E23:E2056,MATCH(FA_DATA!J7,'Assignment Tool'!D23:D2056,0)))</f>
        <v>4</v>
      </c>
    </row>
    <row r="8" spans="1:11" x14ac:dyDescent="0.25">
      <c r="A8" s="118" t="str">
        <f t="shared" si="0"/>
        <v>F 6691-1 HIGHWAY 22</v>
      </c>
      <c r="G8" t="str">
        <f>IF('Assignment Tool'!C8="","",IF('Assignment Tool'!C8="FST",'Assignment Tool'!D8,""))</f>
        <v/>
      </c>
      <c r="H8">
        <v>8</v>
      </c>
      <c r="I8">
        <f t="shared" si="1"/>
        <v>45</v>
      </c>
      <c r="J8" t="str">
        <f t="array" ref="J8">IFERROR(INDEX($G$2:$G$2050,_xlfn.AGGREGATE(15,6,(ROW($G$2:$G$2050)-ROW($G$2)+1)/($G$2:$G$2050&lt;&gt;""),ROWS(J$1:J8))),"")</f>
        <v>F 6011-1 HIGHWAY 22</v>
      </c>
      <c r="K8">
        <f>IF(J8="","",INDEX('Assignment Tool'!E24:E2057,MATCH(FA_DATA!J8,'Assignment Tool'!D24:D2057,0)))</f>
        <v>4</v>
      </c>
    </row>
    <row r="9" spans="1:11" x14ac:dyDescent="0.25">
      <c r="A9" s="118" t="str">
        <f t="shared" si="0"/>
        <v>F 6691-1 HIGHWAY 22</v>
      </c>
      <c r="G9" t="str">
        <f>IF('Assignment Tool'!C9="","",IF('Assignment Tool'!C9="FST",'Assignment Tool'!D9,""))</f>
        <v/>
      </c>
      <c r="H9">
        <v>9</v>
      </c>
      <c r="I9">
        <f t="shared" si="1"/>
        <v>49</v>
      </c>
      <c r="J9" t="str">
        <f t="array" ref="J9">IFERROR(INDEX($G$2:$G$2050,_xlfn.AGGREGATE(15,6,(ROW($G$2:$G$2050)-ROW($G$2)+1)/($G$2:$G$2050&lt;&gt;""),ROWS(J$1:J9))),"")</f>
        <v>F 128-2 MOUNTAINVIEW DR</v>
      </c>
      <c r="K9">
        <f>IF(J9="","",INDEX('Assignment Tool'!E25:E2058,MATCH(FA_DATA!J9,'Assignment Tool'!D25:D2058,0)))</f>
        <v>4</v>
      </c>
    </row>
    <row r="10" spans="1:11" x14ac:dyDescent="0.25">
      <c r="A10" s="118" t="str">
        <f t="shared" si="0"/>
        <v>F 6691-1 HIGHWAY 22</v>
      </c>
      <c r="G10" t="str">
        <f>IF('Assignment Tool'!C10="","",IF('Assignment Tool'!C10="FST",'Assignment Tool'!D10,""))</f>
        <v/>
      </c>
      <c r="H10">
        <v>10</v>
      </c>
      <c r="I10">
        <f t="shared" si="1"/>
        <v>53</v>
      </c>
      <c r="J10" t="str">
        <f t="array" ref="J10">IFERROR(INDEX($G$2:$G$2050,_xlfn.AGGREGATE(15,6,(ROW($G$2:$G$2050)-ROW($G$2)+1)/($G$2:$G$2050&lt;&gt;""),ROWS(J$1:J10))),"")</f>
        <v>F 210-2 MOUNTAINVIEW DR</v>
      </c>
      <c r="K10">
        <f>IF(J10="","",INDEX('Assignment Tool'!E26:E2059,MATCH(FA_DATA!J10,'Assignment Tool'!D26:D2059,0)))</f>
        <v>8</v>
      </c>
    </row>
    <row r="11" spans="1:11" x14ac:dyDescent="0.25">
      <c r="A11" s="118" t="str">
        <f t="shared" si="0"/>
        <v>F 6691-1 HIGHWAY 22</v>
      </c>
      <c r="G11" t="str">
        <f>IF('Assignment Tool'!C11="","",IF('Assignment Tool'!C11="FST",'Assignment Tool'!D11,""))</f>
        <v/>
      </c>
      <c r="H11">
        <v>11</v>
      </c>
      <c r="I11">
        <f t="shared" si="1"/>
        <v>61</v>
      </c>
      <c r="J11" t="str">
        <f t="array" ref="J11">IFERROR(INDEX($G$2:$G$2050,_xlfn.AGGREGATE(15,6,(ROW($G$2:$G$2050)-ROW($G$2)+1)/($G$2:$G$2050&lt;&gt;""),ROWS(J$1:J11))),"")</f>
        <v>F 5926-1 HIGHWAY 22</v>
      </c>
      <c r="K11">
        <f>IF(J11="","",INDEX('Assignment Tool'!E27:E2060,MATCH(FA_DATA!J11,'Assignment Tool'!D27:D2060,0)))</f>
        <v>4</v>
      </c>
    </row>
    <row r="12" spans="1:11" x14ac:dyDescent="0.25">
      <c r="A12" s="118" t="str">
        <f t="shared" si="0"/>
        <v>F 6691-1 HIGHWAY 22</v>
      </c>
      <c r="G12" t="str">
        <f>IF('Assignment Tool'!C12="","",IF('Assignment Tool'!C12="FST",'Assignment Tool'!D12,""))</f>
        <v/>
      </c>
      <c r="H12">
        <v>12</v>
      </c>
      <c r="I12">
        <f t="shared" si="1"/>
        <v>65</v>
      </c>
      <c r="J12" t="str">
        <f t="array" ref="J12">IFERROR(INDEX($G$2:$G$2050,_xlfn.AGGREGATE(15,6,(ROW($G$2:$G$2050)-ROW($G$2)+1)/($G$2:$G$2050&lt;&gt;""),ROWS(J$1:J12))),"")</f>
        <v>F 5730-1 HIGHWAY 22</v>
      </c>
      <c r="K12">
        <f>IF(J12="","",INDEX('Assignment Tool'!E28:E2061,MATCH(FA_DATA!J12,'Assignment Tool'!D28:D2061,0)))</f>
        <v>8</v>
      </c>
    </row>
    <row r="13" spans="1:11" x14ac:dyDescent="0.25">
      <c r="A13" s="118" t="str">
        <f t="shared" si="0"/>
        <v>F 6691-1 HIGHWAY 22</v>
      </c>
      <c r="G13" t="str">
        <f>IF('Assignment Tool'!C13="","",IF('Assignment Tool'!C13="FST",'Assignment Tool'!D13,""))</f>
        <v/>
      </c>
      <c r="H13">
        <v>13</v>
      </c>
      <c r="I13">
        <f t="shared" si="1"/>
        <v>73</v>
      </c>
      <c r="J13" t="str">
        <f t="array" ref="J13">IFERROR(INDEX($G$2:$G$2050,_xlfn.AGGREGATE(15,6,(ROW($G$2:$G$2050)-ROW($G$2)+1)/($G$2:$G$2050&lt;&gt;""),ROWS(J$1:J13))),"")</f>
        <v>F 4656-2 HIGHWAY 119</v>
      </c>
      <c r="K13">
        <f>IF(J13="","",INDEX('Assignment Tool'!E29:E2062,MATCH(FA_DATA!J13,'Assignment Tool'!D29:D2062,0)))</f>
        <v>6</v>
      </c>
    </row>
    <row r="14" spans="1:11" x14ac:dyDescent="0.25">
      <c r="A14" s="118" t="str">
        <f t="shared" si="0"/>
        <v>F 6691-1 HIGHWAY 22</v>
      </c>
      <c r="G14" t="str">
        <f>IF('Assignment Tool'!C14="","",IF('Assignment Tool'!C14="FST",'Assignment Tool'!D14,""))</f>
        <v/>
      </c>
      <c r="H14">
        <v>14</v>
      </c>
      <c r="I14">
        <f t="shared" si="1"/>
        <v>79</v>
      </c>
      <c r="J14" t="str">
        <f t="array" ref="J14">IFERROR(INDEX($G$2:$G$2050,_xlfn.AGGREGATE(15,6,(ROW($G$2:$G$2050)-ROW($G$2)+1)/($G$2:$G$2050&lt;&gt;""),ROWS(J$1:J14))),"")</f>
        <v>F 4610-2 HIGHWAY 119</v>
      </c>
      <c r="K14">
        <f>IF(J14="","",INDEX('Assignment Tool'!E30:E2063,MATCH(FA_DATA!J14,'Assignment Tool'!D30:D2063,0)))</f>
        <v>4</v>
      </c>
    </row>
    <row r="15" spans="1:11" x14ac:dyDescent="0.25">
      <c r="A15" s="118" t="str">
        <f t="shared" si="0"/>
        <v>F 6679-1 HIGHWAY 22</v>
      </c>
      <c r="G15" t="str">
        <f>IF('Assignment Tool'!C15="","",IF('Assignment Tool'!C15="FST",'Assignment Tool'!D15,""))</f>
        <v/>
      </c>
      <c r="H15">
        <v>15</v>
      </c>
      <c r="I15">
        <f t="shared" si="1"/>
        <v>83</v>
      </c>
      <c r="J15" t="str">
        <f t="array" ref="J15">IFERROR(INDEX($G$2:$G$2050,_xlfn.AGGREGATE(15,6,(ROW($G$2:$G$2050)-ROW($G$2)+1)/($G$2:$G$2050&lt;&gt;""),ROWS(J$1:J15))),"")</f>
        <v>F 4560-2 HIGHWAY 119</v>
      </c>
      <c r="K15">
        <f>IF(J15="","",INDEX('Assignment Tool'!E31:E2064,MATCH(FA_DATA!J15,'Assignment Tool'!D31:D2064,0)))</f>
        <v>6</v>
      </c>
    </row>
    <row r="16" spans="1:11" x14ac:dyDescent="0.25">
      <c r="A16" s="118" t="str">
        <f t="shared" si="0"/>
        <v>F 6679-1 HIGHWAY 22</v>
      </c>
      <c r="G16" t="str">
        <f>IF('Assignment Tool'!C16="","",IF('Assignment Tool'!C16="FST",'Assignment Tool'!D16,""))</f>
        <v/>
      </c>
      <c r="H16">
        <v>16</v>
      </c>
      <c r="I16">
        <f t="shared" si="1"/>
        <v>89</v>
      </c>
      <c r="J16" t="str">
        <f t="array" ref="J16">IFERROR(INDEX($G$2:$G$2050,_xlfn.AGGREGATE(15,6,(ROW($G$2:$G$2050)-ROW($G$2)+1)/($G$2:$G$2050&lt;&gt;""),ROWS(J$1:J16))),"")</f>
        <v>S 4560-2 HIGHWAY 119</v>
      </c>
      <c r="K16">
        <f>IF(J16="","",INDEX('Assignment Tool'!E32:E2065,MATCH(FA_DATA!J16,'Assignment Tool'!D32:D2065,0)))</f>
        <v>8</v>
      </c>
    </row>
    <row r="17" spans="1:11" x14ac:dyDescent="0.25">
      <c r="A17" s="118" t="str">
        <f t="shared" si="0"/>
        <v>F 6577-2 HIGHWAY 22</v>
      </c>
      <c r="G17" t="str">
        <f>IF('Assignment Tool'!C17="","",IF('Assignment Tool'!C17="FST",'Assignment Tool'!D17,""))</f>
        <v>F 6875-1 HIGHWAY 22</v>
      </c>
      <c r="H17">
        <v>17</v>
      </c>
      <c r="I17">
        <f t="shared" si="1"/>
        <v>97</v>
      </c>
      <c r="J17" t="str">
        <f t="array" ref="J17">IFERROR(INDEX($G$2:$G$2050,_xlfn.AGGREGATE(15,6,(ROW($G$2:$G$2050)-ROW($G$2)+1)/($G$2:$G$2050&lt;&gt;""),ROWS(J$1:J17))),"")</f>
        <v>OPP 7011-1 HIGHWAY 22</v>
      </c>
      <c r="K17">
        <f>IF(J17="","",INDEX('Assignment Tool'!E33:E2066,MATCH(FA_DATA!J17,'Assignment Tool'!D33:D2066,0)))</f>
        <v>8</v>
      </c>
    </row>
    <row r="18" spans="1:11" x14ac:dyDescent="0.25">
      <c r="A18" s="118" t="str">
        <f t="shared" si="0"/>
        <v>F 6577-2 HIGHWAY 22</v>
      </c>
      <c r="G18" t="str">
        <f>IF('Assignment Tool'!C18="","",IF('Assignment Tool'!C18="FST",'Assignment Tool'!D18,""))</f>
        <v>F 6691-1 HIGHWAY 22</v>
      </c>
      <c r="H18">
        <v>18</v>
      </c>
      <c r="I18">
        <f t="shared" si="1"/>
        <v>105</v>
      </c>
      <c r="J18" t="str">
        <f t="array" ref="J18">IFERROR(INDEX($G$2:$G$2050,_xlfn.AGGREGATE(15,6,(ROW($G$2:$G$2050)-ROW($G$2)+1)/($G$2:$G$2050&lt;&gt;""),ROWS(J$1:J18))),"")</f>
        <v>F 7020-1 HIGHWAY 22</v>
      </c>
      <c r="K18">
        <f>IF(J18="","",INDEX('Assignment Tool'!E34:E2067,MATCH(FA_DATA!J18,'Assignment Tool'!D34:D2067,0)))</f>
        <v>4</v>
      </c>
    </row>
    <row r="19" spans="1:11" x14ac:dyDescent="0.25">
      <c r="A19" s="118" t="str">
        <f t="shared" si="0"/>
        <v>F 6577-2 HIGHWAY 22</v>
      </c>
      <c r="G19" t="str">
        <f>IF('Assignment Tool'!C19="","",IF('Assignment Tool'!C19="FST",'Assignment Tool'!D19,""))</f>
        <v>F 6679-1 HIGHWAY 22</v>
      </c>
      <c r="H19">
        <v>19</v>
      </c>
      <c r="I19">
        <f t="shared" si="1"/>
        <v>109</v>
      </c>
      <c r="J19" t="str">
        <f t="array" ref="J19">IFERROR(INDEX($G$2:$G$2050,_xlfn.AGGREGATE(15,6,(ROW($G$2:$G$2050)-ROW($G$2)+1)/($G$2:$G$2050&lt;&gt;""),ROWS(J$1:J19))),"")</f>
        <v>F 4741-2 HIGHWAY 119</v>
      </c>
      <c r="K19">
        <f>IF(J19="","",INDEX('Assignment Tool'!E35:E2068,MATCH(FA_DATA!J19,'Assignment Tool'!D35:D2068,0)))</f>
        <v>6</v>
      </c>
    </row>
    <row r="20" spans="1:11" x14ac:dyDescent="0.25">
      <c r="A20" s="118" t="str">
        <f t="shared" si="0"/>
        <v>F 6577-2 HIGHWAY 22</v>
      </c>
      <c r="G20" t="str">
        <f>IF('Assignment Tool'!C20="","",IF('Assignment Tool'!C20="FST",'Assignment Tool'!D20,""))</f>
        <v>F 6577-2 HIGHWAY 22</v>
      </c>
      <c r="H20">
        <v>20</v>
      </c>
      <c r="I20">
        <f t="shared" si="1"/>
        <v>115</v>
      </c>
      <c r="J20" t="str">
        <f t="array" ref="J20">IFERROR(INDEX($G$2:$G$2050,_xlfn.AGGREGATE(15,6,(ROW($G$2:$G$2050)-ROW($G$2)+1)/($G$2:$G$2050&lt;&gt;""),ROWS(J$1:J20))),"")</f>
        <v>F 4767-2 HIGHWAY 119</v>
      </c>
      <c r="K20">
        <f>IF(J20="","",INDEX('Assignment Tool'!E36:E2069,MATCH(FA_DATA!J20,'Assignment Tool'!D36:D2069,0)))</f>
        <v>6</v>
      </c>
    </row>
    <row r="21" spans="1:11" x14ac:dyDescent="0.25">
      <c r="A21" s="118" t="str">
        <f t="shared" si="0"/>
        <v>F 6577-2 HIGHWAY 22</v>
      </c>
      <c r="G21" t="str">
        <f>IF('Assignment Tool'!C21="","",IF('Assignment Tool'!C21="FST",'Assignment Tool'!D21,""))</f>
        <v/>
      </c>
      <c r="H21">
        <v>21</v>
      </c>
      <c r="I21">
        <f t="shared" si="1"/>
        <v>121</v>
      </c>
      <c r="J21" t="str">
        <f t="array" ref="J21">IFERROR(INDEX($G$2:$G$2050,_xlfn.AGGREGATE(15,6,(ROW($G$2:$G$2050)-ROW($G$2)+1)/($G$2:$G$2050&lt;&gt;""),ROWS(J$1:J21))),"")</f>
        <v>F 200-1 AMMERSEE LAKES DR</v>
      </c>
      <c r="K21">
        <f>IF(J21="","",INDEX('Assignment Tool'!E37:E2070,MATCH(FA_DATA!J21,'Assignment Tool'!D37:D2070,0)))</f>
        <v>4</v>
      </c>
    </row>
    <row r="22" spans="1:11" x14ac:dyDescent="0.25">
      <c r="A22" s="118" t="str">
        <f t="shared" si="0"/>
        <v>F 6577-2 HIGHWAY 22</v>
      </c>
      <c r="G22" t="str">
        <f>IF('Assignment Tool'!C22="","",IF('Assignment Tool'!C22="FST",'Assignment Tool'!D22,""))</f>
        <v/>
      </c>
      <c r="H22">
        <v>22</v>
      </c>
      <c r="I22">
        <f t="shared" si="1"/>
        <v>125</v>
      </c>
      <c r="J22" t="str">
        <f t="array" ref="J22">IFERROR(INDEX($G$2:$G$2050,_xlfn.AGGREGATE(15,6,(ROW($G$2:$G$2050)-ROW($G$2)+1)/($G$2:$G$2050&lt;&gt;""),ROWS(J$1:J22))),"")</f>
        <v>F 204-1 AMMERSEE LAKES DR</v>
      </c>
      <c r="K22">
        <f>IF(J22="","",INDEX('Assignment Tool'!E38:E2071,MATCH(FA_DATA!J22,'Assignment Tool'!D38:D2071,0)))</f>
        <v>4</v>
      </c>
    </row>
    <row r="23" spans="1:11" x14ac:dyDescent="0.25">
      <c r="A23" s="118" t="str">
        <f t="shared" si="0"/>
        <v>F 6577-2 HIGHWAY 22</v>
      </c>
      <c r="G23" t="str">
        <f>IF('Assignment Tool'!C23="","",IF('Assignment Tool'!C23="FST",'Assignment Tool'!D23,""))</f>
        <v/>
      </c>
      <c r="H23">
        <v>23</v>
      </c>
      <c r="I23">
        <f t="shared" si="1"/>
        <v>129</v>
      </c>
      <c r="J23" t="str">
        <f t="array" ref="J23">IFERROR(INDEX($G$2:$G$2050,_xlfn.AGGREGATE(15,6,(ROW($G$2:$G$2050)-ROW($G$2)+1)/($G$2:$G$2050&lt;&gt;""),ROWS(J$1:J23))),"")</f>
        <v>F 212-2 AMMERSEE LAKES DR</v>
      </c>
      <c r="K23">
        <f>IF(J23="","",INDEX('Assignment Tool'!E39:E2072,MATCH(FA_DATA!J23,'Assignment Tool'!D39:D2072,0)))</f>
        <v>8</v>
      </c>
    </row>
    <row r="24" spans="1:11" x14ac:dyDescent="0.25">
      <c r="A24" s="118" t="str">
        <f t="shared" si="0"/>
        <v>F 6577-2 HIGHWAY 22</v>
      </c>
      <c r="G24" t="str">
        <f>IF('Assignment Tool'!C24="","",IF('Assignment Tool'!C24="FST",'Assignment Tool'!D24,""))</f>
        <v/>
      </c>
      <c r="H24">
        <v>24</v>
      </c>
      <c r="I24">
        <f t="shared" si="1"/>
        <v>137</v>
      </c>
      <c r="J24" t="str">
        <f t="array" ref="J24">IFERROR(INDEX($G$2:$G$2050,_xlfn.AGGREGATE(15,6,(ROW($G$2:$G$2050)-ROW($G$2)+1)/($G$2:$G$2050&lt;&gt;""),ROWS(J$1:J24))),"")</f>
        <v>F 220-1 AMMERSEE LAKES DR</v>
      </c>
      <c r="K24">
        <f>IF(J24="","",INDEX('Assignment Tool'!E40:E2073,MATCH(FA_DATA!J24,'Assignment Tool'!D40:D2073,0)))</f>
        <v>4</v>
      </c>
    </row>
    <row r="25" spans="1:11" x14ac:dyDescent="0.25">
      <c r="A25" s="118" t="str">
        <f t="shared" si="0"/>
        <v>F 6475-1 HIGHWAY 22</v>
      </c>
      <c r="G25" t="str">
        <f>IF('Assignment Tool'!C25="","",IF('Assignment Tool'!C25="FST",'Assignment Tool'!D25,""))</f>
        <v/>
      </c>
      <c r="H25">
        <v>25</v>
      </c>
      <c r="I25">
        <f t="shared" si="1"/>
        <v>141</v>
      </c>
      <c r="J25" t="str">
        <f t="array" ref="J25">IFERROR(INDEX($G$2:$G$2050,_xlfn.AGGREGATE(15,6,(ROW($G$2:$G$2050)-ROW($G$2)+1)/($G$2:$G$2050&lt;&gt;""),ROWS(J$1:J25))),"")</f>
        <v>F 226-1 AMMERSEE LAKES DR</v>
      </c>
      <c r="K25">
        <f>IF(J25="","",INDEX('Assignment Tool'!E41:E2074,MATCH(FA_DATA!J25,'Assignment Tool'!D41:D2074,0)))</f>
        <v>8</v>
      </c>
    </row>
    <row r="26" spans="1:11" x14ac:dyDescent="0.25">
      <c r="A26" s="118" t="str">
        <f t="shared" si="0"/>
        <v>F 6475-1 HIGHWAY 22</v>
      </c>
      <c r="G26" t="str">
        <f>IF('Assignment Tool'!C26="","",IF('Assignment Tool'!C26="FST",'Assignment Tool'!D26,""))</f>
        <v/>
      </c>
      <c r="H26">
        <v>26</v>
      </c>
      <c r="I26">
        <f t="shared" si="1"/>
        <v>149</v>
      </c>
      <c r="J26" t="str">
        <f t="array" ref="J26">IFERROR(INDEX($G$2:$G$2050,_xlfn.AGGREGATE(15,6,(ROW($G$2:$G$2050)-ROW($G$2)+1)/($G$2:$G$2050&lt;&gt;""),ROWS(J$1:J26))),"")</f>
        <v>F 236-2 AMMERSEE LAKES DR</v>
      </c>
      <c r="K26">
        <f>IF(J26="","",INDEX('Assignment Tool'!E42:E2075,MATCH(FA_DATA!J26,'Assignment Tool'!D42:D2075,0)))</f>
        <v>4</v>
      </c>
    </row>
    <row r="27" spans="1:11" x14ac:dyDescent="0.25">
      <c r="A27" s="118" t="str">
        <f t="shared" si="0"/>
        <v>F 6475-1 HIGHWAY 22</v>
      </c>
      <c r="G27" t="str">
        <f>IF('Assignment Tool'!C27="","",IF('Assignment Tool'!C27="FST",'Assignment Tool'!D27,""))</f>
        <v/>
      </c>
      <c r="H27">
        <v>27</v>
      </c>
      <c r="I27">
        <f t="shared" si="1"/>
        <v>153</v>
      </c>
      <c r="J27" t="str">
        <f t="array" ref="J27">IFERROR(INDEX($G$2:$G$2050,_xlfn.AGGREGATE(15,6,(ROW($G$2:$G$2050)-ROW($G$2)+1)/($G$2:$G$2050&lt;&gt;""),ROWS(J$1:J27))),"")</f>
        <v>F 244-2 AMMERSEE LAKES DR</v>
      </c>
      <c r="K27">
        <f>IF(J27="","",INDEX('Assignment Tool'!E43:E2076,MATCH(FA_DATA!J27,'Assignment Tool'!D43:D2076,0)))</f>
        <v>4</v>
      </c>
    </row>
    <row r="28" spans="1:11" x14ac:dyDescent="0.25">
      <c r="A28" s="118" t="str">
        <f t="shared" si="0"/>
        <v>F 6475-1 HIGHWAY 22</v>
      </c>
      <c r="G28" t="str">
        <f>IF('Assignment Tool'!C28="","",IF('Assignment Tool'!C28="FST",'Assignment Tool'!D28,""))</f>
        <v/>
      </c>
      <c r="H28">
        <v>28</v>
      </c>
      <c r="I28">
        <f t="shared" si="1"/>
        <v>157</v>
      </c>
      <c r="J28" t="str">
        <f t="array" ref="J28">IFERROR(INDEX($G$2:$G$2050,_xlfn.AGGREGATE(15,6,(ROW($G$2:$G$2050)-ROW($G$2)+1)/($G$2:$G$2050&lt;&gt;""),ROWS(J$1:J28))),"")</f>
        <v>F 252-2 AMMERSEE LAKES DR</v>
      </c>
      <c r="K28">
        <f>IF(J28="","",INDEX('Assignment Tool'!E44:E2077,MATCH(FA_DATA!J28,'Assignment Tool'!D44:D2077,0)))</f>
        <v>4</v>
      </c>
    </row>
    <row r="29" spans="1:11" x14ac:dyDescent="0.25">
      <c r="A29" s="118" t="str">
        <f t="shared" si="0"/>
        <v>F 6475-1 HIGHWAY 22</v>
      </c>
      <c r="G29" t="str">
        <f>IF('Assignment Tool'!C29="","",IF('Assignment Tool'!C29="FST",'Assignment Tool'!D29,""))</f>
        <v/>
      </c>
      <c r="H29">
        <v>29</v>
      </c>
      <c r="I29">
        <f t="shared" si="1"/>
        <v>161</v>
      </c>
      <c r="J29" t="str">
        <f t="array" ref="J29">IFERROR(INDEX($G$2:$G$2050,_xlfn.AGGREGATE(15,6,(ROW($G$2:$G$2050)-ROW($G$2)+1)/($G$2:$G$2050&lt;&gt;""),ROWS(J$1:J29))),"")</f>
        <v>F 260-2 AMMERSEE LAKES DR</v>
      </c>
      <c r="K29">
        <f>IF(J29="","",INDEX('Assignment Tool'!E45:E2078,MATCH(FA_DATA!J29,'Assignment Tool'!D45:D2078,0)))</f>
        <v>8</v>
      </c>
    </row>
    <row r="30" spans="1:11" x14ac:dyDescent="0.25">
      <c r="A30" s="118" t="str">
        <f t="shared" si="0"/>
        <v>F 6475-1 HIGHWAY 22</v>
      </c>
      <c r="G30" t="str">
        <f>IF('Assignment Tool'!C30="","",IF('Assignment Tool'!C30="FST",'Assignment Tool'!D30,""))</f>
        <v/>
      </c>
      <c r="H30">
        <v>30</v>
      </c>
      <c r="I30">
        <f t="shared" si="1"/>
        <v>169</v>
      </c>
      <c r="J30" t="str">
        <f t="array" ref="J30">IFERROR(INDEX($G$2:$G$2050,_xlfn.AGGREGATE(15,6,(ROW($G$2:$G$2050)-ROW($G$2)+1)/($G$2:$G$2050&lt;&gt;""),ROWS(J$1:J30))),"")</f>
        <v>F 272-1 AMMERSEE LAKES DR</v>
      </c>
      <c r="K30">
        <f>IF(J30="","",INDEX('Assignment Tool'!E46:E2079,MATCH(FA_DATA!J30,'Assignment Tool'!D46:D2079,0)))</f>
        <v>4</v>
      </c>
    </row>
    <row r="31" spans="1:11" x14ac:dyDescent="0.25">
      <c r="A31" s="118" t="str">
        <f t="shared" si="0"/>
        <v>F 6475-1 HIGHWAY 22</v>
      </c>
      <c r="G31" t="str">
        <f>IF('Assignment Tool'!C31="","",IF('Assignment Tool'!C31="FST",'Assignment Tool'!D31,""))</f>
        <v/>
      </c>
      <c r="H31">
        <v>31</v>
      </c>
      <c r="I31">
        <f t="shared" si="1"/>
        <v>173</v>
      </c>
      <c r="J31" t="str">
        <f t="array" ref="J31">IFERROR(INDEX($G$2:$G$2050,_xlfn.AGGREGATE(15,6,(ROW($G$2:$G$2050)-ROW($G$2)+1)/($G$2:$G$2050&lt;&gt;""),ROWS(J$1:J31))),"")</f>
        <v>F 276-2 AMMERSEE LAKES DR</v>
      </c>
      <c r="K31">
        <f>IF(J31="","",INDEX('Assignment Tool'!E47:E2080,MATCH(FA_DATA!J31,'Assignment Tool'!D47:D2080,0)))</f>
        <v>4</v>
      </c>
    </row>
    <row r="32" spans="1:11" x14ac:dyDescent="0.25">
      <c r="A32" s="118" t="str">
        <f t="shared" si="0"/>
        <v>F 6475-1 HIGHWAY 22</v>
      </c>
      <c r="G32" t="str">
        <f>IF('Assignment Tool'!C32="","",IF('Assignment Tool'!C32="FST",'Assignment Tool'!D32,""))</f>
        <v/>
      </c>
      <c r="H32">
        <v>32</v>
      </c>
      <c r="I32">
        <f t="shared" si="1"/>
        <v>177</v>
      </c>
      <c r="J32" t="str">
        <f t="array" ref="J32">IFERROR(INDEX($G$2:$G$2050,_xlfn.AGGREGATE(15,6,(ROW($G$2:$G$2050)-ROW($G$2)+1)/($G$2:$G$2050&lt;&gt;""),ROWS(J$1:J32))),"")</f>
        <v>F 284-1 AMMERSEE LAKES DR</v>
      </c>
      <c r="K32">
        <f>IF(J32="","",INDEX('Assignment Tool'!E48:E2081,MATCH(FA_DATA!J32,'Assignment Tool'!D48:D2081,0)))</f>
        <v>4</v>
      </c>
    </row>
    <row r="33" spans="1:11" x14ac:dyDescent="0.25">
      <c r="A33" s="118" t="str">
        <f t="shared" si="0"/>
        <v>F 6475-1 HIGHWAY 22</v>
      </c>
      <c r="G33" t="str">
        <f>IF('Assignment Tool'!C33="","",IF('Assignment Tool'!C33="FST",'Assignment Tool'!D33,""))</f>
        <v/>
      </c>
      <c r="H33">
        <v>33</v>
      </c>
      <c r="I33">
        <f t="shared" si="1"/>
        <v>181</v>
      </c>
      <c r="J33" t="str">
        <f t="array" ref="J33">IFERROR(INDEX($G$2:$G$2050,_xlfn.AGGREGATE(15,6,(ROW($G$2:$G$2050)-ROW($G$2)+1)/($G$2:$G$2050&lt;&gt;""),ROWS(J$1:J33))),"")</f>
        <v>F 101-1 MOORES SPRING RD</v>
      </c>
      <c r="K33">
        <f>IF(J33="","",INDEX('Assignment Tool'!E49:E2082,MATCH(FA_DATA!J33,'Assignment Tool'!D49:D2082,0)))</f>
        <v>8</v>
      </c>
    </row>
    <row r="34" spans="1:11" x14ac:dyDescent="0.25">
      <c r="A34" s="118" t="str">
        <f t="shared" si="0"/>
        <v>F 6475-1 HIGHWAY 22</v>
      </c>
      <c r="G34" t="str">
        <f>IF('Assignment Tool'!C34="","",IF('Assignment Tool'!C34="FST",'Assignment Tool'!D34,""))</f>
        <v/>
      </c>
      <c r="H34">
        <v>34</v>
      </c>
      <c r="I34">
        <f t="shared" si="1"/>
        <v>189</v>
      </c>
      <c r="J34" t="str">
        <f t="array" ref="J34">IFERROR(INDEX($G$2:$G$2050,_xlfn.AGGREGATE(15,6,(ROW($G$2:$G$2050)-ROW($G$2)+1)/($G$2:$G$2050&lt;&gt;""),ROWS(J$1:J34))),"")</f>
        <v>F 109-1 MOORES SPRING RD</v>
      </c>
      <c r="K34">
        <f>IF(J34="","",INDEX('Assignment Tool'!E50:E2083,MATCH(FA_DATA!J34,'Assignment Tool'!D50:D2083,0)))</f>
        <v>4</v>
      </c>
    </row>
    <row r="35" spans="1:11" x14ac:dyDescent="0.25">
      <c r="A35" s="118" t="str">
        <f t="shared" si="0"/>
        <v>F 6475-1 HIGHWAY 22</v>
      </c>
      <c r="G35" t="str">
        <f>IF('Assignment Tool'!C35="","",IF('Assignment Tool'!C35="FST",'Assignment Tool'!D35,""))</f>
        <v/>
      </c>
      <c r="H35">
        <v>35</v>
      </c>
      <c r="I35">
        <f t="shared" si="1"/>
        <v>193</v>
      </c>
      <c r="J35" t="str">
        <f t="array" ref="J35">IFERROR(INDEX($G$2:$G$2050,_xlfn.AGGREGATE(15,6,(ROW($G$2:$G$2050)-ROW($G$2)+1)/($G$2:$G$2050&lt;&gt;""),ROWS(J$1:J35))),"")</f>
        <v>F 116-1 MOORES SPRING RD</v>
      </c>
      <c r="K35">
        <f>IF(J35="","",INDEX('Assignment Tool'!E51:E2084,MATCH(FA_DATA!J35,'Assignment Tool'!D51:D2084,0)))</f>
        <v>2</v>
      </c>
    </row>
    <row r="36" spans="1:11" x14ac:dyDescent="0.25">
      <c r="A36" s="118" t="str">
        <f t="shared" si="0"/>
        <v>F 6475-1 HIGHWAY 22</v>
      </c>
      <c r="G36" t="str">
        <f>IF('Assignment Tool'!C36="","",IF('Assignment Tool'!C36="FST",'Assignment Tool'!D36,""))</f>
        <v/>
      </c>
      <c r="H36">
        <v>36</v>
      </c>
      <c r="I36">
        <f t="shared" si="1"/>
        <v>195</v>
      </c>
      <c r="J36" t="str">
        <f t="array" ref="J36">IFERROR(INDEX($G$2:$G$2050,_xlfn.AGGREGATE(15,6,(ROW($G$2:$G$2050)-ROW($G$2)+1)/($G$2:$G$2050&lt;&gt;""),ROWS(J$1:J36))),"")</f>
        <v>F 1005-1 PARKERS COVE</v>
      </c>
      <c r="K36">
        <f>IF(J36="","",INDEX('Assignment Tool'!E52:E2085,MATCH(FA_DATA!J36,'Assignment Tool'!D52:D2085,0)))</f>
        <v>2</v>
      </c>
    </row>
    <row r="37" spans="1:11" x14ac:dyDescent="0.25">
      <c r="A37" s="118" t="str">
        <f t="shared" si="0"/>
        <v>F 6199-1 HIGHWAY 22</v>
      </c>
      <c r="G37" t="str">
        <f>IF('Assignment Tool'!C37="","",IF('Assignment Tool'!C37="FST",'Assignment Tool'!D37,""))</f>
        <v/>
      </c>
      <c r="H37">
        <v>37</v>
      </c>
      <c r="I37">
        <f t="shared" si="1"/>
        <v>197</v>
      </c>
      <c r="J37" t="str">
        <f t="array" ref="J37">IFERROR(INDEX($G$2:$G$2050,_xlfn.AGGREGATE(15,6,(ROW($G$2:$G$2050)-ROW($G$2)+1)/($G$2:$G$2050&lt;&gt;""),ROWS(J$1:J37))),"")</f>
        <v>F 1013-1 PARKERS COVE</v>
      </c>
      <c r="K37">
        <f>IF(J37="","",INDEX('Assignment Tool'!E53:E2086,MATCH(FA_DATA!J37,'Assignment Tool'!D53:D2086,0)))</f>
        <v>4</v>
      </c>
    </row>
    <row r="38" spans="1:11" x14ac:dyDescent="0.25">
      <c r="A38" s="118" t="str">
        <f t="shared" si="0"/>
        <v>F 6199-1 HIGHWAY 22</v>
      </c>
      <c r="G38" t="str">
        <f>IF('Assignment Tool'!C38="","",IF('Assignment Tool'!C38="FST",'Assignment Tool'!D38,""))</f>
        <v/>
      </c>
      <c r="H38">
        <v>38</v>
      </c>
      <c r="I38">
        <f t="shared" si="1"/>
        <v>201</v>
      </c>
      <c r="J38" t="str">
        <f t="array" ref="J38">IFERROR(INDEX($G$2:$G$2050,_xlfn.AGGREGATE(15,6,(ROW($G$2:$G$2050)-ROW($G$2)+1)/($G$2:$G$2050&lt;&gt;""),ROWS(J$1:J38))),"")</f>
        <v>F 1021-1 PARKERS COVE</v>
      </c>
      <c r="K38">
        <f>IF(J38="","",INDEX('Assignment Tool'!E54:E2087,MATCH(FA_DATA!J38,'Assignment Tool'!D54:D2087,0)))</f>
        <v>4</v>
      </c>
    </row>
    <row r="39" spans="1:11" x14ac:dyDescent="0.25">
      <c r="A39" s="118" t="str">
        <f t="shared" si="0"/>
        <v>F 6199-1 HIGHWAY 22</v>
      </c>
      <c r="G39" t="str">
        <f>IF('Assignment Tool'!C39="","",IF('Assignment Tool'!C39="FST",'Assignment Tool'!D39,""))</f>
        <v/>
      </c>
      <c r="H39">
        <v>39</v>
      </c>
      <c r="I39">
        <f t="shared" si="1"/>
        <v>205</v>
      </c>
      <c r="J39" t="str">
        <f t="array" ref="J39">IFERROR(INDEX($G$2:$G$2050,_xlfn.AGGREGATE(15,6,(ROW($G$2:$G$2050)-ROW($G$2)+1)/($G$2:$G$2050&lt;&gt;""),ROWS(J$1:J39))),"")</f>
        <v>F 127-2 MOORES SPRING RD</v>
      </c>
      <c r="K39">
        <f>IF(J39="","",INDEX('Assignment Tool'!E55:E2088,MATCH(FA_DATA!J39,'Assignment Tool'!D55:D2088,0)))</f>
        <v>4</v>
      </c>
    </row>
    <row r="40" spans="1:11" x14ac:dyDescent="0.25">
      <c r="A40" s="118" t="str">
        <f t="shared" si="0"/>
        <v>F 6199-1 HIGHWAY 22</v>
      </c>
      <c r="G40" t="str">
        <f>IF('Assignment Tool'!C40="","",IF('Assignment Tool'!C40="FST",'Assignment Tool'!D40,""))</f>
        <v/>
      </c>
      <c r="H40">
        <v>40</v>
      </c>
      <c r="I40">
        <f t="shared" si="1"/>
        <v>209</v>
      </c>
      <c r="J40" t="str">
        <f t="array" ref="J40">IFERROR(INDEX($G$2:$G$2050,_xlfn.AGGREGATE(15,6,(ROW($G$2:$G$2050)-ROW($G$2)+1)/($G$2:$G$2050&lt;&gt;""),ROWS(J$1:J40))),"")</f>
        <v>F 135-1 MOORES SPRING RD</v>
      </c>
      <c r="K40">
        <f>IF(J40="","",INDEX('Assignment Tool'!E56:E2089,MATCH(FA_DATA!J40,'Assignment Tool'!D56:D2089,0)))</f>
        <v>4</v>
      </c>
    </row>
    <row r="41" spans="1:11" x14ac:dyDescent="0.25">
      <c r="A41" s="118" t="str">
        <f t="shared" si="0"/>
        <v>F 6065-1 HIGHWAY 22</v>
      </c>
      <c r="G41" t="str">
        <f>IF('Assignment Tool'!C41="","",IF('Assignment Tool'!C41="FST",'Assignment Tool'!D41,""))</f>
        <v/>
      </c>
      <c r="H41">
        <v>41</v>
      </c>
      <c r="I41">
        <f t="shared" si="1"/>
        <v>213</v>
      </c>
      <c r="J41" t="str">
        <f t="array" ref="J41">IFERROR(INDEX($G$2:$G$2050,_xlfn.AGGREGATE(15,6,(ROW($G$2:$G$2050)-ROW($G$2)+1)/($G$2:$G$2050&lt;&gt;""),ROWS(J$1:J41))),"")</f>
        <v>F 143-1 MOORES SPRING RD</v>
      </c>
      <c r="K41">
        <f>IF(J41="","",INDEX('Assignment Tool'!E57:E2090,MATCH(FA_DATA!J41,'Assignment Tool'!D57:D2090,0)))</f>
        <v>4</v>
      </c>
    </row>
    <row r="42" spans="1:11" x14ac:dyDescent="0.25">
      <c r="A42" s="118" t="str">
        <f t="shared" si="0"/>
        <v>F 6065-1 HIGHWAY 22</v>
      </c>
      <c r="G42" t="str">
        <f>IF('Assignment Tool'!C42="","",IF('Assignment Tool'!C42="FST",'Assignment Tool'!D42,""))</f>
        <v/>
      </c>
      <c r="H42">
        <v>42</v>
      </c>
      <c r="I42">
        <f t="shared" si="1"/>
        <v>217</v>
      </c>
      <c r="J42" t="str">
        <f t="array" ref="J42">IFERROR(INDEX($G$2:$G$2050,_xlfn.AGGREGATE(15,6,(ROW($G$2:$G$2050)-ROW($G$2)+1)/($G$2:$G$2050&lt;&gt;""),ROWS(J$1:J42))),"")</f>
        <v>F 151-1 MOORES SPRING RD</v>
      </c>
      <c r="K42">
        <f>IF(J42="","",INDEX('Assignment Tool'!E58:E2091,MATCH(FA_DATA!J42,'Assignment Tool'!D58:D2091,0)))</f>
        <v>4</v>
      </c>
    </row>
    <row r="43" spans="1:11" x14ac:dyDescent="0.25">
      <c r="A43" s="118" t="str">
        <f t="shared" si="0"/>
        <v>F 6065-1 HIGHWAY 22</v>
      </c>
      <c r="G43" t="str">
        <f>IF('Assignment Tool'!C43="","",IF('Assignment Tool'!C43="FST",'Assignment Tool'!D43,""))</f>
        <v/>
      </c>
      <c r="H43">
        <v>43</v>
      </c>
      <c r="I43">
        <f t="shared" si="1"/>
        <v>221</v>
      </c>
      <c r="J43" t="str">
        <f t="array" ref="J43">IFERROR(INDEX($G$2:$G$2050,_xlfn.AGGREGATE(15,6,(ROW($G$2:$G$2050)-ROW($G$2)+1)/($G$2:$G$2050&lt;&gt;""),ROWS(J$1:J43))),"")</f>
        <v>F 159-2 MOORES SPRING RD</v>
      </c>
      <c r="K43">
        <f>IF(J43="","",INDEX('Assignment Tool'!E59:E2092,MATCH(FA_DATA!J43,'Assignment Tool'!D59:D2092,0)))</f>
        <v>4</v>
      </c>
    </row>
    <row r="44" spans="1:11" x14ac:dyDescent="0.25">
      <c r="A44" s="118" t="str">
        <f t="shared" si="0"/>
        <v>F 6065-1 HIGHWAY 22</v>
      </c>
      <c r="G44" t="str">
        <f>IF('Assignment Tool'!C44="","",IF('Assignment Tool'!C44="FST",'Assignment Tool'!D44,""))</f>
        <v/>
      </c>
      <c r="H44">
        <v>44</v>
      </c>
      <c r="I44">
        <f t="shared" si="1"/>
        <v>225</v>
      </c>
      <c r="J44" t="str">
        <f t="array" ref="J44">IFERROR(INDEX($G$2:$G$2050,_xlfn.AGGREGATE(15,6,(ROW($G$2:$G$2050)-ROW($G$2)+1)/($G$2:$G$2050&lt;&gt;""),ROWS(J$1:J44))),"")</f>
        <v>F 167-1 MOORES SPRING RD</v>
      </c>
      <c r="K44">
        <f>IF(J44="","",INDEX('Assignment Tool'!E60:E2093,MATCH(FA_DATA!J44,'Assignment Tool'!D60:D2093,0)))</f>
        <v>8</v>
      </c>
    </row>
    <row r="45" spans="1:11" x14ac:dyDescent="0.25">
      <c r="A45" s="118" t="str">
        <f t="shared" si="0"/>
        <v>F 6011-1 HIGHWAY 22</v>
      </c>
      <c r="G45" t="str">
        <f>IF('Assignment Tool'!C45="","",IF('Assignment Tool'!C45="FST",'Assignment Tool'!D45,""))</f>
        <v/>
      </c>
      <c r="H45">
        <v>45</v>
      </c>
      <c r="I45">
        <f t="shared" si="1"/>
        <v>233</v>
      </c>
      <c r="J45" t="str">
        <f t="array" ref="J45">IFERROR(INDEX($G$2:$G$2050,_xlfn.AGGREGATE(15,6,(ROW($G$2:$G$2050)-ROW($G$2)+1)/($G$2:$G$2050&lt;&gt;""),ROWS(J$1:J45))),"")</f>
        <v>F 175-2 MOORES SPRING RD</v>
      </c>
      <c r="K45">
        <f>IF(J45="","",INDEX('Assignment Tool'!E61:E2094,MATCH(FA_DATA!J45,'Assignment Tool'!D61:D2094,0)))</f>
        <v>4</v>
      </c>
    </row>
    <row r="46" spans="1:11" x14ac:dyDescent="0.25">
      <c r="A46" s="118" t="str">
        <f t="shared" si="0"/>
        <v>F 6011-1 HIGHWAY 22</v>
      </c>
      <c r="G46" t="str">
        <f>IF('Assignment Tool'!C46="","",IF('Assignment Tool'!C46="FST",'Assignment Tool'!D46,""))</f>
        <v/>
      </c>
      <c r="H46">
        <v>46</v>
      </c>
      <c r="I46">
        <f t="shared" si="1"/>
        <v>237</v>
      </c>
      <c r="J46" t="str">
        <f t="array" ref="J46">IFERROR(INDEX($G$2:$G$2050,_xlfn.AGGREGATE(15,6,(ROW($G$2:$G$2050)-ROW($G$2)+1)/($G$2:$G$2050&lt;&gt;""),ROWS(J$1:J46))),"")</f>
        <v>F 179-1 MOORES SPRING RD</v>
      </c>
      <c r="K46">
        <f>IF(J46="","",INDEX('Assignment Tool'!E62:E2095,MATCH(FA_DATA!J46,'Assignment Tool'!D62:D2095,0)))</f>
        <v>4</v>
      </c>
    </row>
    <row r="47" spans="1:11" x14ac:dyDescent="0.25">
      <c r="A47" s="118" t="str">
        <f t="shared" si="0"/>
        <v>F 6011-1 HIGHWAY 22</v>
      </c>
      <c r="G47" t="str">
        <f>IF('Assignment Tool'!C47="","",IF('Assignment Tool'!C47="FST",'Assignment Tool'!D47,""))</f>
        <v/>
      </c>
      <c r="H47">
        <v>47</v>
      </c>
      <c r="I47">
        <f t="shared" si="1"/>
        <v>241</v>
      </c>
      <c r="J47" t="str">
        <f t="array" ref="J47">IFERROR(INDEX($G$2:$G$2050,_xlfn.AGGREGATE(15,6,(ROW($G$2:$G$2050)-ROW($G$2)+1)/($G$2:$G$2050&lt;&gt;""),ROWS(J$1:J47))),"")</f>
        <v>F 7390-1 HIGHWAY 22</v>
      </c>
      <c r="K47">
        <f>IF(J47="","",INDEX('Assignment Tool'!E63:E2096,MATCH(FA_DATA!J47,'Assignment Tool'!D63:D2096,0)))</f>
        <v>12</v>
      </c>
    </row>
    <row r="48" spans="1:11" x14ac:dyDescent="0.25">
      <c r="A48" s="118" t="str">
        <f t="shared" si="0"/>
        <v>F 6011-1 HIGHWAY 22</v>
      </c>
      <c r="G48" t="str">
        <f>IF('Assignment Tool'!C48="","",IF('Assignment Tool'!C48="FST",'Assignment Tool'!D48,""))</f>
        <v/>
      </c>
      <c r="H48">
        <v>48</v>
      </c>
      <c r="I48">
        <f t="shared" si="1"/>
        <v>253</v>
      </c>
      <c r="J48" t="str">
        <f t="array" ref="J48">IFERROR(INDEX($G$2:$G$2050,_xlfn.AGGREGATE(15,6,(ROW($G$2:$G$2050)-ROW($G$2)+1)/($G$2:$G$2050&lt;&gt;""),ROWS(J$1:J48))),"")</f>
        <v>F 7490-1 HIGHWAY 22</v>
      </c>
      <c r="K48">
        <f>IF(J48="","",INDEX('Assignment Tool'!E64:E2097,MATCH(FA_DATA!J48,'Assignment Tool'!D64:D2097,0)))</f>
        <v>4</v>
      </c>
    </row>
    <row r="49" spans="1:11" x14ac:dyDescent="0.25">
      <c r="A49" s="118" t="str">
        <f t="shared" si="0"/>
        <v>F 128-2 MOUNTAINVIEW DR</v>
      </c>
      <c r="G49" t="str">
        <f>IF('Assignment Tool'!C49="","",IF('Assignment Tool'!C49="FST",'Assignment Tool'!D49,""))</f>
        <v/>
      </c>
      <c r="H49">
        <v>49</v>
      </c>
      <c r="I49">
        <f t="shared" si="1"/>
        <v>257</v>
      </c>
      <c r="J49" t="str">
        <f t="array" ref="J49">IFERROR(INDEX($G$2:$G$2050,_xlfn.AGGREGATE(15,6,(ROW($G$2:$G$2050)-ROW($G$2)+1)/($G$2:$G$2050&lt;&gt;""),ROWS(J$1:J49))),"")</f>
        <v>OPP 7615-1 HIGHWAY 22</v>
      </c>
      <c r="K49">
        <f>IF(J49="","",INDEX('Assignment Tool'!E65:E2098,MATCH(FA_DATA!J49,'Assignment Tool'!D65:D2098,0)))</f>
        <v>4</v>
      </c>
    </row>
    <row r="50" spans="1:11" x14ac:dyDescent="0.25">
      <c r="A50" s="118" t="str">
        <f t="shared" si="0"/>
        <v>F 128-2 MOUNTAINVIEW DR</v>
      </c>
      <c r="G50" t="str">
        <f>IF('Assignment Tool'!C50="","",IF('Assignment Tool'!C50="FST",'Assignment Tool'!D50,""))</f>
        <v/>
      </c>
      <c r="H50">
        <v>50</v>
      </c>
      <c r="I50">
        <f t="shared" si="1"/>
        <v>261</v>
      </c>
      <c r="J50" t="str">
        <f t="array" ref="J50">IFERROR(INDEX($G$2:$G$2050,_xlfn.AGGREGATE(15,6,(ROW($G$2:$G$2050)-ROW($G$2)+1)/($G$2:$G$2050&lt;&gt;""),ROWS(J$1:J50))),"")</f>
        <v>F 7706-1 HIGHWAY 22</v>
      </c>
      <c r="K50">
        <f>IF(J50="","",INDEX('Assignment Tool'!E66:E2099,MATCH(FA_DATA!J50,'Assignment Tool'!D66:D2099,0)))</f>
        <v>4</v>
      </c>
    </row>
    <row r="51" spans="1:11" x14ac:dyDescent="0.25">
      <c r="A51" s="118" t="str">
        <f t="shared" si="0"/>
        <v>F 128-2 MOUNTAINVIEW DR</v>
      </c>
      <c r="G51" t="str">
        <f>IF('Assignment Tool'!C51="","",IF('Assignment Tool'!C51="FST",'Assignment Tool'!D51,""))</f>
        <v/>
      </c>
      <c r="H51">
        <v>51</v>
      </c>
      <c r="I51">
        <f t="shared" si="1"/>
        <v>265</v>
      </c>
      <c r="J51" t="str">
        <f t="array" ref="J51">IFERROR(INDEX($G$2:$G$2050,_xlfn.AGGREGATE(15,6,(ROW($G$2:$G$2050)-ROW($G$2)+1)/($G$2:$G$2050&lt;&gt;""),ROWS(J$1:J51))),"")</f>
        <v>F 6512-1 HIGHWAY 16</v>
      </c>
      <c r="K51">
        <f>IF(J51="","",INDEX('Assignment Tool'!E67:E2100,MATCH(FA_DATA!J51,'Assignment Tool'!D67:D2100,0)))</f>
        <v>4</v>
      </c>
    </row>
    <row r="52" spans="1:11" x14ac:dyDescent="0.25">
      <c r="A52" s="118" t="str">
        <f t="shared" si="0"/>
        <v>F 128-2 MOUNTAINVIEW DR</v>
      </c>
      <c r="G52" t="str">
        <f>IF('Assignment Tool'!C52="","",IF('Assignment Tool'!C52="FST",'Assignment Tool'!D52,""))</f>
        <v/>
      </c>
      <c r="H52">
        <v>52</v>
      </c>
      <c r="I52">
        <f t="shared" si="1"/>
        <v>269</v>
      </c>
      <c r="J52" t="str">
        <f t="array" ref="J52">IFERROR(INDEX($G$2:$G$2050,_xlfn.AGGREGATE(15,6,(ROW($G$2:$G$2050)-ROW($G$2)+1)/($G$2:$G$2050&lt;&gt;""),ROWS(J$1:J52))),"")</f>
        <v>F 6418-1 HIGHWAY 16</v>
      </c>
      <c r="K52">
        <f>IF(J52="","",INDEX('Assignment Tool'!E68:E2101,MATCH(FA_DATA!J52,'Assignment Tool'!D68:D2101,0)))</f>
        <v>4</v>
      </c>
    </row>
    <row r="53" spans="1:11" x14ac:dyDescent="0.25">
      <c r="A53" s="118" t="str">
        <f t="shared" si="0"/>
        <v>F 210-2 MOUNTAINVIEW DR</v>
      </c>
      <c r="G53" t="str">
        <f>IF('Assignment Tool'!C53="","",IF('Assignment Tool'!C53="FST",'Assignment Tool'!D53,""))</f>
        <v/>
      </c>
      <c r="H53">
        <v>53</v>
      </c>
      <c r="I53">
        <f t="shared" si="1"/>
        <v>273</v>
      </c>
      <c r="J53" t="str">
        <f t="array" ref="J53">IFERROR(INDEX($G$2:$G$2050,_xlfn.AGGREGATE(15,6,(ROW($G$2:$G$2050)-ROW($G$2)+1)/($G$2:$G$2050&lt;&gt;""),ROWS(J$1:J53))),"")</f>
        <v>F 6305-1 HIGHWAY 16</v>
      </c>
      <c r="K53">
        <f>IF(J53="","",INDEX('Assignment Tool'!E69:E2102,MATCH(FA_DATA!J53,'Assignment Tool'!D69:D2102,0)))</f>
        <v>4</v>
      </c>
    </row>
    <row r="54" spans="1:11" x14ac:dyDescent="0.25">
      <c r="A54" s="118" t="str">
        <f t="shared" si="0"/>
        <v>F 210-2 MOUNTAINVIEW DR</v>
      </c>
      <c r="G54" t="str">
        <f>IF('Assignment Tool'!C54="","",IF('Assignment Tool'!C54="FST",'Assignment Tool'!D54,""))</f>
        <v/>
      </c>
      <c r="H54">
        <v>54</v>
      </c>
      <c r="I54">
        <f t="shared" si="1"/>
        <v>277</v>
      </c>
      <c r="J54" t="str">
        <f t="array" ref="J54">IFERROR(INDEX($G$2:$G$2050,_xlfn.AGGREGATE(15,6,(ROW($G$2:$G$2050)-ROW($G$2)+1)/($G$2:$G$2050&lt;&gt;""),ROWS(J$1:J54))),"")</f>
        <v>F 6233-1 HIGHWAY 16</v>
      </c>
      <c r="K54">
        <f>IF(J54="","",INDEX('Assignment Tool'!E70:E2103,MATCH(FA_DATA!J54,'Assignment Tool'!D70:D2103,0)))</f>
        <v>8</v>
      </c>
    </row>
    <row r="55" spans="1:11" x14ac:dyDescent="0.25">
      <c r="A55" s="118" t="str">
        <f t="shared" si="0"/>
        <v>F 210-2 MOUNTAINVIEW DR</v>
      </c>
      <c r="G55" t="str">
        <f>IF('Assignment Tool'!C55="","",IF('Assignment Tool'!C55="FST",'Assignment Tool'!D55,""))</f>
        <v/>
      </c>
      <c r="H55">
        <v>55</v>
      </c>
      <c r="I55">
        <f t="shared" si="1"/>
        <v>285</v>
      </c>
      <c r="J55" t="str">
        <f t="array" ref="J55">IFERROR(INDEX($G$2:$G$2050,_xlfn.AGGREGATE(15,6,(ROW($G$2:$G$2050)-ROW($G$2)+1)/($G$2:$G$2050&lt;&gt;""),ROWS(J$1:J55))),"")</f>
        <v>F 6169-1 HIGHWAY 16</v>
      </c>
      <c r="K55">
        <f>IF(J55="","",INDEX('Assignment Tool'!E71:E2104,MATCH(FA_DATA!J55,'Assignment Tool'!D71:D2104,0)))</f>
        <v>8</v>
      </c>
    </row>
    <row r="56" spans="1:11" x14ac:dyDescent="0.25">
      <c r="A56" s="118" t="str">
        <f t="shared" si="0"/>
        <v>F 210-2 MOUNTAINVIEW DR</v>
      </c>
      <c r="G56" t="str">
        <f>IF('Assignment Tool'!C56="","",IF('Assignment Tool'!C56="FST",'Assignment Tool'!D56,""))</f>
        <v/>
      </c>
      <c r="H56">
        <v>56</v>
      </c>
      <c r="I56">
        <f t="shared" si="1"/>
        <v>293</v>
      </c>
      <c r="J56" t="str">
        <f t="array" ref="J56">IFERROR(INDEX($G$2:$G$2050,_xlfn.AGGREGATE(15,6,(ROW($G$2:$G$2050)-ROW($G$2)+1)/($G$2:$G$2050&lt;&gt;""),ROWS(J$1:J56))),"")</f>
        <v>OPP 6116-1 HIGHWAY 16</v>
      </c>
      <c r="K56">
        <f>IF(J56="","",INDEX('Assignment Tool'!E72:E2105,MATCH(FA_DATA!J56,'Assignment Tool'!D72:D2105,0)))</f>
        <v>8</v>
      </c>
    </row>
    <row r="57" spans="1:11" x14ac:dyDescent="0.25">
      <c r="A57" s="118" t="str">
        <f t="shared" si="0"/>
        <v>F 210-2 MOUNTAINVIEW DR</v>
      </c>
      <c r="G57" t="str">
        <f>IF('Assignment Tool'!C57="","",IF('Assignment Tool'!C57="FST",'Assignment Tool'!D57,""))</f>
        <v/>
      </c>
      <c r="H57">
        <v>57</v>
      </c>
      <c r="I57">
        <f t="shared" si="1"/>
        <v>301</v>
      </c>
      <c r="J57" t="str">
        <f t="array" ref="J57">IFERROR(INDEX($G$2:$G$2050,_xlfn.AGGREGATE(15,6,(ROW($G$2:$G$2050)-ROW($G$2)+1)/($G$2:$G$2050&lt;&gt;""),ROWS(J$1:J57))),"")</f>
        <v>F 6087-1 HIGHWAY 16</v>
      </c>
      <c r="K57">
        <f>IF(J57="","",INDEX('Assignment Tool'!E73:E2106,MATCH(FA_DATA!J57,'Assignment Tool'!D73:D2106,0)))</f>
        <v>4</v>
      </c>
    </row>
    <row r="58" spans="1:11" x14ac:dyDescent="0.25">
      <c r="A58" s="118" t="str">
        <f t="shared" si="0"/>
        <v>F 210-2 MOUNTAINVIEW DR</v>
      </c>
      <c r="G58" t="str">
        <f>IF('Assignment Tool'!C58="","",IF('Assignment Tool'!C58="FST",'Assignment Tool'!D58,""))</f>
        <v>F 6475-1 HIGHWAY 22</v>
      </c>
      <c r="H58">
        <v>58</v>
      </c>
      <c r="I58">
        <f t="shared" si="1"/>
        <v>305</v>
      </c>
      <c r="J58" t="str">
        <f t="array" ref="J58">IFERROR(INDEX($G$2:$G$2050,_xlfn.AGGREGATE(15,6,(ROW($G$2:$G$2050)-ROW($G$2)+1)/($G$2:$G$2050&lt;&gt;""),ROWS(J$1:J58))),"")</f>
        <v>F 5691-1 HIGHWAY 16</v>
      </c>
      <c r="K58">
        <f>IF(J58="","",INDEX('Assignment Tool'!E74:E2107,MATCH(FA_DATA!J58,'Assignment Tool'!D74:D2107,0)))</f>
        <v>8</v>
      </c>
    </row>
    <row r="59" spans="1:11" x14ac:dyDescent="0.25">
      <c r="A59" s="118" t="str">
        <f t="shared" si="0"/>
        <v>F 210-2 MOUNTAINVIEW DR</v>
      </c>
      <c r="G59" t="str">
        <f>IF('Assignment Tool'!C59="","",IF('Assignment Tool'!C59="FST",'Assignment Tool'!D59,""))</f>
        <v/>
      </c>
      <c r="H59">
        <v>59</v>
      </c>
      <c r="I59">
        <f t="shared" si="1"/>
        <v>313</v>
      </c>
      <c r="J59" t="str">
        <f t="array" ref="J59">IFERROR(INDEX($G$2:$G$2050,_xlfn.AGGREGATE(15,6,(ROW($G$2:$G$2050)-ROW($G$2)+1)/($G$2:$G$2050&lt;&gt;""),ROWS(J$1:J59))),"")</f>
        <v>F 5569-1 HIGHWAY 16</v>
      </c>
      <c r="K59">
        <f>IF(J59="","",INDEX('Assignment Tool'!E75:E2108,MATCH(FA_DATA!J59,'Assignment Tool'!D75:D2108,0)))</f>
        <v>8</v>
      </c>
    </row>
    <row r="60" spans="1:11" x14ac:dyDescent="0.25">
      <c r="A60" s="118" t="str">
        <f t="shared" si="0"/>
        <v>F 210-2 MOUNTAINVIEW DR</v>
      </c>
      <c r="G60" t="str">
        <f>IF('Assignment Tool'!C60="","",IF('Assignment Tool'!C60="FST",'Assignment Tool'!D60,""))</f>
        <v/>
      </c>
      <c r="H60">
        <v>60</v>
      </c>
      <c r="I60">
        <f t="shared" si="1"/>
        <v>321</v>
      </c>
      <c r="J60" t="str">
        <f t="array" ref="J60">IFERROR(INDEX($G$2:$G$2050,_xlfn.AGGREGATE(15,6,(ROW($G$2:$G$2050)-ROW($G$2)+1)/($G$2:$G$2050&lt;&gt;""),ROWS(J$1:J60))),"")</f>
        <v>OPP 5464-1 HIGHWAY 16</v>
      </c>
      <c r="K60">
        <f>IF(J60="","",INDEX('Assignment Tool'!E76:E2109,MATCH(FA_DATA!J60,'Assignment Tool'!D76:D2109,0)))</f>
        <v>8</v>
      </c>
    </row>
    <row r="61" spans="1:11" x14ac:dyDescent="0.25">
      <c r="A61" s="118" t="str">
        <f t="shared" si="0"/>
        <v>F 5926-1 HIGHWAY 22</v>
      </c>
      <c r="G61" t="str">
        <f>IF('Assignment Tool'!C61="","",IF('Assignment Tool'!C61="FST",'Assignment Tool'!D61,""))</f>
        <v/>
      </c>
      <c r="H61">
        <v>61</v>
      </c>
      <c r="I61">
        <f t="shared" si="1"/>
        <v>329</v>
      </c>
      <c r="J61" t="str">
        <f t="array" ref="J61">IFERROR(INDEX($G$2:$G$2050,_xlfn.AGGREGATE(15,6,(ROW($G$2:$G$2050)-ROW($G$2)+1)/($G$2:$G$2050&lt;&gt;""),ROWS(J$1:J61))),"")</f>
        <v>F 5385-1 HIGHWAY 16</v>
      </c>
      <c r="K61">
        <f>IF(J61="","",INDEX('Assignment Tool'!E77:E2110,MATCH(FA_DATA!J61,'Assignment Tool'!D77:D2110,0)))</f>
        <v>4</v>
      </c>
    </row>
    <row r="62" spans="1:11" x14ac:dyDescent="0.25">
      <c r="A62" s="118" t="str">
        <f t="shared" si="0"/>
        <v>F 5926-1 HIGHWAY 22</v>
      </c>
      <c r="G62" t="str">
        <f>IF('Assignment Tool'!C62="","",IF('Assignment Tool'!C62="FST",'Assignment Tool'!D62,""))</f>
        <v/>
      </c>
      <c r="H62">
        <v>62</v>
      </c>
      <c r="I62">
        <f t="shared" si="1"/>
        <v>333</v>
      </c>
      <c r="J62" t="str">
        <f t="array" ref="J62">IFERROR(INDEX($G$2:$G$2050,_xlfn.AGGREGATE(15,6,(ROW($G$2:$G$2050)-ROW($G$2)+1)/($G$2:$G$2050&lt;&gt;""),ROWS(J$1:J62))),"")</f>
        <v>F 5343-1 HIGHWAY 16</v>
      </c>
      <c r="K62">
        <f>IF(J62="","",INDEX('Assignment Tool'!E78:E2111,MATCH(FA_DATA!J62,'Assignment Tool'!D78:D2111,0)))</f>
        <v>4</v>
      </c>
    </row>
    <row r="63" spans="1:11" x14ac:dyDescent="0.25">
      <c r="A63" s="118" t="str">
        <f t="shared" si="0"/>
        <v>F 5926-1 HIGHWAY 22</v>
      </c>
      <c r="G63" t="str">
        <f>IF('Assignment Tool'!C63="","",IF('Assignment Tool'!C63="FST",'Assignment Tool'!D63,""))</f>
        <v/>
      </c>
      <c r="H63">
        <v>63</v>
      </c>
      <c r="I63">
        <f t="shared" si="1"/>
        <v>337</v>
      </c>
      <c r="J63" t="str">
        <f t="array" ref="J63">IFERROR(INDEX($G$2:$G$2050,_xlfn.AGGREGATE(15,6,(ROW($G$2:$G$2050)-ROW($G$2)+1)/($G$2:$G$2050&lt;&gt;""),ROWS(J$1:J63))),"")</f>
        <v>F 7920-1 HIGHWAY 22</v>
      </c>
      <c r="K63">
        <f>IF(J63="","",INDEX('Assignment Tool'!E79:E2112,MATCH(FA_DATA!J63,'Assignment Tool'!D79:D2112,0)))</f>
        <v>2</v>
      </c>
    </row>
    <row r="64" spans="1:11" x14ac:dyDescent="0.25">
      <c r="A64" s="118" t="str">
        <f t="shared" si="0"/>
        <v>F 5926-1 HIGHWAY 22</v>
      </c>
      <c r="G64" t="str">
        <f>IF('Assignment Tool'!C64="","",IF('Assignment Tool'!C64="FST",'Assignment Tool'!D64,""))</f>
        <v/>
      </c>
      <c r="H64">
        <v>64</v>
      </c>
      <c r="I64">
        <f t="shared" si="1"/>
        <v>339</v>
      </c>
      <c r="J64" t="str">
        <f t="array" ref="J64">IFERROR(INDEX($G$2:$G$2050,_xlfn.AGGREGATE(15,6,(ROW($G$2:$G$2050)-ROW($G$2)+1)/($G$2:$G$2050&lt;&gt;""),ROWS(J$1:J64))),"")</f>
        <v>F 7966-1 HIGHWAY 22</v>
      </c>
      <c r="K64">
        <f>IF(J64="","",INDEX('Assignment Tool'!E80:E2113,MATCH(FA_DATA!J64,'Assignment Tool'!D80:D2113,0)))</f>
        <v>2</v>
      </c>
    </row>
    <row r="65" spans="1:11" x14ac:dyDescent="0.25">
      <c r="A65" s="118" t="str">
        <f t="shared" si="0"/>
        <v>F 5730-1 HIGHWAY 22</v>
      </c>
      <c r="G65" t="str">
        <f>IF('Assignment Tool'!C65="","",IF('Assignment Tool'!C65="FST",'Assignment Tool'!D65,""))</f>
        <v/>
      </c>
      <c r="H65">
        <v>65</v>
      </c>
      <c r="I65">
        <f t="shared" si="1"/>
        <v>341</v>
      </c>
      <c r="J65" t="str">
        <f t="array" ref="J65">IFERROR(INDEX($G$2:$G$2050,_xlfn.AGGREGATE(15,6,(ROW($G$2:$G$2050)-ROW($G$2)+1)/($G$2:$G$2050&lt;&gt;""),ROWS(J$1:J65))),"")</f>
        <v>F 8154-1 HIGHWAY 22</v>
      </c>
      <c r="K65">
        <f>IF(J65="","",INDEX('Assignment Tool'!E81:E2114,MATCH(FA_DATA!J65,'Assignment Tool'!D81:D2114,0)))</f>
        <v>8</v>
      </c>
    </row>
    <row r="66" spans="1:11" x14ac:dyDescent="0.25">
      <c r="A66" s="118" t="str">
        <f t="shared" ref="A66:A129" si="2">VLOOKUP(H66,$I$1:$J$1000,2)</f>
        <v>F 5730-1 HIGHWAY 22</v>
      </c>
      <c r="G66" t="str">
        <f>IF('Assignment Tool'!C66="","",IF('Assignment Tool'!C66="FST",'Assignment Tool'!D66,""))</f>
        <v/>
      </c>
      <c r="H66">
        <v>66</v>
      </c>
      <c r="I66">
        <f t="shared" si="1"/>
        <v>349</v>
      </c>
      <c r="J66" t="str">
        <f t="array" ref="J66">IFERROR(INDEX($G$2:$G$2050,_xlfn.AGGREGATE(15,6,(ROW($G$2:$G$2050)-ROW($G$2)+1)/($G$2:$G$2050&lt;&gt;""),ROWS(J$1:J66))),"")</f>
        <v>F 30-1 HIGHWAY 107</v>
      </c>
      <c r="K66">
        <f>IF(J66="","",INDEX('Assignment Tool'!E82:E2115,MATCH(FA_DATA!J66,'Assignment Tool'!D82:D2115,0)))</f>
        <v>4</v>
      </c>
    </row>
    <row r="67" spans="1:11" x14ac:dyDescent="0.25">
      <c r="A67" s="118" t="str">
        <f t="shared" si="2"/>
        <v>F 5730-1 HIGHWAY 22</v>
      </c>
      <c r="G67" t="str">
        <f>IF('Assignment Tool'!C67="","",IF('Assignment Tool'!C67="FST",'Assignment Tool'!D67,""))</f>
        <v/>
      </c>
      <c r="H67">
        <v>67</v>
      </c>
      <c r="I67">
        <f t="shared" ref="I67:I130" si="3">IFERROR((I66+K66),"")</f>
        <v>353</v>
      </c>
      <c r="J67" t="str">
        <f t="array" ref="J67">IFERROR(INDEX($G$2:$G$2050,_xlfn.AGGREGATE(15,6,(ROW($G$2:$G$2050)-ROW($G$2)+1)/($G$2:$G$2050&lt;&gt;""),ROWS(J$1:J67))),"")</f>
        <v>F 27-1 AMBERWOOD TRL</v>
      </c>
      <c r="K67">
        <f>IF(J67="","",INDEX('Assignment Tool'!E83:E2116,MATCH(FA_DATA!J67,'Assignment Tool'!D83:D2116,0)))</f>
        <v>8</v>
      </c>
    </row>
    <row r="68" spans="1:11" x14ac:dyDescent="0.25">
      <c r="A68" s="118" t="str">
        <f t="shared" si="2"/>
        <v>F 5730-1 HIGHWAY 22</v>
      </c>
      <c r="G68" t="str">
        <f>IF('Assignment Tool'!C68="","",IF('Assignment Tool'!C68="FST",'Assignment Tool'!D68,""))</f>
        <v/>
      </c>
      <c r="H68">
        <v>68</v>
      </c>
      <c r="I68">
        <f t="shared" si="3"/>
        <v>361</v>
      </c>
      <c r="J68" t="str">
        <f t="array" ref="J68">IFERROR(INDEX($G$2:$G$2050,_xlfn.AGGREGATE(15,6,(ROW($G$2:$G$2050)-ROW($G$2)+1)/($G$2:$G$2050&lt;&gt;""),ROWS(J$1:J68))),"")</f>
        <v>F 1-2 HIGHWAY 107</v>
      </c>
      <c r="K68">
        <f>IF(J68="","",INDEX('Assignment Tool'!E84:E2117,MATCH(FA_DATA!J68,'Assignment Tool'!D84:D2117,0)))</f>
        <v>4</v>
      </c>
    </row>
    <row r="69" spans="1:11" x14ac:dyDescent="0.25">
      <c r="A69" s="118" t="str">
        <f t="shared" si="2"/>
        <v>F 5730-1 HIGHWAY 22</v>
      </c>
      <c r="G69" t="str">
        <f>IF('Assignment Tool'!C69="","",IF('Assignment Tool'!C69="FST",'Assignment Tool'!D69,""))</f>
        <v/>
      </c>
      <c r="H69">
        <v>69</v>
      </c>
      <c r="I69">
        <f t="shared" si="3"/>
        <v>365</v>
      </c>
      <c r="J69" t="str">
        <f t="array" ref="J69">IFERROR(INDEX($G$2:$G$2050,_xlfn.AGGREGATE(15,6,(ROW($G$2:$G$2050)-ROW($G$2)+1)/($G$2:$G$2050&lt;&gt;""),ROWS(J$1:J69))),"")</f>
        <v>F 169-2 HIGHWAY 107</v>
      </c>
      <c r="K69">
        <f>IF(J69="","",INDEX('Assignment Tool'!E85:E2118,MATCH(FA_DATA!J69,'Assignment Tool'!D85:D2118,0)))</f>
        <v>8</v>
      </c>
    </row>
    <row r="70" spans="1:11" x14ac:dyDescent="0.25">
      <c r="A70" s="118" t="str">
        <f t="shared" si="2"/>
        <v>F 5730-1 HIGHWAY 22</v>
      </c>
      <c r="G70" t="str">
        <f>IF('Assignment Tool'!C70="","",IF('Assignment Tool'!C70="FST",'Assignment Tool'!D70,""))</f>
        <v/>
      </c>
      <c r="H70">
        <v>70</v>
      </c>
      <c r="I70">
        <f t="shared" si="3"/>
        <v>373</v>
      </c>
      <c r="J70" t="str">
        <f t="array" ref="J70">IFERROR(INDEX($G$2:$G$2050,_xlfn.AGGREGATE(15,6,(ROW($G$2:$G$2050)-ROW($G$2)+1)/($G$2:$G$2050&lt;&gt;""),ROWS(J$1:J70))),"")</f>
        <v>OPP 314-2 HIGHWAY 107</v>
      </c>
      <c r="K70">
        <f>IF(J70="","",INDEX('Assignment Tool'!E86:E2119,MATCH(FA_DATA!J70,'Assignment Tool'!D86:D2119,0)))</f>
        <v>8</v>
      </c>
    </row>
    <row r="71" spans="1:11" x14ac:dyDescent="0.25">
      <c r="A71" s="118" t="str">
        <f t="shared" si="2"/>
        <v>F 5730-1 HIGHWAY 22</v>
      </c>
      <c r="G71" t="str">
        <f>IF('Assignment Tool'!C71="","",IF('Assignment Tool'!C71="FST",'Assignment Tool'!D71,""))</f>
        <v/>
      </c>
      <c r="H71">
        <v>71</v>
      </c>
      <c r="I71">
        <f t="shared" si="3"/>
        <v>381</v>
      </c>
      <c r="J71" t="str">
        <f t="array" ref="J71">IFERROR(INDEX($G$2:$G$2050,_xlfn.AGGREGATE(15,6,(ROW($G$2:$G$2050)-ROW($G$2)+1)/($G$2:$G$2050&lt;&gt;""),ROWS(J$1:J71))),"")</f>
        <v>F 399-2 HIGHWAY 107</v>
      </c>
      <c r="K71">
        <f>IF(J71="","",INDEX('Assignment Tool'!E87:E2120,MATCH(FA_DATA!J71,'Assignment Tool'!D87:D2120,0)))</f>
        <v>4</v>
      </c>
    </row>
    <row r="72" spans="1:11" x14ac:dyDescent="0.25">
      <c r="A72" s="118" t="str">
        <f t="shared" si="2"/>
        <v>F 5730-1 HIGHWAY 22</v>
      </c>
      <c r="G72" t="str">
        <f>IF('Assignment Tool'!C72="","",IF('Assignment Tool'!C72="FST",'Assignment Tool'!D72,""))</f>
        <v/>
      </c>
      <c r="H72">
        <v>72</v>
      </c>
      <c r="I72">
        <f t="shared" si="3"/>
        <v>385</v>
      </c>
      <c r="J72" t="str">
        <f t="array" ref="J72">IFERROR(INDEX($G$2:$G$2050,_xlfn.AGGREGATE(15,6,(ROW($G$2:$G$2050)-ROW($G$2)+1)/($G$2:$G$2050&lt;&gt;""),ROWS(J$1:J72))),"")</f>
        <v>OPP 566-2 HIGHWAY 107</v>
      </c>
      <c r="K72">
        <f>IF(J72="","",INDEX('Assignment Tool'!E88:E2121,MATCH(FA_DATA!J72,'Assignment Tool'!D88:D2121,0)))</f>
        <v>4</v>
      </c>
    </row>
    <row r="73" spans="1:11" x14ac:dyDescent="0.25">
      <c r="A73" s="118" t="str">
        <f t="shared" si="2"/>
        <v>F 4656-2 HIGHWAY 119</v>
      </c>
      <c r="G73" t="str">
        <f>IF('Assignment Tool'!C73="","",IF('Assignment Tool'!C73="FST",'Assignment Tool'!D73,""))</f>
        <v/>
      </c>
      <c r="H73">
        <v>73</v>
      </c>
      <c r="I73">
        <f t="shared" si="3"/>
        <v>389</v>
      </c>
      <c r="J73" t="str">
        <f t="array" ref="J73">IFERROR(INDEX($G$2:$G$2050,_xlfn.AGGREGATE(15,6,(ROW($G$2:$G$2050)-ROW($G$2)+1)/($G$2:$G$2050&lt;&gt;""),ROWS(J$1:J73))),"")</f>
        <v>F 643-2 HIGHWAY 107</v>
      </c>
      <c r="K73">
        <f>IF(J73="","",INDEX('Assignment Tool'!E89:E2122,MATCH(FA_DATA!J73,'Assignment Tool'!D89:D2122,0)))</f>
        <v>4</v>
      </c>
    </row>
    <row r="74" spans="1:11" x14ac:dyDescent="0.25">
      <c r="A74" s="118" t="str">
        <f t="shared" si="2"/>
        <v>F 4656-2 HIGHWAY 119</v>
      </c>
      <c r="G74" t="str">
        <f>IF('Assignment Tool'!C74="","",IF('Assignment Tool'!C74="FST",'Assignment Tool'!D74,""))</f>
        <v/>
      </c>
      <c r="H74">
        <v>74</v>
      </c>
      <c r="I74">
        <f t="shared" si="3"/>
        <v>393</v>
      </c>
      <c r="J74" t="str">
        <f t="array" ref="J74">IFERROR(INDEX($G$2:$G$2050,_xlfn.AGGREGATE(15,6,(ROW($G$2:$G$2050)-ROW($G$2)+1)/($G$2:$G$2050&lt;&gt;""),ROWS(J$1:J74))),"")</f>
        <v>F 661-2 HIGHWAY 107</v>
      </c>
      <c r="K74">
        <f>IF(J74="","",INDEX('Assignment Tool'!E90:E2123,MATCH(FA_DATA!J74,'Assignment Tool'!D90:D2123,0)))</f>
        <v>4</v>
      </c>
    </row>
    <row r="75" spans="1:11" x14ac:dyDescent="0.25">
      <c r="A75" s="118" t="str">
        <f t="shared" si="2"/>
        <v>F 4656-2 HIGHWAY 119</v>
      </c>
      <c r="G75" t="str">
        <f>IF('Assignment Tool'!C75="","",IF('Assignment Tool'!C75="FST",'Assignment Tool'!D75,""))</f>
        <v/>
      </c>
      <c r="H75">
        <v>75</v>
      </c>
      <c r="I75">
        <f t="shared" si="3"/>
        <v>397</v>
      </c>
      <c r="J75" t="str">
        <f t="array" ref="J75">IFERROR(INDEX($G$2:$G$2050,_xlfn.AGGREGATE(15,6,(ROW($G$2:$G$2050)-ROW($G$2)+1)/($G$2:$G$2050&lt;&gt;""),ROWS(J$1:J75))),"")</f>
        <v>OPP 780-2 HIGHWAY 107</v>
      </c>
      <c r="K75">
        <f>IF(J75="","",INDEX('Assignment Tool'!E91:E2124,MATCH(FA_DATA!J75,'Assignment Tool'!D91:D2124,0)))</f>
        <v>4</v>
      </c>
    </row>
    <row r="76" spans="1:11" x14ac:dyDescent="0.25">
      <c r="A76" s="118" t="str">
        <f t="shared" si="2"/>
        <v>F 4656-2 HIGHWAY 119</v>
      </c>
      <c r="G76" t="str">
        <f>IF('Assignment Tool'!C76="","",IF('Assignment Tool'!C76="FST",'Assignment Tool'!D76,""))</f>
        <v/>
      </c>
      <c r="H76">
        <v>76</v>
      </c>
      <c r="I76">
        <f t="shared" si="3"/>
        <v>401</v>
      </c>
      <c r="J76" t="str">
        <f t="array" ref="J76">IFERROR(INDEX($G$2:$G$2050,_xlfn.AGGREGATE(15,6,(ROW($G$2:$G$2050)-ROW($G$2)+1)/($G$2:$G$2050&lt;&gt;""),ROWS(J$1:J76))),"")</f>
        <v>F 815-2 HIGHWAY 107</v>
      </c>
      <c r="K76">
        <f>IF(J76="","",INDEX('Assignment Tool'!E92:E2125,MATCH(FA_DATA!J76,'Assignment Tool'!D92:D2125,0)))</f>
        <v>4</v>
      </c>
    </row>
    <row r="77" spans="1:11" x14ac:dyDescent="0.25">
      <c r="A77" s="118" t="str">
        <f t="shared" si="2"/>
        <v>F 4656-2 HIGHWAY 119</v>
      </c>
      <c r="G77" t="str">
        <f>IF('Assignment Tool'!C77="","",IF('Assignment Tool'!C77="FST",'Assignment Tool'!D77,""))</f>
        <v/>
      </c>
      <c r="H77">
        <v>77</v>
      </c>
      <c r="I77">
        <f t="shared" si="3"/>
        <v>405</v>
      </c>
      <c r="J77" t="str">
        <f t="array" ref="J77">IFERROR(INDEX($G$2:$G$2050,_xlfn.AGGREGATE(15,6,(ROW($G$2:$G$2050)-ROW($G$2)+1)/($G$2:$G$2050&lt;&gt;""),ROWS(J$1:J77))),"")</f>
        <v>F 941-2 HIGHWAY 107</v>
      </c>
      <c r="K77">
        <f>IF(J77="","",INDEX('Assignment Tool'!E93:E2126,MATCH(FA_DATA!J77,'Assignment Tool'!D93:D2126,0)))</f>
        <v>4</v>
      </c>
    </row>
    <row r="78" spans="1:11" x14ac:dyDescent="0.25">
      <c r="A78" s="118" t="str">
        <f t="shared" si="2"/>
        <v>F 4656-2 HIGHWAY 119</v>
      </c>
      <c r="G78" t="str">
        <f>IF('Assignment Tool'!C78="","",IF('Assignment Tool'!C78="FST",'Assignment Tool'!D78,""))</f>
        <v/>
      </c>
      <c r="H78">
        <v>78</v>
      </c>
      <c r="I78">
        <f t="shared" si="3"/>
        <v>409</v>
      </c>
      <c r="J78" t="str">
        <f t="array" ref="J78">IFERROR(INDEX($G$2:$G$2050,_xlfn.AGGREGATE(15,6,(ROW($G$2:$G$2050)-ROW($G$2)+1)/($G$2:$G$2050&lt;&gt;""),ROWS(J$1:J78))),"")</f>
        <v>F 985-2 HIGHWAY 107</v>
      </c>
      <c r="K78">
        <f>IF(J78="","",INDEX('Assignment Tool'!E94:E2127,MATCH(FA_DATA!J78,'Assignment Tool'!D94:D2127,0)))</f>
        <v>4</v>
      </c>
    </row>
    <row r="79" spans="1:11" x14ac:dyDescent="0.25">
      <c r="A79" s="118" t="str">
        <f t="shared" si="2"/>
        <v>F 4610-2 HIGHWAY 119</v>
      </c>
      <c r="G79" t="str">
        <f>IF('Assignment Tool'!C79="","",IF('Assignment Tool'!C79="FST",'Assignment Tool'!D79,""))</f>
        <v/>
      </c>
      <c r="H79">
        <v>79</v>
      </c>
      <c r="I79">
        <f t="shared" si="3"/>
        <v>413</v>
      </c>
      <c r="J79" t="str">
        <f t="array" ref="J79">IFERROR(INDEX($G$2:$G$2050,_xlfn.AGGREGATE(15,6,(ROW($G$2:$G$2050)-ROW($G$2)+1)/($G$2:$G$2050&lt;&gt;""),ROWS(J$1:J79))),"")</f>
        <v>S 1023-2 HIGHWAY 107</v>
      </c>
      <c r="K79">
        <f>IF(J79="","",INDEX('Assignment Tool'!E95:E2128,MATCH(FA_DATA!J79,'Assignment Tool'!D95:D2128,0)))</f>
        <v>4</v>
      </c>
    </row>
    <row r="80" spans="1:11" x14ac:dyDescent="0.25">
      <c r="A80" s="118" t="str">
        <f t="shared" si="2"/>
        <v>F 4610-2 HIGHWAY 119</v>
      </c>
      <c r="G80" t="str">
        <f>IF('Assignment Tool'!C80="","",IF('Assignment Tool'!C80="FST",'Assignment Tool'!D80,""))</f>
        <v/>
      </c>
      <c r="H80">
        <v>80</v>
      </c>
      <c r="I80">
        <f t="shared" si="3"/>
        <v>417</v>
      </c>
      <c r="J80" t="str">
        <f t="array" ref="J80">IFERROR(INDEX($G$2:$G$2050,_xlfn.AGGREGATE(15,6,(ROW($G$2:$G$2050)-ROW($G$2)+1)/($G$2:$G$2050&lt;&gt;""),ROWS(J$1:J80))),"")</f>
        <v>F 1055-2 HIGHWAY 107</v>
      </c>
      <c r="K80">
        <f>IF(J80="","",INDEX('Assignment Tool'!E96:E2129,MATCH(FA_DATA!J80,'Assignment Tool'!D96:D2129,0)))</f>
        <v>4</v>
      </c>
    </row>
    <row r="81" spans="1:11" x14ac:dyDescent="0.25">
      <c r="A81" s="118" t="str">
        <f t="shared" si="2"/>
        <v>F 4610-2 HIGHWAY 119</v>
      </c>
      <c r="G81" t="str">
        <f>IF('Assignment Tool'!C81="","",IF('Assignment Tool'!C81="FST",'Assignment Tool'!D81,""))</f>
        <v/>
      </c>
      <c r="H81">
        <v>81</v>
      </c>
      <c r="I81">
        <f t="shared" si="3"/>
        <v>421</v>
      </c>
      <c r="J81" t="str">
        <f t="array" ref="J81">IFERROR(INDEX($G$2:$G$2050,_xlfn.AGGREGATE(15,6,(ROW($G$2:$G$2050)-ROW($G$2)+1)/($G$2:$G$2050&lt;&gt;""),ROWS(J$1:J81))),"")</f>
        <v>F 195-1 BUTTERCUP LN</v>
      </c>
      <c r="K81">
        <f>IF(J81="","",INDEX('Assignment Tool'!E97:E2130,MATCH(FA_DATA!J81,'Assignment Tool'!D97:D2130,0)))</f>
        <v>4</v>
      </c>
    </row>
    <row r="82" spans="1:11" x14ac:dyDescent="0.25">
      <c r="A82" s="118" t="str">
        <f t="shared" si="2"/>
        <v>F 4610-2 HIGHWAY 119</v>
      </c>
      <c r="G82" t="str">
        <f>IF('Assignment Tool'!C82="","",IF('Assignment Tool'!C82="FST",'Assignment Tool'!D82,""))</f>
        <v/>
      </c>
      <c r="H82">
        <v>82</v>
      </c>
      <c r="I82">
        <f t="shared" si="3"/>
        <v>425</v>
      </c>
      <c r="J82" t="str">
        <f t="array" ref="J82">IFERROR(INDEX($G$2:$G$2050,_xlfn.AGGREGATE(15,6,(ROW($G$2:$G$2050)-ROW($G$2)+1)/($G$2:$G$2050&lt;&gt;""),ROWS(J$1:J82))),"")</f>
        <v>OPP 180-1 BUTTERCUP LN</v>
      </c>
      <c r="K82">
        <f>IF(J82="","",INDEX('Assignment Tool'!E98:E2131,MATCH(FA_DATA!J82,'Assignment Tool'!D98:D2131,0)))</f>
        <v>8</v>
      </c>
    </row>
    <row r="83" spans="1:11" x14ac:dyDescent="0.25">
      <c r="A83" s="118" t="str">
        <f t="shared" si="2"/>
        <v>F 4560-2 HIGHWAY 119</v>
      </c>
      <c r="G83" t="str">
        <f>IF('Assignment Tool'!C83="","",IF('Assignment Tool'!C83="FST",'Assignment Tool'!D83,""))</f>
        <v/>
      </c>
      <c r="H83">
        <v>83</v>
      </c>
      <c r="I83">
        <f t="shared" si="3"/>
        <v>433</v>
      </c>
      <c r="J83" t="str">
        <f t="array" ref="J83">IFERROR(INDEX($G$2:$G$2050,_xlfn.AGGREGATE(15,6,(ROW($G$2:$G$2050)-ROW($G$2)+1)/($G$2:$G$2050&lt;&gt;""),ROWS(J$1:J83))),"")</f>
        <v>F 365-1 BUTTERCUP LN</v>
      </c>
      <c r="K83">
        <f>IF(J83="","",INDEX('Assignment Tool'!E99:E2132,MATCH(FA_DATA!J83,'Assignment Tool'!D99:D2132,0)))</f>
        <v>12</v>
      </c>
    </row>
    <row r="84" spans="1:11" x14ac:dyDescent="0.25">
      <c r="A84" s="118" t="str">
        <f t="shared" si="2"/>
        <v>F 4560-2 HIGHWAY 119</v>
      </c>
      <c r="G84" t="str">
        <f>IF('Assignment Tool'!C84="","",IF('Assignment Tool'!C84="FST",'Assignment Tool'!D84,""))</f>
        <v/>
      </c>
      <c r="H84">
        <v>84</v>
      </c>
      <c r="I84">
        <f t="shared" si="3"/>
        <v>445</v>
      </c>
      <c r="J84" t="str">
        <f t="array" ref="J84">IFERROR(INDEX($G$2:$G$2050,_xlfn.AGGREGATE(15,6,(ROW($G$2:$G$2050)-ROW($G$2)+1)/($G$2:$G$2050&lt;&gt;""),ROWS(J$1:J84))),"")</f>
        <v>F 122-1 LEGACY OAKS DR</v>
      </c>
      <c r="K84">
        <f>IF(J84="","",INDEX('Assignment Tool'!E100:E2133,MATCH(FA_DATA!J84,'Assignment Tool'!D100:D2133,0)))</f>
        <v>12</v>
      </c>
    </row>
    <row r="85" spans="1:11" x14ac:dyDescent="0.25">
      <c r="A85" s="118" t="str">
        <f t="shared" si="2"/>
        <v>F 4560-2 HIGHWAY 119</v>
      </c>
      <c r="G85" t="str">
        <f>IF('Assignment Tool'!C85="","",IF('Assignment Tool'!C85="FST",'Assignment Tool'!D85,""))</f>
        <v/>
      </c>
      <c r="H85">
        <v>85</v>
      </c>
      <c r="I85">
        <f t="shared" si="3"/>
        <v>457</v>
      </c>
      <c r="J85" t="str">
        <f t="array" ref="J85">IFERROR(INDEX($G$2:$G$2050,_xlfn.AGGREGATE(15,6,(ROW($G$2:$G$2050)-ROW($G$2)+1)/($G$2:$G$2050&lt;&gt;""),ROWS(J$1:J85))),"")</f>
        <v/>
      </c>
      <c r="K85" t="str">
        <f>IF(J85="","",INDEX('Assignment Tool'!E101:E2134,MATCH(FA_DATA!J85,'Assignment Tool'!D101:D2134,0)))</f>
        <v/>
      </c>
    </row>
    <row r="86" spans="1:11" x14ac:dyDescent="0.25">
      <c r="A86" s="118" t="str">
        <f t="shared" si="2"/>
        <v>F 4560-2 HIGHWAY 119</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F 4560-2 HIGHWAY 119</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F 4560-2 HIGHWAY 119</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S 4560-2 HIGHWAY 119</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S 4560-2 HIGHWAY 119</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S 4560-2 HIGHWAY 119</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S 4560-2 HIGHWAY 119</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S 4560-2 HIGHWAY 119</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S 4560-2 HIGHWAY 119</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S 4560-2 HIGHWAY 119</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S 4560-2 HIGHWAY 119</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OPP 7011-1 HIGHWAY 22</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OPP 7011-1 HIGHWAY 22</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OPP 7011-1 HIGHWAY 22</v>
      </c>
      <c r="G99" t="str">
        <f>IF('Assignment Tool'!C99="","",IF('Assignment Tool'!C99="FST",'Assignment Tool'!D99,""))</f>
        <v>F 6199-1 HIGHWAY 22</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OPP 7011-1 HIGHWAY 22</v>
      </c>
      <c r="G100" t="str">
        <f>IF('Assignment Tool'!C100="","",IF('Assignment Tool'!C100="FST",'Assignment Tool'!D100,""))</f>
        <v>F 6065-1 HIGHWAY 22</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OPP 7011-1 HIGHWAY 22</v>
      </c>
      <c r="G101" t="str">
        <f>IF('Assignment Tool'!C101="","",IF('Assignment Tool'!C101="FST",'Assignment Tool'!D101,""))</f>
        <v>F 6011-1 HIGHWAY 22</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OPP 7011-1 HIGHWAY 22</v>
      </c>
      <c r="G102" t="str">
        <f>IF('Assignment Tool'!C102="","",IF('Assignment Tool'!C102="FST",'Assignment Tool'!D102,""))</f>
        <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OPP 7011-1 HIGHWAY 22</v>
      </c>
      <c r="G103" t="str">
        <f>IF('Assignment Tool'!C103="","",IF('Assignment Tool'!C103="FST",'Assignment Tool'!D103,""))</f>
        <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OPP 7011-1 HIGHWAY 22</v>
      </c>
      <c r="G104" t="str">
        <f>IF('Assignment Tool'!C104="","",IF('Assignment Tool'!C104="FST",'Assignment Tool'!D104,""))</f>
        <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7020-1 HIGHWAY 22</v>
      </c>
      <c r="G105" t="str">
        <f>IF('Assignment Tool'!C105="","",IF('Assignment Tool'!C105="FST",'Assignment Tool'!D105,""))</f>
        <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7020-1 HIGHWAY 22</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7020-1 HIGHWAY 22</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7020-1 HIGHWAY 22</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F 4741-2 HIGHWAY 119</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F 4741-2 HIGHWAY 119</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F 4741-2 HIGHWAY 119</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F 4741-2 HIGHWAY 119</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4741-2 HIGHWAY 119</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4741-2 HIGHWAY 119</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4767-2 HIGHWAY 119</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4767-2 HIGHWAY 119</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4767-2 HIGHWAY 119</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4767-2 HIGHWAY 119</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4767-2 HIGHWAY 119</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4767-2 HIGHWAY 119</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200-1 AMMERSEE LAKES DR</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200-1 AMMERSEE LAKES DR</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200-1 AMMERSEE LAKES DR</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200-1 AMMERSEE LAKES DR</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F 204-1 AMMERSEE LAKES DR</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F 204-1 AMMERSEE LAKES DR</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F 204-1 AMMERSEE LAKES DR</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F 204-1 AMMERSEE LAKES DR</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F 212-2 AMMERSEE LAKES DR</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F 212-2 AMMERSEE LAKES DR</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212-2 AMMERSEE LAKES DR</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212-2 AMMERSEE LAKES DR</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F 212-2 AMMERSEE LAKES DR</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F 212-2 AMMERSEE LAKES DR</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F 212-2 AMMERSEE LAKES DR</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F 212-2 AMMERSEE LAKES DR</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F 220-1 AMMERSEE LAKES DR</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F 220-1 AMMERSEE LAKES DR</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F 220-1 AMMERSEE LAKES DR</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F 220-1 AMMERSEE LAKES DR</v>
      </c>
      <c r="G140" t="str">
        <f>IF('Assignment Tool'!C140="","",IF('Assignment Tool'!C140="FST",'Assignment Tool'!D140,""))</f>
        <v>F 128-2 MOUNTAINVIEW DR</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226-1 AMMERSEE LAKES DR</v>
      </c>
      <c r="G141" t="str">
        <f>IF('Assignment Tool'!C141="","",IF('Assignment Tool'!C141="FST",'Assignment Tool'!D141,""))</f>
        <v>F 210-2 MOUNTAINVIEW DR</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226-1 AMMERSEE LAKES DR</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226-1 AMMERSEE LAKES DR</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226-1 AMMERSEE LAKES DR</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226-1 AMMERSEE LAKES DR</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226-1 AMMERSEE LAKES DR</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226-1 AMMERSEE LAKES DR</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226-1 AMMERSEE LAKES DR</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236-2 AMMERSEE LAKES DR</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236-2 AMMERSEE LAKES DR</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236-2 AMMERSEE LAKES DR</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236-2 AMMERSEE LAKES DR</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244-2 AMMERSEE LAKES DR</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244-2 AMMERSEE LAKES DR</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244-2 AMMERSEE LAKES DR</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244-2 AMMERSEE LAKES DR</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252-2 AMMERSEE LAKES DR</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252-2 AMMERSEE LAKES DR</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252-2 AMMERSEE LAKES DR</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252-2 AMMERSEE LAKES DR</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260-2 AMMERSEE LAKES DR</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260-2 AMMERSEE LAKES DR</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260-2 AMMERSEE LAKES DR</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260-2 AMMERSEE LAKES DR</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260-2 AMMERSEE LAKES DR</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260-2 AMMERSEE LAKES DR</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260-2 AMMERSEE LAKES DR</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260-2 AMMERSEE LAKES DR</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272-1 AMMERSEE LAKES DR</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272-1 AMMERSEE LAKES DR</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272-1 AMMERSEE LAKES DR</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272-1 AMMERSEE LAKES DR</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276-2 AMMERSEE LAKES DR</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276-2 AMMERSEE LAKES DR</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276-2 AMMERSEE LAKES DR</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276-2 AMMERSEE LAKES DR</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284-1 AMMERSEE LAKES DR</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284-1 AMMERSEE LAKES DR</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284-1 AMMERSEE LAKES DR</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284-1 AMMERSEE LAKES DR</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101-1 MOORES SPRING RD</v>
      </c>
      <c r="G181" t="str">
        <f>IF('Assignment Tool'!C181="","",IF('Assignment Tool'!C181="FST",'Assignment Tool'!D181,""))</f>
        <v>F 5926-1 HIGHWAY 22</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101-1 MOORES SPRING RD</v>
      </c>
      <c r="G182" t="str">
        <f>IF('Assignment Tool'!C182="","",IF('Assignment Tool'!C182="FST",'Assignment Tool'!D182,""))</f>
        <v>F 5730-1 HIGHWAY 22</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101-1 MOORES SPRING RD</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101-1 MOORES SPRING RD</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F 101-1 MOORES SPRING RD</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F 101-1 MOORES SPRING RD</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F 101-1 MOORES SPRING RD</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F 101-1 MOORES SPRING RD</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F 109-1 MOORES SPRING RD</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F 109-1 MOORES SPRING RD</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F 109-1 MOORES SPRING RD</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F 109-1 MOORES SPRING RD</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116-1 MOORES SPRING RD</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116-1 MOORES SPRING RD</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1005-1 PARKERS COVE</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1005-1 PARKERS COVE</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1013-1 PARKERS COVE</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1013-1 PARKERS COVE</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1013-1 PARKERS COVE</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1013-1 PARKERS COVE</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1021-1 PARKERS COVE</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1021-1 PARKERS COVE</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1021-1 PARKERS COVE</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1021-1 PARKERS COVE</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127-2 MOORES SPRING RD</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127-2 MOORES SPRING RD</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127-2 MOORES SPRING RD</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127-2 MOORES SPRING RD</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135-1 MOORES SPRING RD</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135-1 MOORES SPRING RD</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135-1 MOORES SPRING RD</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135-1 MOORES SPRING RD</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143-1 MOORES SPRING RD</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143-1 MOORES SPRING RD</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143-1 MOORES SPRING RD</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143-1 MOORES SPRING RD</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151-1 MOORES SPRING RD</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151-1 MOORES SPRING RD</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151-1 MOORES SPRING RD</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151-1 MOORES SPRING RD</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159-2 MOORES SPRING RD</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159-2 MOORES SPRING RD</v>
      </c>
      <c r="G222" t="str">
        <f>IF('Assignment Tool'!C222="","",IF('Assignment Tool'!C222="FST",'Assignment Tool'!D222,""))</f>
        <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159-2 MOORES SPRING RD</v>
      </c>
      <c r="G223" t="str">
        <f>IF('Assignment Tool'!C223="","",IF('Assignment Tool'!C223="FST",'Assignment Tool'!D223,""))</f>
        <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159-2 MOORES SPRING RD</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167-1 MOORES SPRING RD</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167-1 MOORES SPRING RD</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167-1 MOORES SPRING RD</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167-1 MOORES SPRING RD</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167-1 MOORES SPRING RD</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167-1 MOORES SPRING RD</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167-1 MOORES SPRING RD</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167-1 MOORES SPRING RD</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175-2 MOORES SPRING RD</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175-2 MOORES SPRING RD</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175-2 MOORES SPRING RD</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175-2 MOORES SPRING RD</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179-1 MOORES SPRING RD</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179-1 MOORES SPRING RD</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179-1 MOORES SPRING RD</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179-1 MOORES SPRING RD</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F 7390-1 HIGHWAY 22</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F 7390-1 HIGHWAY 22</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F 7390-1 HIGHWAY 22</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F 7390-1 HIGHWAY 22</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F 7390-1 HIGHWAY 22</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F 7390-1 HIGHWAY 22</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F 7390-1 HIGHWAY 22</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F 7390-1 HIGHWAY 22</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F 7390-1 HIGHWAY 22</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F 7390-1 HIGHWAY 22</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F 7390-1 HIGHWAY 22</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F 7390-1 HIGHWAY 22</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F 7490-1 HIGHWAY 22</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F 7490-1 HIGHWAY 22</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F 7490-1 HIGHWAY 22</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F 7490-1 HIGHWAY 22</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OPP 7615-1 HIGHWAY 22</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OPP 7615-1 HIGHWAY 22</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OPP 7615-1 HIGHWAY 22</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OPP 7615-1 HIGHWAY 22</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7706-1 HIGHWAY 22</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7706-1 HIGHWAY 22</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7706-1 HIGHWAY 22</v>
      </c>
      <c r="G263" t="str">
        <f>IF('Assignment Tool'!C263="","",IF('Assignment Tool'!C263="FST",'Assignment Tool'!D263,""))</f>
        <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7706-1 HIGHWAY 22</v>
      </c>
      <c r="G264" t="str">
        <f>IF('Assignment Tool'!C264="","",IF('Assignment Tool'!C264="FST",'Assignment Tool'!D264,""))</f>
        <v>F 4656-2 HIGHWAY 119</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6512-1 HIGHWAY 16</v>
      </c>
      <c r="G265" t="str">
        <f>IF('Assignment Tool'!C265="","",IF('Assignment Tool'!C265="FST",'Assignment Tool'!D265,""))</f>
        <v>F 4610-2 HIGHWAY 119</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6512-1 HIGHWAY 16</v>
      </c>
      <c r="G266" t="str">
        <f>IF('Assignment Tool'!C266="","",IF('Assignment Tool'!C266="FST",'Assignment Tool'!D266,""))</f>
        <v>F 4560-2 HIGHWAY 119</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6512-1 HIGHWAY 16</v>
      </c>
      <c r="G267" t="str">
        <f>IF('Assignment Tool'!C267="","",IF('Assignment Tool'!C267="FST",'Assignment Tool'!D267,""))</f>
        <v>S 4560-2 HIGHWAY 119</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6512-1 HIGHWAY 16</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6418-1 HIGHWAY 16</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6418-1 HIGHWAY 16</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6418-1 HIGHWAY 16</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6418-1 HIGHWAY 16</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6305-1 HIGHWAY 16</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6305-1 HIGHWAY 16</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6305-1 HIGHWAY 16</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6305-1 HIGHWAY 16</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F 6233-1 HIGHWAY 16</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F 6233-1 HIGHWAY 16</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F 6233-1 HIGHWAY 16</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F 6233-1 HIGHWAY 16</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F 6233-1 HIGHWAY 16</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F 6233-1 HIGHWAY 16</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F 6233-1 HIGHWAY 16</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F 6233-1 HIGHWAY 16</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F 6169-1 HIGHWAY 16</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F 6169-1 HIGHWAY 16</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F 6169-1 HIGHWAY 16</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F 6169-1 HIGHWAY 16</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F 6169-1 HIGHWAY 16</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F 6169-1 HIGHWAY 16</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F 6169-1 HIGHWAY 16</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F 6169-1 HIGHWAY 16</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OPP 6116-1 HIGHWAY 16</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OPP 6116-1 HIGHWAY 16</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OPP 6116-1 HIGHWAY 16</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OPP 6116-1 HIGHWAY 16</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OPP 6116-1 HIGHWAY 16</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OPP 6116-1 HIGHWAY 16</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OPP 6116-1 HIGHWAY 16</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OPP 6116-1 HIGHWAY 16</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6087-1 HIGHWAY 16</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6087-1 HIGHWAY 16</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6087-1 HIGHWAY 16</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6087-1 HIGHWAY 16</v>
      </c>
      <c r="G304" t="str">
        <f>IF('Assignment Tool'!C304="","",IF('Assignment Tool'!C304="FST",'Assignment Tool'!D304,""))</f>
        <v>OPP 7011-1 HIGHWAY 22</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5691-1 HIGHWAY 16</v>
      </c>
      <c r="G305" t="str">
        <f>IF('Assignment Tool'!C305="","",IF('Assignment Tool'!C305="FST",'Assignment Tool'!D305,""))</f>
        <v>F 7020-1 HIGHWAY 22</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5691-1 HIGHWAY 16</v>
      </c>
      <c r="G306" t="str">
        <f>IF('Assignment Tool'!C306="","",IF('Assignment Tool'!C306="FST",'Assignment Tool'!D306,""))</f>
        <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5691-1 HIGHWAY 16</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5691-1 HIGHWAY 16</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5691-1 HIGHWAY 16</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5691-1 HIGHWAY 16</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5691-1 HIGHWAY 16</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5691-1 HIGHWAY 16</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F 5569-1 HIGHWAY 16</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F 5569-1 HIGHWAY 16</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F 5569-1 HIGHWAY 16</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F 5569-1 HIGHWAY 16</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F 5569-1 HIGHWAY 16</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F 5569-1 HIGHWAY 16</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F 5569-1 HIGHWAY 16</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F 5569-1 HIGHWAY 16</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OPP 5464-1 HIGHWAY 16</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OPP 5464-1 HIGHWAY 16</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OPP 5464-1 HIGHWAY 16</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OPP 5464-1 HIGHWAY 16</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OPP 5464-1 HIGHWAY 16</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OPP 5464-1 HIGHWAY 16</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OPP 5464-1 HIGHWAY 16</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OPP 5464-1 HIGHWAY 16</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F 5385-1 HIGHWAY 16</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F 5385-1 HIGHWAY 16</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F 5385-1 HIGHWAY 16</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F 5385-1 HIGHWAY 16</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F 5343-1 HIGHWAY 16</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F 5343-1 HIGHWAY 16</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F 5343-1 HIGHWAY 16</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F 5343-1 HIGHWAY 16</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F 7920-1 HIGHWAY 22</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F 7920-1 HIGHWAY 22</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F 7966-1 HIGHWAY 22</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F 7966-1 HIGHWAY 22</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F 8154-1 HIGHWAY 22</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F 8154-1 HIGHWAY 22</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F 8154-1 HIGHWAY 22</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F 8154-1 HIGHWAY 22</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F 8154-1 HIGHWAY 22</v>
      </c>
      <c r="G345" t="str">
        <f>IF('Assignment Tool'!C345="","",IF('Assignment Tool'!C345="FST",'Assignment Tool'!D345,""))</f>
        <v>F 4741-2 HIGHWAY 119</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F 8154-1 HIGHWAY 22</v>
      </c>
      <c r="G346" t="str">
        <f>IF('Assignment Tool'!C346="","",IF('Assignment Tool'!C346="FST",'Assignment Tool'!D346,""))</f>
        <v>F 4767-2 HIGHWAY 119</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F 8154-1 HIGHWAY 22</v>
      </c>
      <c r="G347" t="str">
        <f>IF('Assignment Tool'!C347="","",IF('Assignment Tool'!C347="FST",'Assignment Tool'!D347,""))</f>
        <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F 8154-1 HIGHWAY 22</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F 30-1 HIGHWAY 107</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F 30-1 HIGHWAY 107</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F 30-1 HIGHWAY 107</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F 30-1 HIGHWAY 107</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F 27-1 AMBERWOOD TRL</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F 27-1 AMBERWOOD TRL</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F 27-1 AMBERWOOD TRL</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F 27-1 AMBERWOOD TRL</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F 27-1 AMBERWOOD TRL</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F 27-1 AMBERWOOD TRL</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F 27-1 AMBERWOOD TRL</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F 27-1 AMBERWOOD TRL</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F 1-2 HIGHWAY 107</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F 1-2 HIGHWAY 107</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F 1-2 HIGHWAY 107</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F 1-2 HIGHWAY 107</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F 169-2 HIGHWAY 107</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F 169-2 HIGHWAY 107</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F 169-2 HIGHWAY 107</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F 169-2 HIGHWAY 107</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F 169-2 HIGHWAY 107</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F 169-2 HIGHWAY 107</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F 169-2 HIGHWAY 107</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F 169-2 HIGHWAY 107</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OPP 314-2 HIGHWAY 107</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OPP 314-2 HIGHWAY 107</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OPP 314-2 HIGHWAY 107</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OPP 314-2 HIGHWAY 107</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OPP 314-2 HIGHWAY 107</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OPP 314-2 HIGHWAY 107</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OPP 314-2 HIGHWAY 107</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OPP 314-2 HIGHWAY 107</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F 399-2 HIGHWAY 107</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F 399-2 HIGHWAY 107</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F 399-2 HIGHWAY 107</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F 399-2 HIGHWAY 107</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OPP 566-2 HIGHWAY 107</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OPP 566-2 HIGHWAY 107</v>
      </c>
      <c r="G386" t="str">
        <f>IF('Assignment Tool'!C386="","",IF('Assignment Tool'!C386="FST",'Assignment Tool'!D386,""))</f>
        <v>F 200-1 AMMERSEE LAKES DR</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OPP 566-2 HIGHWAY 107</v>
      </c>
      <c r="G387" t="str">
        <f>IF('Assignment Tool'!C387="","",IF('Assignment Tool'!C387="FST",'Assignment Tool'!D387,""))</f>
        <v>F 204-1 AMMERSEE LAKES DR</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OPP 566-2 HIGHWAY 107</v>
      </c>
      <c r="G388" t="str">
        <f>IF('Assignment Tool'!C388="","",IF('Assignment Tool'!C388="FST",'Assignment Tool'!D388,""))</f>
        <v>F 212-2 AMMERSEE LAKES DR</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F 643-2 HIGHWAY 107</v>
      </c>
      <c r="G389" t="str">
        <f>IF('Assignment Tool'!C389="","",IF('Assignment Tool'!C389="FST",'Assignment Tool'!D389,""))</f>
        <v>F 220-1 AMMERSEE LAKES DR</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F 643-2 HIGHWAY 107</v>
      </c>
      <c r="G390" t="str">
        <f>IF('Assignment Tool'!C390="","",IF('Assignment Tool'!C390="FST",'Assignment Tool'!D390,""))</f>
        <v>F 226-1 AMMERSEE LAKES DR</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F 643-2 HIGHWAY 107</v>
      </c>
      <c r="G391" t="str">
        <f>IF('Assignment Tool'!C391="","",IF('Assignment Tool'!C391="FST",'Assignment Tool'!D391,""))</f>
        <v>F 236-2 AMMERSEE LAKES DR</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F 643-2 HIGHWAY 107</v>
      </c>
      <c r="G392" t="str">
        <f>IF('Assignment Tool'!C392="","",IF('Assignment Tool'!C392="FST",'Assignment Tool'!D392,""))</f>
        <v>F 244-2 AMMERSEE LAKES DR</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F 661-2 HIGHWAY 107</v>
      </c>
      <c r="G393" t="str">
        <f>IF('Assignment Tool'!C393="","",IF('Assignment Tool'!C393="FST",'Assignment Tool'!D393,""))</f>
        <v>F 252-2 AMMERSEE LAKES DR</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F 661-2 HIGHWAY 107</v>
      </c>
      <c r="G394" t="str">
        <f>IF('Assignment Tool'!C394="","",IF('Assignment Tool'!C394="FST",'Assignment Tool'!D394,""))</f>
        <v>F 260-2 AMMERSEE LAKES DR</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F 661-2 HIGHWAY 107</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F 661-2 HIGHWAY 107</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OPP 780-2 HIGHWAY 107</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OPP 780-2 HIGHWAY 107</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OPP 780-2 HIGHWAY 107</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OPP 780-2 HIGHWAY 107</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F 815-2 HIGHWAY 107</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F 815-2 HIGHWAY 107</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F 815-2 HIGHWAY 107</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F 815-2 HIGHWAY 107</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F 941-2 HIGHWAY 107</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F 941-2 HIGHWAY 107</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F 941-2 HIGHWAY 107</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F 941-2 HIGHWAY 107</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F 985-2 HIGHWAY 107</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F 985-2 HIGHWAY 107</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F 985-2 HIGHWAY 107</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F 985-2 HIGHWAY 107</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S 1023-2 HIGHWAY 107</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S 1023-2 HIGHWAY 107</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S 1023-2 HIGHWAY 107</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S 1023-2 HIGHWAY 107</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F 1055-2 HIGHWAY 107</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F 1055-2 HIGHWAY 107</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F 1055-2 HIGHWAY 107</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F 1055-2 HIGHWAY 107</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F 195-1 BUTTERCUP LN</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F 195-1 BUTTERCUP LN</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F 195-1 BUTTERCUP LN</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F 195-1 BUTTERCUP LN</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OPP 180-1 BUTTERCUP LN</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OPP 180-1 BUTTERCUP LN</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OPP 180-1 BUTTERCUP LN</v>
      </c>
      <c r="G427" t="str">
        <f>IF('Assignment Tool'!C427="","",IF('Assignment Tool'!C427="FST",'Assignment Tool'!D427,""))</f>
        <v>F 272-1 AMMERSEE LAKES DR</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OPP 180-1 BUTTERCUP LN</v>
      </c>
      <c r="G428" t="str">
        <f>IF('Assignment Tool'!C428="","",IF('Assignment Tool'!C428="FST",'Assignment Tool'!D428,""))</f>
        <v>F 276-2 AMMERSEE LAKES DR</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OPP 180-1 BUTTERCUP LN</v>
      </c>
      <c r="G429" t="str">
        <f>IF('Assignment Tool'!C429="","",IF('Assignment Tool'!C429="FST",'Assignment Tool'!D429,""))</f>
        <v>F 284-1 AMMERSEE LAKES DR</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OPP 180-1 BUTTERCUP LN</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OPP 180-1 BUTTERCUP LN</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OPP 180-1 BUTTERCUP LN</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F 365-1 BUTTERCUP LN</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F 365-1 BUTTERCUP LN</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F 365-1 BUTTERCUP LN</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F 365-1 BUTTERCUP LN</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F 365-1 BUTTERCUP LN</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F 365-1 BUTTERCUP LN</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F 365-1 BUTTERCUP LN</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F 365-1 BUTTERCUP LN</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F 365-1 BUTTERCUP LN</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F 365-1 BUTTERCUP LN</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F 365-1 BUTTERCUP LN</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F 365-1 BUTTERCUP LN</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F 122-1 LEGACY OAKS DR</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F 122-1 LEGACY OAKS DR</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F 122-1 LEGACY OAKS DR</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F 122-1 LEGACY OAKS DR</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F 122-1 LEGACY OAKS DR</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F 122-1 LEGACY OAKS DR</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F 122-1 LEGACY OAKS DR</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F 122-1 LEGACY OAKS DR</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F 122-1 LEGACY OAKS DR</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F 122-1 LEGACY OAKS DR</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F 122-1 LEGACY OAKS DR</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F 122-1 LEGACY OAKS DR</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F 101-1 MOORES SPRING RD</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F 109-1 MOORES SPRING RD</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F 116-1 MOORES SPRING RD</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F 1005-1 PARKERS COVE</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F 1013-1 PARKERS COVE</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F 1021-1 PARKERS COVE</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F 127-2 MOORES SPRING RD</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F 135-1 MOORES SPRING RD</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F 143-1 MOORES SPRING RD</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F 151-1 MOORES SPRING RD</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F 159-2 MOORES SPRING RD</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F 167-1 MOORES SPRING RD</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F 175-2 MOORES SPRING RD</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F 179-1 MOORES SPRING RD</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F 7390-1 HIGHWAY 22</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F 7490-1 HIGHWAY 22</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OPP 7615-1 HIGHWAY 22</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F 7706-1 HIGHWAY 22</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F 6512-1 HIGHWAY 16</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F 6418-1 HIGHWAY 16</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F 6305-1 HIGHWAY 16</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F 6233-1 HIGHWAY 16</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F 6169-1 HIGHWAY 16</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OPP 6116-1 HIGHWAY 16</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F 6087-1 HIGHWAY 16</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F 5691-1 HIGHWAY 16</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F 5569-1 HIGHWAY 16</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OPP 5464-1 HIGHWAY 16</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F 5385-1 HIGHWAY 16</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F 5343-1 HIGHWAY 16</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F 7920-1 HIGHWAY 22</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F 7966-1 HIGHWAY 22</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F 8154-1 HIGHWAY 22</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F 30-1 HIGHWAY 107</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F 27-1 AMBERWOOD TRL</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F 1-2 HIGHWAY 107</v>
      </c>
    </row>
    <row r="1002" spans="1:11" x14ac:dyDescent="0.25">
      <c r="G1002" t="str">
        <f>IF('Assignment Tool'!C1002="","",IF('Assignment Tool'!C1002="FST",'Assignment Tool'!D1002,""))</f>
        <v>F 169-2 HIGHWAY 107</v>
      </c>
    </row>
    <row r="1003" spans="1:11" x14ac:dyDescent="0.25">
      <c r="G1003" t="str">
        <f>IF('Assignment Tool'!C1003="","",IF('Assignment Tool'!C1003="FST",'Assignment Tool'!D1003,""))</f>
        <v>OPP 314-2 HIGHWAY 107</v>
      </c>
    </row>
    <row r="1004" spans="1:11" x14ac:dyDescent="0.25">
      <c r="G1004" t="str">
        <f>IF('Assignment Tool'!C1004="","",IF('Assignment Tool'!C1004="FST",'Assignment Tool'!D1004,""))</f>
        <v>F 399-2 HIGHWAY 107</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OPP 566-2 HIGHWAY 107</v>
      </c>
    </row>
    <row r="1043" spans="7:7" x14ac:dyDescent="0.25">
      <c r="G1043" t="str">
        <f>IF('Assignment Tool'!C1043="","",IF('Assignment Tool'!C1043="FST",'Assignment Tool'!D1043,""))</f>
        <v>F 643-2 HIGHWAY 107</v>
      </c>
    </row>
    <row r="1044" spans="7:7" x14ac:dyDescent="0.25">
      <c r="G1044" t="str">
        <f>IF('Assignment Tool'!C1044="","",IF('Assignment Tool'!C1044="FST",'Assignment Tool'!D1044,""))</f>
        <v>F 661-2 HIGHWAY 107</v>
      </c>
    </row>
    <row r="1045" spans="7:7" x14ac:dyDescent="0.25">
      <c r="G1045" t="str">
        <f>IF('Assignment Tool'!C1045="","",IF('Assignment Tool'!C1045="FST",'Assignment Tool'!D1045,""))</f>
        <v>OPP 780-2 HIGHWAY 107</v>
      </c>
    </row>
    <row r="1046" spans="7:7" x14ac:dyDescent="0.25">
      <c r="G1046" t="str">
        <f>IF('Assignment Tool'!C1046="","",IF('Assignment Tool'!C1046="FST",'Assignment Tool'!D1046,""))</f>
        <v>F 815-2 HIGHWAY 107</v>
      </c>
    </row>
    <row r="1047" spans="7:7" x14ac:dyDescent="0.25">
      <c r="G1047" t="str">
        <f>IF('Assignment Tool'!C1047="","",IF('Assignment Tool'!C1047="FST",'Assignment Tool'!D1047,""))</f>
        <v>F 941-2 HIGHWAY 107</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F 985-2 HIGHWAY 107</v>
      </c>
    </row>
    <row r="1086" spans="7:7" x14ac:dyDescent="0.25">
      <c r="G1086" t="str">
        <f>IF('Assignment Tool'!C1086="","",IF('Assignment Tool'!C1086="FST",'Assignment Tool'!D1086,""))</f>
        <v>S 1023-2 HIGHWAY 107</v>
      </c>
    </row>
    <row r="1087" spans="7:7" x14ac:dyDescent="0.25">
      <c r="G1087" t="str">
        <f>IF('Assignment Tool'!C1087="","",IF('Assignment Tool'!C1087="FST",'Assignment Tool'!D1087,""))</f>
        <v>F 1055-2 HIGHWAY 107</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F 195-1 BUTTERCUP LN</v>
      </c>
    </row>
    <row r="1125" spans="7:7" x14ac:dyDescent="0.25">
      <c r="G1125" t="str">
        <f>IF('Assignment Tool'!C1125="","",IF('Assignment Tool'!C1125="FST",'Assignment Tool'!D1125,""))</f>
        <v>OPP 180-1 BUTTERCUP LN</v>
      </c>
    </row>
    <row r="1126" spans="7:7" x14ac:dyDescent="0.25">
      <c r="G1126" t="str">
        <f>IF('Assignment Tool'!C1126="","",IF('Assignment Tool'!C1126="FST",'Assignment Tool'!D1126,""))</f>
        <v>F 365-1 BUTTERCUP LN</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F 122-1 LEGACY OAKS DR</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14" activePane="bottomRight" state="frozen"/>
      <selection pane="topRight" activeCell="A9" sqref="A9"/>
      <selection pane="bottomLeft" activeCell="A9" sqref="A9"/>
      <selection pane="bottomRight" activeCell="G19" sqref="G19"/>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v>4</v>
      </c>
      <c r="C8" s="4">
        <v>58</v>
      </c>
      <c r="D8" s="4">
        <v>56</v>
      </c>
      <c r="E8" s="4">
        <v>58</v>
      </c>
      <c r="F8" s="4">
        <v>56</v>
      </c>
      <c r="G8" s="4"/>
      <c r="H8" s="4"/>
      <c r="I8" s="4"/>
      <c r="J8" s="4"/>
      <c r="K8" s="4"/>
      <c r="L8" s="4"/>
      <c r="M8" s="4"/>
      <c r="N8" s="4"/>
      <c r="O8" s="4"/>
      <c r="P8" s="4"/>
      <c r="Q8" s="4"/>
      <c r="R8" s="4"/>
      <c r="S8" s="4"/>
      <c r="T8" s="4"/>
      <c r="U8" s="4"/>
      <c r="V8" s="4"/>
      <c r="W8" s="4"/>
      <c r="X8" s="4">
        <v>22</v>
      </c>
      <c r="Y8" s="4"/>
      <c r="Z8" s="4">
        <v>20</v>
      </c>
      <c r="AA8" s="4"/>
      <c r="AB8" s="4"/>
      <c r="AC8" s="4"/>
      <c r="AD8" s="4"/>
      <c r="AE8" s="4"/>
      <c r="AF8" s="4"/>
      <c r="AG8" s="4"/>
      <c r="AH8" s="4"/>
      <c r="AI8" s="4"/>
      <c r="AJ8" s="4"/>
      <c r="AK8" s="4"/>
      <c r="AL8" s="4"/>
      <c r="AM8" s="4"/>
      <c r="AN8" s="4"/>
      <c r="AO8" s="4"/>
      <c r="AP8" s="4"/>
    </row>
    <row r="9" spans="1:42" x14ac:dyDescent="0.25">
      <c r="A9" s="6">
        <v>10</v>
      </c>
      <c r="B9" s="5">
        <v>2</v>
      </c>
      <c r="C9" s="4">
        <v>56</v>
      </c>
      <c r="D9" s="4">
        <v>56</v>
      </c>
      <c r="E9" s="4"/>
      <c r="F9" s="4"/>
      <c r="G9" s="4"/>
      <c r="H9" s="4"/>
      <c r="I9" s="4"/>
      <c r="J9" s="4"/>
      <c r="K9" s="4"/>
      <c r="L9" s="4"/>
      <c r="M9" s="4"/>
      <c r="N9" s="4"/>
      <c r="O9" s="4"/>
      <c r="P9" s="4"/>
      <c r="Q9" s="4"/>
      <c r="R9" s="4"/>
      <c r="S9" s="4"/>
      <c r="T9" s="4"/>
      <c r="U9" s="4"/>
      <c r="V9" s="4"/>
      <c r="W9" s="4">
        <v>12</v>
      </c>
      <c r="X9" s="4">
        <v>29</v>
      </c>
      <c r="Y9" s="4"/>
      <c r="Z9" s="4"/>
      <c r="AA9" s="4"/>
      <c r="AB9" s="4"/>
      <c r="AC9" s="4"/>
      <c r="AD9" s="4"/>
      <c r="AE9" s="4"/>
      <c r="AF9" s="4"/>
      <c r="AG9" s="4"/>
      <c r="AH9" s="4"/>
      <c r="AI9" s="4"/>
      <c r="AJ9" s="4"/>
      <c r="AK9" s="4"/>
      <c r="AL9" s="4"/>
      <c r="AM9" s="4"/>
      <c r="AN9" s="4"/>
      <c r="AO9" s="4"/>
      <c r="AP9" s="4"/>
    </row>
    <row r="10" spans="1:42" x14ac:dyDescent="0.25">
      <c r="A10" s="6">
        <v>11</v>
      </c>
      <c r="B10" s="5">
        <v>3</v>
      </c>
      <c r="C10" s="4">
        <v>58</v>
      </c>
      <c r="D10" s="4">
        <v>56</v>
      </c>
      <c r="E10" s="4">
        <v>58</v>
      </c>
      <c r="F10" s="4"/>
      <c r="G10" s="4"/>
      <c r="H10" s="4"/>
      <c r="I10" s="4"/>
      <c r="J10" s="4"/>
      <c r="K10" s="4"/>
      <c r="L10" s="4"/>
      <c r="M10" s="4"/>
      <c r="N10" s="4"/>
      <c r="O10" s="4"/>
      <c r="P10" s="4"/>
      <c r="Q10" s="4"/>
      <c r="R10" s="4"/>
      <c r="S10" s="4"/>
      <c r="T10" s="4"/>
      <c r="U10" s="4"/>
      <c r="V10" s="4"/>
      <c r="W10" s="4"/>
      <c r="X10" s="4">
        <v>112</v>
      </c>
      <c r="Y10" s="4"/>
      <c r="Z10" s="4"/>
      <c r="AA10" s="4"/>
      <c r="AB10" s="4"/>
      <c r="AC10" s="4"/>
      <c r="AD10" s="4"/>
      <c r="AE10" s="4"/>
      <c r="AF10" s="4"/>
      <c r="AG10" s="4"/>
      <c r="AH10" s="4"/>
      <c r="AI10" s="4"/>
      <c r="AJ10" s="4"/>
      <c r="AK10" s="4"/>
      <c r="AL10" s="4"/>
      <c r="AM10" s="4"/>
      <c r="AN10" s="4"/>
      <c r="AO10" s="4"/>
      <c r="AP10" s="4"/>
    </row>
    <row r="11" spans="1:42" x14ac:dyDescent="0.25">
      <c r="A11" s="6">
        <v>12</v>
      </c>
      <c r="B11" s="5">
        <v>5</v>
      </c>
      <c r="C11" s="4">
        <v>58</v>
      </c>
      <c r="D11" s="4">
        <v>56</v>
      </c>
      <c r="E11" s="4">
        <v>58</v>
      </c>
      <c r="F11" s="4">
        <v>56</v>
      </c>
      <c r="G11" s="4">
        <v>58</v>
      </c>
      <c r="H11" s="4"/>
      <c r="I11" s="4"/>
      <c r="J11" s="4"/>
      <c r="K11" s="4"/>
      <c r="L11" s="4"/>
      <c r="M11" s="4"/>
      <c r="N11" s="4"/>
      <c r="O11" s="4"/>
      <c r="P11" s="4"/>
      <c r="Q11" s="4"/>
      <c r="R11" s="4"/>
      <c r="S11" s="4"/>
      <c r="T11" s="4"/>
      <c r="U11" s="4"/>
      <c r="V11" s="4"/>
      <c r="W11" s="4"/>
      <c r="X11" s="4">
        <v>12</v>
      </c>
      <c r="Y11" s="4"/>
      <c r="Z11" s="4">
        <v>37</v>
      </c>
      <c r="AA11" s="4"/>
      <c r="AB11" s="4"/>
      <c r="AC11" s="4"/>
      <c r="AD11" s="4"/>
      <c r="AE11" s="4"/>
      <c r="AF11" s="4"/>
      <c r="AG11" s="4"/>
      <c r="AH11" s="4"/>
      <c r="AI11" s="4"/>
      <c r="AJ11" s="4"/>
      <c r="AK11" s="4"/>
      <c r="AL11" s="4"/>
      <c r="AM11" s="4"/>
      <c r="AN11" s="4"/>
      <c r="AO11" s="4"/>
      <c r="AP11" s="4"/>
    </row>
    <row r="12" spans="1:42" x14ac:dyDescent="0.25">
      <c r="A12" s="6">
        <v>13</v>
      </c>
      <c r="B12" s="5">
        <v>1</v>
      </c>
      <c r="C12" s="4">
        <v>40</v>
      </c>
      <c r="D12" s="4"/>
      <c r="E12" s="4"/>
      <c r="F12" s="4"/>
      <c r="G12" s="4"/>
      <c r="H12" s="4"/>
      <c r="I12" s="4"/>
      <c r="J12" s="4"/>
      <c r="K12" s="4"/>
      <c r="L12" s="4"/>
      <c r="M12" s="4"/>
      <c r="N12" s="4"/>
      <c r="O12" s="4"/>
      <c r="P12" s="4"/>
      <c r="Q12" s="4"/>
      <c r="R12" s="4"/>
      <c r="S12" s="4"/>
      <c r="T12" s="4"/>
      <c r="U12" s="4"/>
      <c r="V12" s="4"/>
      <c r="W12" s="4">
        <v>157</v>
      </c>
      <c r="X12" s="4"/>
      <c r="Y12" s="4"/>
      <c r="Z12" s="4"/>
      <c r="AA12" s="4"/>
      <c r="AB12" s="4"/>
      <c r="AC12" s="4"/>
      <c r="AD12" s="4"/>
      <c r="AE12" s="4"/>
      <c r="AF12" s="4"/>
      <c r="AG12" s="4"/>
      <c r="AH12" s="4"/>
      <c r="AI12" s="4"/>
      <c r="AJ12" s="4"/>
      <c r="AK12" s="4"/>
      <c r="AL12" s="4"/>
      <c r="AM12" s="4"/>
      <c r="AN12" s="4"/>
      <c r="AO12" s="4"/>
      <c r="AP12" s="4"/>
    </row>
    <row r="13" spans="1:42" x14ac:dyDescent="0.25">
      <c r="A13" s="6">
        <v>14</v>
      </c>
      <c r="B13" s="5">
        <v>1</v>
      </c>
      <c r="C13" s="4">
        <v>40</v>
      </c>
      <c r="D13" s="4"/>
      <c r="E13" s="4"/>
      <c r="F13" s="4"/>
      <c r="G13" s="4"/>
      <c r="H13" s="4"/>
      <c r="I13" s="4"/>
      <c r="J13" s="4"/>
      <c r="K13" s="4"/>
      <c r="L13" s="4"/>
      <c r="M13" s="4"/>
      <c r="N13" s="4"/>
      <c r="O13" s="4"/>
      <c r="P13" s="4"/>
      <c r="Q13" s="4"/>
      <c r="R13" s="4"/>
      <c r="S13" s="4"/>
      <c r="T13" s="4"/>
      <c r="U13" s="4"/>
      <c r="V13" s="4"/>
      <c r="W13" s="4">
        <v>215</v>
      </c>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v>2</v>
      </c>
      <c r="C15" s="4">
        <v>44</v>
      </c>
      <c r="D15" s="4">
        <v>42</v>
      </c>
      <c r="E15" s="4"/>
      <c r="F15" s="4"/>
      <c r="G15" s="4"/>
      <c r="H15" s="4"/>
      <c r="I15" s="4"/>
      <c r="J15" s="4"/>
      <c r="K15" s="4"/>
      <c r="L15" s="4"/>
      <c r="M15" s="4"/>
      <c r="N15" s="4"/>
      <c r="O15" s="4"/>
      <c r="P15" s="4"/>
      <c r="Q15" s="4"/>
      <c r="R15" s="4"/>
      <c r="S15" s="4"/>
      <c r="T15" s="4"/>
      <c r="U15" s="4"/>
      <c r="V15" s="4"/>
      <c r="W15" s="4"/>
      <c r="X15" s="4">
        <v>132</v>
      </c>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v>1</v>
      </c>
      <c r="C17" s="4">
        <v>42</v>
      </c>
      <c r="D17" s="4"/>
      <c r="E17" s="4"/>
      <c r="F17" s="4"/>
      <c r="G17" s="4"/>
      <c r="H17" s="4"/>
      <c r="I17" s="4"/>
      <c r="J17" s="4"/>
      <c r="K17" s="4"/>
      <c r="L17" s="4"/>
      <c r="M17" s="4"/>
      <c r="N17" s="4"/>
      <c r="O17" s="4"/>
      <c r="P17" s="4"/>
      <c r="Q17" s="4"/>
      <c r="R17" s="4"/>
      <c r="S17" s="4"/>
      <c r="T17" s="4"/>
      <c r="U17" s="4"/>
      <c r="V17" s="4"/>
      <c r="W17" s="4">
        <v>432</v>
      </c>
      <c r="X17" s="4"/>
      <c r="Y17" s="4"/>
      <c r="Z17" s="4"/>
      <c r="AA17" s="4"/>
      <c r="AB17" s="4"/>
      <c r="AC17" s="4"/>
      <c r="AD17" s="4"/>
      <c r="AE17" s="4"/>
      <c r="AF17" s="4"/>
      <c r="AG17" s="4"/>
      <c r="AH17" s="4"/>
      <c r="AI17" s="4"/>
      <c r="AJ17" s="4"/>
      <c r="AK17" s="4"/>
      <c r="AL17" s="4"/>
      <c r="AM17" s="4"/>
      <c r="AN17" s="4"/>
      <c r="AO17" s="4"/>
      <c r="AP17" s="4"/>
    </row>
    <row r="18" spans="1:42" x14ac:dyDescent="0.25">
      <c r="A18" s="6">
        <v>19</v>
      </c>
      <c r="B18" s="5">
        <v>2</v>
      </c>
      <c r="C18" s="4">
        <v>36</v>
      </c>
      <c r="D18" s="4">
        <v>36</v>
      </c>
      <c r="E18" s="4"/>
      <c r="F18" s="4"/>
      <c r="G18" s="4"/>
      <c r="H18" s="4"/>
      <c r="I18" s="4"/>
      <c r="J18" s="4"/>
      <c r="K18" s="4"/>
      <c r="L18" s="4"/>
      <c r="M18" s="4"/>
      <c r="N18" s="4"/>
      <c r="O18" s="4"/>
      <c r="P18" s="4"/>
      <c r="Q18" s="4"/>
      <c r="R18" s="4"/>
      <c r="S18" s="4"/>
      <c r="T18" s="4"/>
      <c r="U18" s="4"/>
      <c r="V18" s="4"/>
      <c r="W18" s="4">
        <v>70</v>
      </c>
      <c r="X18" s="4">
        <v>122</v>
      </c>
      <c r="Y18" s="4"/>
      <c r="Z18" s="4"/>
      <c r="AA18" s="4"/>
      <c r="AB18" s="4"/>
      <c r="AC18" s="4"/>
      <c r="AD18" s="4"/>
      <c r="AE18" s="4"/>
      <c r="AF18" s="4"/>
      <c r="AG18" s="4"/>
      <c r="AH18" s="4"/>
      <c r="AI18" s="4"/>
      <c r="AJ18" s="4"/>
      <c r="AK18" s="4"/>
      <c r="AL18" s="4"/>
      <c r="AM18" s="4"/>
      <c r="AN18" s="4"/>
      <c r="AO18" s="4"/>
      <c r="AP18" s="4"/>
    </row>
    <row r="19" spans="1:42" x14ac:dyDescent="0.25">
      <c r="A19" s="6">
        <v>20</v>
      </c>
      <c r="B19" s="5">
        <v>1</v>
      </c>
      <c r="C19" s="4">
        <v>39</v>
      </c>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v>1</v>
      </c>
      <c r="C21" s="4">
        <v>38</v>
      </c>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v>2</v>
      </c>
      <c r="C22" s="4">
        <v>36</v>
      </c>
      <c r="D22" s="4">
        <v>38</v>
      </c>
      <c r="E22" s="4"/>
      <c r="F22" s="4"/>
      <c r="G22" s="4"/>
      <c r="H22" s="4"/>
      <c r="I22" s="4"/>
      <c r="J22" s="4"/>
      <c r="K22" s="4"/>
      <c r="L22" s="4"/>
      <c r="M22" s="4"/>
      <c r="N22" s="4"/>
      <c r="O22" s="4"/>
      <c r="P22" s="4"/>
      <c r="Q22" s="4"/>
      <c r="R22" s="4"/>
      <c r="S22" s="4"/>
      <c r="T22" s="4"/>
      <c r="U22" s="4"/>
      <c r="V22" s="4"/>
      <c r="W22" s="4">
        <v>210</v>
      </c>
      <c r="X22" s="4"/>
      <c r="Y22" s="4"/>
      <c r="Z22" s="4"/>
      <c r="AA22" s="4"/>
      <c r="AB22" s="4"/>
      <c r="AC22" s="4"/>
      <c r="AD22" s="4"/>
      <c r="AE22" s="4"/>
      <c r="AF22" s="4"/>
      <c r="AG22" s="4"/>
      <c r="AH22" s="4"/>
      <c r="AI22" s="4"/>
      <c r="AJ22" s="4"/>
      <c r="AK22" s="4"/>
      <c r="AL22" s="4"/>
      <c r="AM22" s="4"/>
      <c r="AN22" s="4"/>
      <c r="AO22" s="4"/>
      <c r="AP22" s="4"/>
    </row>
    <row r="23" spans="1:42" x14ac:dyDescent="0.25">
      <c r="A23" s="6">
        <v>24</v>
      </c>
      <c r="B23" s="5">
        <v>2</v>
      </c>
      <c r="C23" s="4">
        <v>36</v>
      </c>
      <c r="D23" s="4">
        <v>36</v>
      </c>
      <c r="E23" s="4"/>
      <c r="F23" s="4"/>
      <c r="G23" s="4"/>
      <c r="H23" s="4"/>
      <c r="I23" s="4"/>
      <c r="J23" s="4"/>
      <c r="K23" s="4"/>
      <c r="L23" s="4"/>
      <c r="M23" s="4"/>
      <c r="N23" s="4"/>
      <c r="O23" s="4"/>
      <c r="P23" s="4"/>
      <c r="Q23" s="4"/>
      <c r="R23" s="4"/>
      <c r="S23" s="4"/>
      <c r="T23" s="4"/>
      <c r="U23" s="4"/>
      <c r="V23" s="4"/>
      <c r="W23" s="4">
        <v>207</v>
      </c>
      <c r="X23" s="4">
        <v>454</v>
      </c>
      <c r="Y23" s="4"/>
      <c r="Z23" s="4"/>
      <c r="AA23" s="4"/>
      <c r="AB23" s="4"/>
      <c r="AC23" s="4"/>
      <c r="AD23" s="4"/>
      <c r="AE23" s="4"/>
      <c r="AF23" s="4"/>
      <c r="AG23" s="4"/>
      <c r="AH23" s="4"/>
      <c r="AI23" s="4"/>
      <c r="AJ23" s="4"/>
      <c r="AK23" s="4"/>
      <c r="AL23" s="4"/>
      <c r="AM23" s="4"/>
      <c r="AN23" s="4"/>
      <c r="AO23" s="4"/>
      <c r="AP23" s="4"/>
    </row>
    <row r="24" spans="1:42" x14ac:dyDescent="0.25">
      <c r="A24" s="6">
        <v>25</v>
      </c>
      <c r="B24" s="5">
        <v>1</v>
      </c>
      <c r="C24" s="4">
        <v>36</v>
      </c>
      <c r="D24" s="4"/>
      <c r="E24" s="4"/>
      <c r="F24" s="4"/>
      <c r="G24" s="4"/>
      <c r="H24" s="4"/>
      <c r="I24" s="4"/>
      <c r="J24" s="4"/>
      <c r="K24" s="4"/>
      <c r="L24" s="4"/>
      <c r="M24" s="4"/>
      <c r="N24" s="4"/>
      <c r="O24" s="4"/>
      <c r="P24" s="4"/>
      <c r="Q24" s="4"/>
      <c r="R24" s="4"/>
      <c r="S24" s="4"/>
      <c r="T24" s="4"/>
      <c r="U24" s="4"/>
      <c r="V24" s="4"/>
      <c r="W24" s="4">
        <v>252</v>
      </c>
      <c r="X24" s="4"/>
      <c r="Y24" s="4"/>
      <c r="Z24" s="4"/>
      <c r="AA24" s="4"/>
      <c r="AB24" s="4"/>
      <c r="AC24" s="4"/>
      <c r="AD24" s="4"/>
      <c r="AE24" s="4"/>
      <c r="AF24" s="4"/>
      <c r="AG24" s="4"/>
      <c r="AH24" s="4"/>
      <c r="AI24" s="4"/>
      <c r="AJ24" s="4"/>
      <c r="AK24" s="4"/>
      <c r="AL24" s="4"/>
      <c r="AM24" s="4"/>
      <c r="AN24" s="4"/>
      <c r="AO24" s="4"/>
      <c r="AP24" s="4"/>
    </row>
    <row r="25" spans="1:42" x14ac:dyDescent="0.25">
      <c r="A25" s="6">
        <v>26</v>
      </c>
      <c r="B25" s="5">
        <v>2</v>
      </c>
      <c r="C25" s="4">
        <v>36</v>
      </c>
      <c r="D25" s="4">
        <v>36</v>
      </c>
      <c r="E25" s="4"/>
      <c r="F25" s="4"/>
      <c r="G25" s="4"/>
      <c r="H25" s="4"/>
      <c r="I25" s="4"/>
      <c r="J25" s="4"/>
      <c r="K25" s="4"/>
      <c r="L25" s="4"/>
      <c r="M25" s="4"/>
      <c r="N25" s="4"/>
      <c r="O25" s="4"/>
      <c r="P25" s="4"/>
      <c r="Q25" s="4"/>
      <c r="R25" s="4"/>
      <c r="S25" s="4"/>
      <c r="T25" s="4"/>
      <c r="U25" s="4"/>
      <c r="V25" s="4"/>
      <c r="W25" s="4">
        <v>46</v>
      </c>
      <c r="X25" s="4">
        <v>82</v>
      </c>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v>1</v>
      </c>
      <c r="C27" s="4">
        <v>34</v>
      </c>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v>3</v>
      </c>
      <c r="C31" s="4">
        <v>32</v>
      </c>
      <c r="D31" s="4">
        <v>34</v>
      </c>
      <c r="E31" s="4">
        <v>32</v>
      </c>
      <c r="F31" s="4"/>
      <c r="G31" s="4"/>
      <c r="H31" s="4"/>
      <c r="I31" s="4"/>
      <c r="J31" s="4"/>
      <c r="K31" s="4"/>
      <c r="L31" s="4"/>
      <c r="M31" s="4"/>
      <c r="N31" s="4"/>
      <c r="O31" s="4"/>
      <c r="P31" s="4"/>
      <c r="Q31" s="4"/>
      <c r="R31" s="4"/>
      <c r="S31" s="4"/>
      <c r="T31" s="4"/>
      <c r="U31" s="4"/>
      <c r="V31" s="4"/>
      <c r="W31" s="4">
        <v>34</v>
      </c>
      <c r="X31" s="4"/>
      <c r="Y31" s="4">
        <v>118</v>
      </c>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1" t="s">
        <v>63</v>
      </c>
      <c r="C2" s="261"/>
      <c r="D2" s="261"/>
      <c r="E2" s="129"/>
      <c r="F2" s="129"/>
      <c r="G2" s="269" t="s">
        <v>64</v>
      </c>
      <c r="H2" s="269"/>
      <c r="I2" s="269"/>
      <c r="J2" s="130"/>
      <c r="K2" s="131"/>
      <c r="L2" s="269" t="s">
        <v>65</v>
      </c>
      <c r="M2" s="269"/>
      <c r="N2" s="269"/>
      <c r="O2" s="130"/>
      <c r="P2" s="131"/>
      <c r="Q2" s="269" t="s">
        <v>66</v>
      </c>
      <c r="R2" s="269"/>
      <c r="S2" s="269"/>
      <c r="T2" s="130"/>
      <c r="U2" s="131"/>
      <c r="V2" s="269" t="s">
        <v>67</v>
      </c>
      <c r="W2" s="269"/>
      <c r="X2" s="269"/>
      <c r="Y2" s="130"/>
      <c r="Z2" s="131"/>
      <c r="AA2" s="269" t="s">
        <v>68</v>
      </c>
      <c r="AB2" s="269"/>
      <c r="AC2" s="269"/>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2" t="s">
        <v>69</v>
      </c>
      <c r="C3" s="262"/>
      <c r="D3" s="143">
        <f>SUM('8645C Innerduct'!C2:AF499)</f>
        <v>4316</v>
      </c>
      <c r="E3" s="129"/>
      <c r="F3" s="129"/>
      <c r="G3" s="264" t="s">
        <v>70</v>
      </c>
      <c r="H3" s="265"/>
      <c r="I3" s="137" t="str">
        <f>IFERROR(IF(AND(#REF!="Y",#REF!="N"),I4,IF(AND(I4&gt;0,End_Sections!B2="B"),IF(#REF!&lt;1000,I4+10,I4+20),I4)),"")</f>
        <v/>
      </c>
      <c r="J3" s="130"/>
      <c r="K3" s="131"/>
      <c r="L3" s="264" t="s">
        <v>70</v>
      </c>
      <c r="M3" s="265"/>
      <c r="N3" s="137" t="str">
        <f>IFERROR(IF(AND(#REF!="Y",#REF!="N"),N4,IF(AND(N4&gt;0,End_Sections!C2="B"),IF(#REF!&lt;1000,N4+10,N4+20),N4)),"")</f>
        <v/>
      </c>
      <c r="O3" s="130"/>
      <c r="P3" s="131"/>
      <c r="Q3" s="264" t="s">
        <v>70</v>
      </c>
      <c r="R3" s="265"/>
      <c r="S3" s="137" t="str">
        <f>IFERROR(IF(AND(#REF!="Y",#REF!="N"),S4,IF(AND(S4&gt;0,End_Sections!D2="B"),IF(#REF!&lt;1000,S4+10,S4+20),S4)),"")</f>
        <v/>
      </c>
      <c r="T3" s="130"/>
      <c r="U3" s="131"/>
      <c r="V3" s="264" t="s">
        <v>70</v>
      </c>
      <c r="W3" s="265"/>
      <c r="X3" s="137" t="str">
        <f>IFERROR(IF(AND(#REF!="Y",#REF!="N"),X4,IF(AND(X4&gt;0,End_Sections!E2="B"),IF(#REF!&lt;1000,X4+10,X4+20),X4)),"")</f>
        <v/>
      </c>
      <c r="Y3" s="130"/>
      <c r="Z3" s="131"/>
      <c r="AA3" s="264" t="s">
        <v>70</v>
      </c>
      <c r="AB3" s="265"/>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2" t="s">
        <v>71</v>
      </c>
      <c r="C4" s="262"/>
      <c r="D4" s="143">
        <f>D3-(COUNTA('8645C Innerduct'!C2:V499)*4)</f>
        <v>4180</v>
      </c>
      <c r="E4" s="129"/>
      <c r="F4" s="129"/>
      <c r="G4" s="264" t="s">
        <v>72</v>
      </c>
      <c r="H4" s="265"/>
      <c r="I4" s="137" t="str">
        <f>IFERROR(IF(#REF!="","",IF(Aerial!D2="",#REF!,#REF!-(SUM(Aerial!D2,Aerial!D3,End_Sections!B4,End_Sections!B9)))),"")</f>
        <v/>
      </c>
      <c r="J4" s="130"/>
      <c r="K4" s="131"/>
      <c r="L4" s="264" t="s">
        <v>72</v>
      </c>
      <c r="M4" s="265"/>
      <c r="N4" s="137" t="str">
        <f>IFERROR(IF(#REF!="","",IF(Aerial!H2="",#REF!,#REF!-(SUM(Aerial!H2,Aerial!H3,End_Sections!C4,End_Sections!C9)))),"")</f>
        <v/>
      </c>
      <c r="O4" s="130"/>
      <c r="P4" s="131"/>
      <c r="Q4" s="264" t="s">
        <v>72</v>
      </c>
      <c r="R4" s="265"/>
      <c r="S4" s="137" t="str">
        <f>IFERROR(IF(#REF!="","",IF(Aerial!L2="",#REF!,#REF!-(SUM(Aerial!L2,Aerial!L3,End_Sections!D4,End_Sections!D9)))),"")</f>
        <v/>
      </c>
      <c r="T4" s="130"/>
      <c r="U4" s="131"/>
      <c r="V4" s="264" t="s">
        <v>72</v>
      </c>
      <c r="W4" s="265"/>
      <c r="X4" s="137" t="str">
        <f>IFERROR(IF(#REF!="","",IF(Aerial!P2="",#REF!,#REF!-(SUM(Aerial!P2,Aerial!P3,End_Sections!E4,End_Sections!E9)))),"")</f>
        <v/>
      </c>
      <c r="Y4" s="130"/>
      <c r="Z4" s="131"/>
      <c r="AA4" s="264" t="s">
        <v>72</v>
      </c>
      <c r="AB4" s="265"/>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2" t="s">
        <v>73</v>
      </c>
      <c r="C5" s="262"/>
      <c r="D5" s="143">
        <f>SUM('8645C Innerduct'!W2:AF499)</f>
        <v>2775</v>
      </c>
      <c r="E5" s="129"/>
      <c r="F5" s="129"/>
      <c r="G5" s="264" t="s">
        <v>71</v>
      </c>
      <c r="H5" s="266"/>
      <c r="I5" s="137" t="str">
        <f>IFERROR(IF(#REF!="","",I4-(SUM(#REF!))-(SUM(End_Sections!B3,End_Sections!B8))),"")</f>
        <v/>
      </c>
      <c r="J5" s="130"/>
      <c r="K5" s="131"/>
      <c r="L5" s="264" t="s">
        <v>71</v>
      </c>
      <c r="M5" s="266"/>
      <c r="N5" s="137" t="str">
        <f>IFERROR(IF(#REF!="","",N4-(SUM(#REF!))-(SUM(End_Sections!C3,End_Sections!C8))),"")</f>
        <v/>
      </c>
      <c r="O5" s="130"/>
      <c r="P5" s="131"/>
      <c r="Q5" s="264" t="s">
        <v>71</v>
      </c>
      <c r="R5" s="266"/>
      <c r="S5" s="137" t="str">
        <f>IFERROR(IF(#REF!="","",S4-(SUM(#REF!))-(SUM(End_Sections!D3,End_Sections!D8))),"")</f>
        <v/>
      </c>
      <c r="T5" s="130"/>
      <c r="U5" s="131"/>
      <c r="V5" s="264" t="s">
        <v>71</v>
      </c>
      <c r="W5" s="266"/>
      <c r="X5" s="137" t="str">
        <f>IFERROR(IF(#REF!="","",X4-(SUM(#REF!))-(SUM(End_Sections!E3,End_Sections!E8))),"")</f>
        <v/>
      </c>
      <c r="Y5" s="130"/>
      <c r="Z5" s="131"/>
      <c r="AA5" s="264" t="s">
        <v>71</v>
      </c>
      <c r="AB5" s="266"/>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2" t="s">
        <v>74</v>
      </c>
      <c r="C6" s="262"/>
      <c r="D6" s="143">
        <f>SUM('8645C Innerduct'!AG2:AP499)</f>
        <v>0</v>
      </c>
      <c r="E6" s="129"/>
      <c r="F6" s="129"/>
      <c r="G6" s="264" t="s">
        <v>75</v>
      </c>
      <c r="H6" s="266"/>
      <c r="I6" s="137" t="str">
        <f>IFERROR(IF(AND(#REF!="Y",#REF!="N"),J6,IF(End_Sections!B2="A",IF(#REF!&lt;1000,J6+10,J6+20),J6)),"")</f>
        <v/>
      </c>
      <c r="J6" s="138" t="e">
        <f>IF(K6=0,"",K6)</f>
        <v>#REF!</v>
      </c>
      <c r="K6" s="131" t="e">
        <f>IF(I$4=0,#REF!,IF(Aerial!D3="",SUM(Aerial!D2,End_Sections!B4,End_Sections!B9),Aerial!D2))</f>
        <v>#REF!</v>
      </c>
      <c r="L6" s="264" t="s">
        <v>75</v>
      </c>
      <c r="M6" s="266"/>
      <c r="N6" s="137" t="str">
        <f>IFERROR(IF(AND(#REF!="Y",#REF!="N"),O6,IF(End_Sections!C2="A",IF(#REF!&lt;1000,O6+10,O6+20),O6)),"")</f>
        <v/>
      </c>
      <c r="O6" s="138" t="e">
        <f>IF(P6=0,"",P6)</f>
        <v>#REF!</v>
      </c>
      <c r="P6" s="131" t="e">
        <f>IF(N$4=0,#REF!,IF(Aerial!H3="",SUM(Aerial!H2,End_Sections!C4,End_Sections!C9),Aerial!H2))</f>
        <v>#REF!</v>
      </c>
      <c r="Q6" s="264" t="s">
        <v>75</v>
      </c>
      <c r="R6" s="266"/>
      <c r="S6" s="137" t="str">
        <f>IFERROR(IF(AND(#REF!="Y",#REF!="N"),T6,IF(End_Sections!D2="A",IF(#REF!&lt;1000,T6+10,T6+20),T6)),"")</f>
        <v/>
      </c>
      <c r="T6" s="138" t="e">
        <f>IF(U6=0,"",U6)</f>
        <v>#REF!</v>
      </c>
      <c r="U6" s="131" t="e">
        <f>IF(S$4=0,#REF!,IF(Aerial!L3="",SUM(Aerial!L2,End_Sections!D4,End_Sections!D9),Aerial!L2))</f>
        <v>#REF!</v>
      </c>
      <c r="V6" s="264" t="s">
        <v>75</v>
      </c>
      <c r="W6" s="266"/>
      <c r="X6" s="137" t="str">
        <f>IFERROR(IF(AND(#REF!="Y",#REF!="N"),Y6,IF(End_Sections!E2="A",IF(#REF!&lt;1000,Y6+10,Y6+20),Y6)),"")</f>
        <v/>
      </c>
      <c r="Y6" s="138" t="e">
        <f>IF(Z6=0,"",Z6)</f>
        <v>#REF!</v>
      </c>
      <c r="Z6" s="131" t="e">
        <f>IF(X$4=0,#REF!,IF(Aerial!P3="",SUM(Aerial!P2,End_Sections!E4,End_Sections!E9),Aerial!P2))</f>
        <v>#REF!</v>
      </c>
      <c r="AA6" s="264" t="s">
        <v>75</v>
      </c>
      <c r="AB6" s="266"/>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2" t="s">
        <v>76</v>
      </c>
      <c r="C7" s="262"/>
      <c r="D7" s="144">
        <f>SUM('8645C Innerduct'!B:B)</f>
        <v>34</v>
      </c>
      <c r="E7" s="129"/>
      <c r="F7" s="129"/>
      <c r="G7" s="264" t="s">
        <v>77</v>
      </c>
      <c r="H7" s="266"/>
      <c r="I7" s="137" t="e">
        <f>J7</f>
        <v>#REF!</v>
      </c>
      <c r="J7" s="138" t="e">
        <f>IF(K7="","",K7)</f>
        <v>#REF!</v>
      </c>
      <c r="K7" s="131" t="e">
        <f>IF(J6="","",IF(Aerial!D3="","",SUM(Aerial!D3,End_Sections!B9)))</f>
        <v>#REF!</v>
      </c>
      <c r="L7" s="264" t="s">
        <v>77</v>
      </c>
      <c r="M7" s="266"/>
      <c r="N7" s="137" t="e">
        <f>O7</f>
        <v>#REF!</v>
      </c>
      <c r="O7" s="138" t="e">
        <f>IF(P7="","",P7)</f>
        <v>#REF!</v>
      </c>
      <c r="P7" s="131" t="e">
        <f>IF(O6="","",IF(Aerial!H3="","",SUM(Aerial!H3,End_Sections!C9)))</f>
        <v>#REF!</v>
      </c>
      <c r="Q7" s="264" t="s">
        <v>77</v>
      </c>
      <c r="R7" s="266"/>
      <c r="S7" s="137" t="e">
        <f>T7</f>
        <v>#REF!</v>
      </c>
      <c r="T7" s="138" t="e">
        <f>IF(U7="","",U7)</f>
        <v>#REF!</v>
      </c>
      <c r="U7" s="131" t="e">
        <f>IF(T6="","",IF(Aerial!L3="","",SUM(Aerial!L3,End_Sections!D9)))</f>
        <v>#REF!</v>
      </c>
      <c r="V7" s="264" t="s">
        <v>77</v>
      </c>
      <c r="W7" s="266"/>
      <c r="X7" s="137" t="e">
        <f>Y7</f>
        <v>#REF!</v>
      </c>
      <c r="Y7" s="138" t="e">
        <f>IF(Z7="","",Z7)</f>
        <v>#REF!</v>
      </c>
      <c r="Z7" s="131" t="e">
        <f>IF(Y6="","",IF(Aerial!P3="","",SUM(Aerial!P3,End_Sections!E9)))</f>
        <v>#REF!</v>
      </c>
      <c r="AA7" s="264" t="s">
        <v>77</v>
      </c>
      <c r="AB7" s="266"/>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9" t="s">
        <v>78</v>
      </c>
      <c r="H10" s="269"/>
      <c r="I10" s="269"/>
      <c r="J10" s="130"/>
      <c r="K10" s="131"/>
      <c r="L10" s="269" t="s">
        <v>79</v>
      </c>
      <c r="M10" s="269"/>
      <c r="N10" s="269"/>
      <c r="O10" s="130"/>
      <c r="P10" s="131"/>
      <c r="Q10" s="269" t="s">
        <v>80</v>
      </c>
      <c r="R10" s="269"/>
      <c r="S10" s="269"/>
      <c r="T10" s="130"/>
      <c r="U10" s="131"/>
      <c r="V10" s="269" t="s">
        <v>81</v>
      </c>
      <c r="W10" s="269"/>
      <c r="X10" s="269"/>
      <c r="Y10" s="130"/>
      <c r="Z10" s="131"/>
      <c r="AA10" s="269" t="s">
        <v>82</v>
      </c>
      <c r="AB10" s="269"/>
      <c r="AC10" s="269"/>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1" t="s">
        <v>83</v>
      </c>
      <c r="C11" s="261"/>
      <c r="D11" s="261"/>
      <c r="E11" s="129"/>
      <c r="F11" s="129"/>
      <c r="G11" s="264" t="s">
        <v>70</v>
      </c>
      <c r="H11" s="265"/>
      <c r="I11" s="137" t="str">
        <f>IFERROR(IF(AND(#REF!="Y",#REF!="N"),I12,IF(AND(I12&gt;0,End_Sections!G2="B"),IF(#REF!&lt;1000,I12+10,I12+20),I12)),"")</f>
        <v/>
      </c>
      <c r="J11" s="130"/>
      <c r="K11" s="131"/>
      <c r="L11" s="264" t="s">
        <v>70</v>
      </c>
      <c r="M11" s="265"/>
      <c r="N11" s="137" t="str">
        <f>IFERROR(IF(AND(#REF!="Y",#REF!="N"),N12,IF(AND(N12&gt;0,End_Sections!H2="B"),IF(#REF!&lt;1000,N12+10,N12+20),N12)),"")</f>
        <v/>
      </c>
      <c r="O11" s="130"/>
      <c r="P11" s="131"/>
      <c r="Q11" s="264" t="s">
        <v>70</v>
      </c>
      <c r="R11" s="265"/>
      <c r="S11" s="137" t="str">
        <f>IFERROR(IF(AND(#REF!="Y",#REF!="N"),S12,IF(AND(S12&gt;0,End_Sections!I2="B"),IF(#REF!&lt;1000,S12+10,S12+20),S12)),"")</f>
        <v/>
      </c>
      <c r="T11" s="130"/>
      <c r="U11" s="131"/>
      <c r="V11" s="264" t="s">
        <v>70</v>
      </c>
      <c r="W11" s="265"/>
      <c r="X11" s="137" t="str">
        <f>IFERROR(IF(AND(#REF!="Y",#REF!="N"),X12,IF(AND(X12&gt;0,End_Sections!J2="B"),IF(#REF!&lt;1000,X12+10,X12+20),X12)),"")</f>
        <v/>
      </c>
      <c r="Y11" s="130"/>
      <c r="Z11" s="131"/>
      <c r="AA11" s="264" t="s">
        <v>70</v>
      </c>
      <c r="AB11" s="265"/>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0" t="s">
        <v>84</v>
      </c>
      <c r="C12" s="270"/>
      <c r="D12" s="144">
        <f>Data!E2</f>
        <v>53</v>
      </c>
      <c r="E12" s="129"/>
      <c r="F12" s="129"/>
      <c r="G12" s="264" t="s">
        <v>72</v>
      </c>
      <c r="H12" s="265"/>
      <c r="I12" s="137" t="str">
        <f>IFERROR(IF(#REF!="","",IF(Aerial!X2="",#REF!,#REF!-(SUM(Aerial!X2,Aerial!X3,,End_Sections!G4,End_Sections!G9)))),"")</f>
        <v/>
      </c>
      <c r="J12" s="130"/>
      <c r="K12" s="131"/>
      <c r="L12" s="264" t="s">
        <v>72</v>
      </c>
      <c r="M12" s="265"/>
      <c r="N12" s="137" t="str">
        <f>IFERROR(IF(#REF!="","",IF(Aerial!AB2="",#REF!,#REF!-(SUM(Aerial!AB2,Aerial!AB3,End_Sections!H4,End_Sections!H9)))),"")</f>
        <v/>
      </c>
      <c r="O12" s="130"/>
      <c r="P12" s="131"/>
      <c r="Q12" s="264" t="s">
        <v>72</v>
      </c>
      <c r="R12" s="265"/>
      <c r="S12" s="137" t="str">
        <f>IFERROR(IF(#REF!="","",IF(Aerial!AF2="",#REF!,#REF!-(SUM(Aerial!AF2,Aerial!AF3,End_Sections!I4,End_Sections!I9)))),"")</f>
        <v/>
      </c>
      <c r="T12" s="130"/>
      <c r="U12" s="131"/>
      <c r="V12" s="264" t="s">
        <v>72</v>
      </c>
      <c r="W12" s="265"/>
      <c r="X12" s="137" t="str">
        <f>IFERROR(IF(#REF!="","",IF(Aerial!AJ2="",#REF!,#REF!-(SUM(Aerial!AJ2,Aerial!AJ3,End_Sections!J4,End_Sections!J9)))),"")</f>
        <v/>
      </c>
      <c r="Y12" s="130"/>
      <c r="Z12" s="131"/>
      <c r="AA12" s="264" t="s">
        <v>72</v>
      </c>
      <c r="AB12" s="265"/>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0" t="s">
        <v>85</v>
      </c>
      <c r="C13" s="270"/>
      <c r="D13" s="144">
        <f>Data!E3</f>
        <v>5</v>
      </c>
      <c r="E13" s="129"/>
      <c r="F13" s="129"/>
      <c r="G13" s="264" t="s">
        <v>71</v>
      </c>
      <c r="H13" s="266"/>
      <c r="I13" s="137" t="str">
        <f>IFERROR(IF(#REF!="","",I12-(SUM(#REF!))-(SUM(End_Sections!G3,End_Sections!G8))),"")</f>
        <v/>
      </c>
      <c r="J13" s="130"/>
      <c r="K13" s="131"/>
      <c r="L13" s="264" t="s">
        <v>71</v>
      </c>
      <c r="M13" s="266"/>
      <c r="N13" s="137" t="str">
        <f>IFERROR(IF(#REF!="","",N12-(SUM(#REF!))-(SUM(End_Sections!H3,End_Sections!H8))),"")</f>
        <v/>
      </c>
      <c r="O13" s="130"/>
      <c r="P13" s="131"/>
      <c r="Q13" s="264" t="s">
        <v>71</v>
      </c>
      <c r="R13" s="266"/>
      <c r="S13" s="137" t="str">
        <f>IFERROR(IF(#REF!="","",S12-(SUM(#REF!))-(SUM(End_Sections!I3,End_Sections!I8))),"")</f>
        <v/>
      </c>
      <c r="T13" s="130"/>
      <c r="U13" s="131"/>
      <c r="V13" s="264" t="s">
        <v>71</v>
      </c>
      <c r="W13" s="266"/>
      <c r="X13" s="137" t="str">
        <f>IFERROR(IF(#REF!="","",X12-(SUM(#REF!))-(SUM(End_Sections!J3,End_Sections!J8))),"")</f>
        <v/>
      </c>
      <c r="Y13" s="130"/>
      <c r="Z13" s="131"/>
      <c r="AA13" s="264" t="s">
        <v>71</v>
      </c>
      <c r="AB13" s="266"/>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0" t="s">
        <v>86</v>
      </c>
      <c r="C14" s="270"/>
      <c r="D14" s="144">
        <f>Data!E4</f>
        <v>21</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0" t="s">
        <v>87</v>
      </c>
      <c r="C15" s="270"/>
      <c r="D15" s="144">
        <f>Data!E5</f>
        <v>4</v>
      </c>
      <c r="E15" s="129"/>
      <c r="F15" s="129"/>
      <c r="G15" s="264" t="s">
        <v>75</v>
      </c>
      <c r="H15" s="266"/>
      <c r="I15" s="137" t="str">
        <f>IFERROR(IF(AND(#REF!="Y",#REF!="N"),J15,IF(End_Sections!G2="A",IF(#REF!&lt;1000,J15+10,J15+20),J15)),"")</f>
        <v/>
      </c>
      <c r="J15" s="138" t="e">
        <f>IF(K15=0,"",K15)</f>
        <v>#REF!</v>
      </c>
      <c r="K15" s="131" t="e">
        <f>IF(I$12=0,#REF!,IF(Aerial!X3="",SUM(Aerial!X2,End_Sections!G4,End_Sections!G9),Aerial!X2))</f>
        <v>#REF!</v>
      </c>
      <c r="L15" s="264" t="s">
        <v>75</v>
      </c>
      <c r="M15" s="266"/>
      <c r="N15" s="137" t="str">
        <f>IFERROR(IF(AND(#REF!="Y",#REF!="N"),O15,IF(End_Sections!H2="A",IF(#REF!&lt;1000,O15+10,O15+20),O15)),"")</f>
        <v/>
      </c>
      <c r="O15" s="138" t="e">
        <f>IF(P15=0,"",P15)</f>
        <v>#REF!</v>
      </c>
      <c r="P15" s="131" t="e">
        <f>IF(N$12=0,#REF!,IF(Aerial!AB3="",SUM(Aerial!AB2,End_Sections!H4,End_Sections!H9),Aerial!AB2))</f>
        <v>#REF!</v>
      </c>
      <c r="Q15" s="264" t="s">
        <v>75</v>
      </c>
      <c r="R15" s="266"/>
      <c r="S15" s="137" t="str">
        <f>IFERROR(IF(AND(#REF!="Y",#REF!="N"),T15,IF(End_Sections!I2="A",IF(#REF!&lt;1000,T15+10,T15+20),T15)),"")</f>
        <v/>
      </c>
      <c r="T15" s="138" t="e">
        <f>IF(U15=0,"",U15)</f>
        <v>#REF!</v>
      </c>
      <c r="U15" s="131" t="e">
        <f>IF(S$12=0,#REF!,IF(Aerial!AF3="",SUM(Aerial!AF2,End_Sections!I4,End_Sections!I9),Aerial!AF2))</f>
        <v>#REF!</v>
      </c>
      <c r="V15" s="264" t="s">
        <v>75</v>
      </c>
      <c r="W15" s="266"/>
      <c r="X15" s="137" t="str">
        <f>IFERROR(IF(AND(#REF!="Y",#REF!="N"),Y15,IF(End_Sections!J2="A",IF(#REF!&lt;1000,Y15+10,Y15+20),Y15)),"")</f>
        <v/>
      </c>
      <c r="Y15" s="138" t="e">
        <f>IF(Z15=0,"",Z15)</f>
        <v>#REF!</v>
      </c>
      <c r="Z15" s="131" t="e">
        <f>IF(X$12=0,#REF!,IF(Aerial!AJ3="",SUM(Aerial!AJ2,End_Sections!J4,End_Sections!J9),Aerial!AJ2))</f>
        <v>#REF!</v>
      </c>
      <c r="AA15" s="264" t="s">
        <v>75</v>
      </c>
      <c r="AB15" s="266"/>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4" t="s">
        <v>70</v>
      </c>
      <c r="H16" s="265"/>
      <c r="I16" s="137" t="str">
        <f>IFERROR(IF(AND(#REF!="Y",#REF!="N"),I17,IF(AND(I17&gt;0,End_Sections!L2="B"),IF(#REF!&lt;1000,I17+10,I17+20),I17)),"")</f>
        <v/>
      </c>
      <c r="J16" s="130"/>
      <c r="K16" s="131"/>
      <c r="L16" s="264" t="s">
        <v>70</v>
      </c>
      <c r="M16" s="265"/>
      <c r="N16" s="137" t="str">
        <f>IFERROR(IF(AND(#REF!="Y",#REF!="N"),N17,IF(AND(N17&gt;0,End_Sections!M2="B"),IF(#REF!&lt;1000,N17+10,N17+20),N17)),"")</f>
        <v/>
      </c>
      <c r="O16" s="130"/>
      <c r="P16" s="131"/>
      <c r="Q16" s="264" t="s">
        <v>70</v>
      </c>
      <c r="R16" s="265"/>
      <c r="S16" s="137" t="str">
        <f>IFERROR(IF(AND(#REF!="Y",#REF!="N"),S17,IF(AND(S17&gt;0,End_Sections!N2="B"),IF(#REF!&lt;1000,S17+10,S17+20),S17)),"")</f>
        <v/>
      </c>
      <c r="T16" s="130"/>
      <c r="U16" s="131"/>
      <c r="V16" s="264" t="s">
        <v>70</v>
      </c>
      <c r="W16" s="265"/>
      <c r="X16" s="137" t="str">
        <f>IFERROR(IF(AND(#REF!="Y",#REF!="N"),X17,IF(AND(X17&gt;0,End_Sections!O2="B"),IF(#REF!&lt;1000,X17+10,X17+20),X17)),"")</f>
        <v/>
      </c>
      <c r="Y16" s="130"/>
      <c r="Z16" s="131"/>
      <c r="AA16" s="264" t="s">
        <v>70</v>
      </c>
      <c r="AB16" s="265"/>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4" t="s">
        <v>72</v>
      </c>
      <c r="H17" s="265"/>
      <c r="I17" s="137" t="str">
        <f>IFERROR(IF(#REF!="","",IF(Aerial!AR2="",#REF!,#REF!-(SUM(Aerial!AR2,Aerial!AR3,End_Sections!L4,End_Sections!L9)))),"")</f>
        <v/>
      </c>
      <c r="J17" s="130"/>
      <c r="K17" s="131"/>
      <c r="L17" s="264" t="s">
        <v>72</v>
      </c>
      <c r="M17" s="265"/>
      <c r="N17" s="137" t="str">
        <f>IFERROR(IF(#REF!="","",IF(Aerial!AV2="",#REF!,#REF!-(SUM(Aerial!AV2,Aerial!AV3,End_Sections!M4,End_Sections!M9)))),"")</f>
        <v/>
      </c>
      <c r="O17" s="130"/>
      <c r="P17" s="131"/>
      <c r="Q17" s="264" t="s">
        <v>72</v>
      </c>
      <c r="R17" s="265"/>
      <c r="S17" s="137" t="str">
        <f>IFERROR(IF(#REF!="","",IF(Aerial!AZ2="",#REF!,#REF!-(SUM(Aerial!AZ2,Aerial!AZ3,End_Sections!N4,End_Sections!N9)))),"")</f>
        <v/>
      </c>
      <c r="T17" s="130"/>
      <c r="U17" s="131"/>
      <c r="V17" s="264" t="s">
        <v>72</v>
      </c>
      <c r="W17" s="265"/>
      <c r="X17" s="137" t="str">
        <f>IFERROR(IF(#REF!="","",IF(Aerial!BD2="",#REF!,#REF!-(SUM(Aerial!BD2,Aerial!BD3,End_Sections!O4,End_Sections!O9)))),"")</f>
        <v/>
      </c>
      <c r="Y17" s="130"/>
      <c r="Z17" s="131"/>
      <c r="AA17" s="264" t="s">
        <v>72</v>
      </c>
      <c r="AB17" s="265"/>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4" t="s">
        <v>71</v>
      </c>
      <c r="H18" s="266"/>
      <c r="I18" s="137" t="str">
        <f>IFERROR(IF(#REF!="","",I17-(SUM(#REF!))-(SUM(End_Sections!L3,End_Sections!L8))),"")</f>
        <v/>
      </c>
      <c r="J18" s="130"/>
      <c r="K18" s="131"/>
      <c r="L18" s="264" t="s">
        <v>71</v>
      </c>
      <c r="M18" s="266"/>
      <c r="N18" s="137" t="str">
        <f>IFERROR(IF(#REF!="","",N17-(SUM(#REF!))-(SUM(End_Sections!M3,End_Sections!M8))),"")</f>
        <v/>
      </c>
      <c r="O18" s="130"/>
      <c r="P18" s="131"/>
      <c r="Q18" s="264" t="s">
        <v>71</v>
      </c>
      <c r="R18" s="266"/>
      <c r="S18" s="137" t="str">
        <f>IFERROR(IF(#REF!="","",S17-(SUM(#REF!))-(SUM(End_Sections!N3,End_Sections!N8))),"")</f>
        <v/>
      </c>
      <c r="T18" s="130"/>
      <c r="U18" s="131"/>
      <c r="V18" s="264" t="s">
        <v>71</v>
      </c>
      <c r="W18" s="266"/>
      <c r="X18" s="137" t="str">
        <f>IFERROR(IF(#REF!="","",X17-(SUM(#REF!))-(SUM(End_Sections!O3,End_Sections!O8))),"")</f>
        <v/>
      </c>
      <c r="Y18" s="130"/>
      <c r="Z18" s="131"/>
      <c r="AA18" s="264" t="s">
        <v>71</v>
      </c>
      <c r="AB18" s="266"/>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1" t="s">
        <v>88</v>
      </c>
      <c r="C19" s="261"/>
      <c r="D19" s="261"/>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4" t="s">
        <v>77</v>
      </c>
      <c r="H23" s="266"/>
      <c r="I23" s="137" t="e">
        <f>J23</f>
        <v>#REF!</v>
      </c>
      <c r="J23" s="138" t="e">
        <f>IF(K23=0,"",K23)</f>
        <v>#REF!</v>
      </c>
      <c r="K23" s="131" t="e">
        <f>IF(#REF!="","",IF(Aerial!AR3="","",SUM(Aerial!AR3,End_Sections!L9)))</f>
        <v>#REF!</v>
      </c>
      <c r="L23" s="264" t="s">
        <v>77</v>
      </c>
      <c r="M23" s="266"/>
      <c r="N23" s="137" t="e">
        <f>O23</f>
        <v>#REF!</v>
      </c>
      <c r="O23" s="138" t="e">
        <f>IF(P23=0,"",P23)</f>
        <v>#REF!</v>
      </c>
      <c r="P23" s="131" t="e">
        <f>IF(#REF!="","",IF(Aerial!AV3="","",SUM(Aerial!AV3,End_Sections!M9)))</f>
        <v>#REF!</v>
      </c>
      <c r="Q23" s="264" t="s">
        <v>77</v>
      </c>
      <c r="R23" s="266"/>
      <c r="S23" s="137" t="e">
        <f>T23</f>
        <v>#REF!</v>
      </c>
      <c r="T23" s="138" t="e">
        <f>IF(U23=0,"",U23)</f>
        <v>#REF!</v>
      </c>
      <c r="U23" s="131" t="e">
        <f>IF(#REF!="","",IF(Aerial!AZ3="","",SUM(Aerial!AZ3,End_Sections!N9)))</f>
        <v>#REF!</v>
      </c>
      <c r="V23" s="264" t="s">
        <v>77</v>
      </c>
      <c r="W23" s="266"/>
      <c r="X23" s="137" t="e">
        <f>Y23</f>
        <v>#REF!</v>
      </c>
      <c r="Y23" s="138" t="e">
        <f>IF(Z23=0,"",Z23)</f>
        <v>#REF!</v>
      </c>
      <c r="Z23" s="131" t="e">
        <f>IF(#REF!="","",IF(Aerial!BD3="","",SUM(Aerial!BD3,End_Sections!O9)))</f>
        <v>#REF!</v>
      </c>
      <c r="AA23" s="264" t="s">
        <v>77</v>
      </c>
      <c r="AB23" s="266"/>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1" t="s">
        <v>92</v>
      </c>
      <c r="C24" s="271"/>
      <c r="D24" s="271"/>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2" t="s">
        <v>93</v>
      </c>
      <c r="C25" s="262"/>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3" t="s">
        <v>94</v>
      </c>
      <c r="C26" s="263"/>
      <c r="D26" s="145"/>
      <c r="E26" s="129"/>
      <c r="F26" s="129"/>
      <c r="G26" s="269" t="s">
        <v>95</v>
      </c>
      <c r="H26" s="269"/>
      <c r="I26" s="269"/>
      <c r="J26" s="130"/>
      <c r="K26" s="131"/>
      <c r="L26" s="269" t="s">
        <v>96</v>
      </c>
      <c r="M26" s="269"/>
      <c r="N26" s="269"/>
      <c r="O26" s="130"/>
      <c r="P26" s="131"/>
      <c r="Q26" s="269" t="s">
        <v>97</v>
      </c>
      <c r="R26" s="269"/>
      <c r="S26" s="269"/>
      <c r="T26" s="130"/>
      <c r="U26" s="131"/>
      <c r="V26" s="269" t="s">
        <v>98</v>
      </c>
      <c r="W26" s="269"/>
      <c r="X26" s="269"/>
      <c r="Y26" s="130"/>
      <c r="Z26" s="131"/>
      <c r="AA26" s="269" t="s">
        <v>99</v>
      </c>
      <c r="AB26" s="269"/>
      <c r="AC26" s="269"/>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2" t="s">
        <v>100</v>
      </c>
      <c r="C27" s="262"/>
      <c r="D27" s="145"/>
      <c r="E27" s="129"/>
      <c r="F27" s="129"/>
      <c r="G27" s="264" t="s">
        <v>70</v>
      </c>
      <c r="H27" s="265"/>
      <c r="I27" s="137" t="str">
        <f>IFERROR(IF(AND(#REF!="Y",#REF!="N"),#REF!,IF(AND(#REF!&gt;0,End_Sections!Q2="B"),IF(#REF!&lt;1000,#REF!+10,#REF!+20),#REF!)),"")</f>
        <v/>
      </c>
      <c r="J27" s="130"/>
      <c r="K27" s="131"/>
      <c r="L27" s="264" t="s">
        <v>70</v>
      </c>
      <c r="M27" s="265"/>
      <c r="N27" s="137" t="str">
        <f>IFERROR(IF(AND(#REF!="Y",#REF!="N"),#REF!,IF(AND(#REF!&gt;0,End_Sections!R2="B"),IF(#REF!&lt;1000,#REF!+10,#REF!+20),#REF!)),"")</f>
        <v/>
      </c>
      <c r="O27" s="130"/>
      <c r="P27" s="131"/>
      <c r="Q27" s="264" t="s">
        <v>70</v>
      </c>
      <c r="R27" s="265"/>
      <c r="S27" s="137" t="str">
        <f>IFERROR(IF(AND(#REF!="Y",#REF!="N"),#REF!,IF(AND(#REF!&gt;0,End_Sections!S2="B"),IF(#REF!&lt;1000,#REF!+10,#REF!+20),#REF!)),"")</f>
        <v/>
      </c>
      <c r="T27" s="130"/>
      <c r="U27" s="131"/>
      <c r="V27" s="264" t="s">
        <v>70</v>
      </c>
      <c r="W27" s="265"/>
      <c r="X27" s="137" t="str">
        <f>IFERROR(IF(AND(#REF!="Y",#REF!="N"),#REF!,IF(AND(#REF!&gt;0,End_Sections!T2="B"),IF(#REF!&lt;1000,#REF!+10,#REF!+20),#REF!)),"")</f>
        <v/>
      </c>
      <c r="Y27" s="130"/>
      <c r="Z27" s="131"/>
      <c r="AA27" s="264" t="s">
        <v>70</v>
      </c>
      <c r="AB27" s="265"/>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3" t="s">
        <v>101</v>
      </c>
      <c r="C28" s="263"/>
      <c r="D28" s="145"/>
      <c r="E28" s="129"/>
      <c r="F28" s="129"/>
      <c r="G28" s="264" t="s">
        <v>71</v>
      </c>
      <c r="H28" s="266"/>
      <c r="I28" s="137" t="str">
        <f>IFERROR(IF(#REF!="","",#REF!-(SUM(#REF!))-(SUM(End_Sections!Q3,End_Sections!Q8))),"")</f>
        <v/>
      </c>
      <c r="J28" s="130"/>
      <c r="K28" s="131"/>
      <c r="L28" s="264" t="s">
        <v>71</v>
      </c>
      <c r="M28" s="266"/>
      <c r="N28" s="137" t="str">
        <f>IFERROR(IF(#REF!="","",#REF!-(SUM(#REF!))-(SUM(End_Sections!R3,End_Sections!R8))),"")</f>
        <v/>
      </c>
      <c r="O28" s="130"/>
      <c r="P28" s="131"/>
      <c r="Q28" s="264" t="s">
        <v>71</v>
      </c>
      <c r="R28" s="266"/>
      <c r="S28" s="137" t="str">
        <f>IFERROR(IF(#REF!="","",#REF!-(SUM(#REF!))-(SUM(End_Sections!S3,End_Sections!S8))),"")</f>
        <v/>
      </c>
      <c r="T28" s="130"/>
      <c r="U28" s="131"/>
      <c r="V28" s="264" t="s">
        <v>71</v>
      </c>
      <c r="W28" s="266"/>
      <c r="X28" s="137" t="str">
        <f>IFERROR(IF(#REF!="","",#REF!-(SUM(#REF!))-(SUM(End_Sections!T3,End_Sections!T8))),"")</f>
        <v/>
      </c>
      <c r="Y28" s="130"/>
      <c r="Z28" s="131"/>
      <c r="AA28" s="264" t="s">
        <v>71</v>
      </c>
      <c r="AB28" s="266"/>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3" t="s">
        <v>102</v>
      </c>
      <c r="C29" s="263"/>
      <c r="D29" s="145"/>
      <c r="E29" s="129"/>
      <c r="F29" s="129"/>
      <c r="G29" s="264" t="s">
        <v>75</v>
      </c>
      <c r="H29" s="266"/>
      <c r="I29" s="137" t="str">
        <f>IFERROR(IF(AND(#REF!="Y",#REF!="N"),J29,IF(End_Sections!Q2="A",IF(#REF!&lt;1000,J29+10,J29+20),J29)),"")</f>
        <v/>
      </c>
      <c r="J29" s="138" t="e">
        <f>IF(K29=0,"",K29)</f>
        <v>#REF!</v>
      </c>
      <c r="K29" s="131" t="e">
        <f>IF(#REF!=0,#REF!,IF(Aerial!BL3="",SUM(Aerial!BL2,End_Sections!Q4,End_Sections!Q9),Aerial!BL2))</f>
        <v>#REF!</v>
      </c>
      <c r="L29" s="264" t="s">
        <v>75</v>
      </c>
      <c r="M29" s="266"/>
      <c r="N29" s="137" t="str">
        <f>IFERROR(IF(AND(#REF!="Y",#REF!="N"),O29,IF(End_Sections!R2="A",IF(#REF!&lt;1000,O29+10,O29+20),O29)),"")</f>
        <v/>
      </c>
      <c r="O29" s="138" t="e">
        <f>IF(P29=0,"",P29)</f>
        <v>#REF!</v>
      </c>
      <c r="P29" s="131" t="e">
        <f>IF(#REF!=0,#REF!,IF(Aerial!BP3="",SUM(Aerial!BP2,End_Sections!R4,End_Sections!R9),Aerial!BP2))</f>
        <v>#REF!</v>
      </c>
      <c r="Q29" s="264" t="s">
        <v>75</v>
      </c>
      <c r="R29" s="266"/>
      <c r="S29" s="137" t="str">
        <f>IFERROR(IF(AND(#REF!="Y",#REF!="N"),T29,IF(End_Sections!S2="A",IF(#REF!&lt;1000,T29+10,T29+20),T29)),"")</f>
        <v/>
      </c>
      <c r="T29" s="138" t="e">
        <f>IF(U29=0,"",U29)</f>
        <v>#REF!</v>
      </c>
      <c r="U29" s="131" t="e">
        <f>IF(#REF!=0,#REF!,IF(Aerial!BT3="",SUM(Aerial!BT2,End_Sections!S4,End_Sections!S9),Aerial!BT2))</f>
        <v>#REF!</v>
      </c>
      <c r="V29" s="264" t="s">
        <v>75</v>
      </c>
      <c r="W29" s="266"/>
      <c r="X29" s="137" t="str">
        <f>IFERROR(IF(AND(#REF!="Y",#REF!="N"),Y29,IF(End_Sections!T2="A",IF(#REF!&lt;1000,Y29+10,Y29+20),Y29)),"")</f>
        <v/>
      </c>
      <c r="Y29" s="138" t="e">
        <f>IF(Z29=0,"",Z29)</f>
        <v>#REF!</v>
      </c>
      <c r="Z29" s="131" t="e">
        <f>IF(#REF!=0,#REF!,IF(Aerial!BX3="",SUM(Aerial!BX2,End_Sections!T4,End_Sections!T9),Aerial!BX2))</f>
        <v>#REF!</v>
      </c>
      <c r="AA29" s="264" t="s">
        <v>75</v>
      </c>
      <c r="AB29" s="266"/>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68"/>
      <c r="C30" s="268"/>
      <c r="D30" s="268"/>
      <c r="E30" s="129"/>
      <c r="F30" s="129"/>
      <c r="G30" s="264" t="s">
        <v>77</v>
      </c>
      <c r="H30" s="266"/>
      <c r="I30" s="137" t="e">
        <f>J30</f>
        <v>#REF!</v>
      </c>
      <c r="J30" s="138" t="e">
        <f>IF(K30=0,"",K30)</f>
        <v>#REF!</v>
      </c>
      <c r="K30" s="131" t="e">
        <f>IF(J29="","",IF(Aerial!BL3="","",SUM(Aerial!BL3,End_Sections!Q9)))</f>
        <v>#REF!</v>
      </c>
      <c r="L30" s="264" t="s">
        <v>77</v>
      </c>
      <c r="M30" s="266"/>
      <c r="N30" s="137" t="e">
        <f>O30</f>
        <v>#REF!</v>
      </c>
      <c r="O30" s="138" t="e">
        <f>IF(P30=0,"",P30)</f>
        <v>#REF!</v>
      </c>
      <c r="P30" s="131" t="e">
        <f>IF(O29="","",IF(Aerial!BP3="","",SUM(Aerial!BP3,End_Sections!R9)))</f>
        <v>#REF!</v>
      </c>
      <c r="Q30" s="264" t="s">
        <v>77</v>
      </c>
      <c r="R30" s="266"/>
      <c r="S30" s="137" t="e">
        <f>T30</f>
        <v>#REF!</v>
      </c>
      <c r="T30" s="138" t="e">
        <f>IF(U30=0,"",U30)</f>
        <v>#REF!</v>
      </c>
      <c r="U30" s="131" t="e">
        <f>IF(T29="","",IF(Aerial!BT3="","",SUM(Aerial!BT3,End_Sections!S9)))</f>
        <v>#REF!</v>
      </c>
      <c r="V30" s="264" t="s">
        <v>77</v>
      </c>
      <c r="W30" s="266"/>
      <c r="X30" s="137" t="e">
        <f>Y30</f>
        <v>#REF!</v>
      </c>
      <c r="Y30" s="138" t="e">
        <f>IF(Z30=0,"",Z30)</f>
        <v>#REF!</v>
      </c>
      <c r="Z30" s="131" t="e">
        <f>IF(Y29="","",IF(Aerial!BX3="","",SUM(Aerial!BX3,End_Sections!T9)))</f>
        <v>#REF!</v>
      </c>
      <c r="AA30" s="264" t="s">
        <v>77</v>
      </c>
      <c r="AB30" s="266"/>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9" t="s">
        <v>103</v>
      </c>
      <c r="H33" s="269"/>
      <c r="I33" s="269"/>
      <c r="J33" s="130"/>
      <c r="K33" s="131"/>
      <c r="L33" s="269" t="s">
        <v>104</v>
      </c>
      <c r="M33" s="269"/>
      <c r="N33" s="269"/>
      <c r="O33" s="130"/>
      <c r="P33" s="131"/>
      <c r="Q33" s="269" t="s">
        <v>105</v>
      </c>
      <c r="R33" s="269"/>
      <c r="S33" s="269"/>
      <c r="T33" s="130"/>
      <c r="U33" s="131"/>
      <c r="V33" s="269" t="s">
        <v>106</v>
      </c>
      <c r="W33" s="269"/>
      <c r="X33" s="269"/>
      <c r="Y33" s="130"/>
      <c r="Z33" s="131"/>
      <c r="AA33" s="269" t="s">
        <v>107</v>
      </c>
      <c r="AB33" s="269"/>
      <c r="AC33" s="269"/>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4" t="s">
        <v>70</v>
      </c>
      <c r="H34" s="265"/>
      <c r="I34" s="137" t="str">
        <f>IFERROR(IF(AND(#REF!="Y",#REF!="N"),I35,IF(AND(I35&gt;0,End_Sections!V2="B"),IF(#REF!&lt;1000,I35+10,I35+20),I35)),"")</f>
        <v/>
      </c>
      <c r="J34" s="130"/>
      <c r="K34" s="131"/>
      <c r="L34" s="264" t="s">
        <v>70</v>
      </c>
      <c r="M34" s="265"/>
      <c r="N34" s="137" t="str">
        <f>IFERROR(IF(AND(#REF!="Y",#REF!="N"),N35,IF(AND(N35&gt;0,End_Sections!W2="B"),IF(#REF!&lt;1000,N35+10,N35+20),N35)),"")</f>
        <v/>
      </c>
      <c r="O34" s="130"/>
      <c r="P34" s="131"/>
      <c r="Q34" s="264" t="s">
        <v>70</v>
      </c>
      <c r="R34" s="265"/>
      <c r="S34" s="137" t="str">
        <f>IFERROR(IF(AND(#REF!="Y",#REF!="N"),S35,IF(AND(S35&gt;0,End_Sections!X2="B"),IF(#REF!&lt;1000,S35+10,S35+20),S35)),"")</f>
        <v/>
      </c>
      <c r="T34" s="130"/>
      <c r="U34" s="131"/>
      <c r="V34" s="264" t="s">
        <v>70</v>
      </c>
      <c r="W34" s="265"/>
      <c r="X34" s="137" t="str">
        <f>IFERROR(IF(AND(#REF!="Y",#REF!="N"),X35,IF(AND(X35&gt;0,End_Sections!Y2="B"),IF(#REF!&lt;1000,X35+10,X35+20),X35)),"")</f>
        <v/>
      </c>
      <c r="Y34" s="130"/>
      <c r="Z34" s="131"/>
      <c r="AA34" s="264" t="s">
        <v>70</v>
      </c>
      <c r="AB34" s="265"/>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4" t="s">
        <v>72</v>
      </c>
      <c r="H35" s="265"/>
      <c r="I35" s="137" t="str">
        <f>IFERROR(IF(#REF!="","",IF(Aerial!CF2="",#REF!,#REF!-(SUM(Aerial!CF2,Aerial!CF3,End_Sections!V4,End_Sections!V9)))),"")</f>
        <v/>
      </c>
      <c r="J35" s="130"/>
      <c r="K35" s="131"/>
      <c r="L35" s="264" t="s">
        <v>72</v>
      </c>
      <c r="M35" s="265"/>
      <c r="N35" s="137" t="str">
        <f>IFERROR(IF(#REF!="","",IF(Aerial!CJ2="",#REF!,#REF!-(SUM(Aerial!CJ2,Aerial!CJ3,End_Sections!W4,End_Sections!W9)))),"")</f>
        <v/>
      </c>
      <c r="O35" s="130"/>
      <c r="P35" s="131"/>
      <c r="Q35" s="264" t="s">
        <v>72</v>
      </c>
      <c r="R35" s="265"/>
      <c r="S35" s="137" t="str">
        <f>IFERROR(IF(#REF!="","",IF(Aerial!CN2="",#REF!,#REF!-(SUM(Aerial!CN2,Aerial!CN3,End_Sections!X4,End_Sections!X9)))),"")</f>
        <v/>
      </c>
      <c r="T35" s="130"/>
      <c r="U35" s="131"/>
      <c r="V35" s="264" t="s">
        <v>72</v>
      </c>
      <c r="W35" s="265"/>
      <c r="X35" s="137" t="str">
        <f>IFERROR(IF(#REF!="","",IF(Aerial!CR2="",#REF!,#REF!-(SUM(Aerial!CR2,Aerial!CR3,End_Sections!Y4,End_Sections!Y9)))),"")</f>
        <v/>
      </c>
      <c r="Y35" s="130"/>
      <c r="Z35" s="131"/>
      <c r="AA35" s="264" t="s">
        <v>72</v>
      </c>
      <c r="AB35" s="265"/>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4" t="s">
        <v>71</v>
      </c>
      <c r="H36" s="266"/>
      <c r="I36" s="137" t="str">
        <f>IFERROR(IF(#REF!="","",I35-(SUM(#REF!))-(SUM(End_Sections!V3,End_Sections!V8))),"")</f>
        <v/>
      </c>
      <c r="J36" s="130"/>
      <c r="K36" s="131"/>
      <c r="L36" s="264" t="s">
        <v>71</v>
      </c>
      <c r="M36" s="266"/>
      <c r="N36" s="137" t="str">
        <f>IFERROR(IF(#REF!="","",N35-(SUM(#REF!))-(SUM(End_Sections!W3,End_Sections!W8))),"")</f>
        <v/>
      </c>
      <c r="O36" s="130"/>
      <c r="P36" s="131"/>
      <c r="Q36" s="264" t="s">
        <v>71</v>
      </c>
      <c r="R36" s="266"/>
      <c r="S36" s="137" t="str">
        <f>IFERROR(IF(#REF!="","",S35-(SUM(#REF!))-(SUM(End_Sections!X3,End_Sections!X8))),"")</f>
        <v/>
      </c>
      <c r="T36" s="130"/>
      <c r="U36" s="131"/>
      <c r="V36" s="264" t="s">
        <v>71</v>
      </c>
      <c r="W36" s="266"/>
      <c r="X36" s="137" t="str">
        <f>IFERROR(IF(#REF!="","",X35-(SUM(#REF!))-(SUM(End_Sections!Y3,End_Sections!Y8))),"")</f>
        <v/>
      </c>
      <c r="Y36" s="130"/>
      <c r="Z36" s="131"/>
      <c r="AA36" s="264" t="s">
        <v>71</v>
      </c>
      <c r="AB36" s="266"/>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4" t="s">
        <v>75</v>
      </c>
      <c r="H37" s="266"/>
      <c r="I37" s="137" t="str">
        <f>IFERROR(IF(AND(#REF!="Y",#REF!="N"),J37,IF(End_Sections!V2="A",IF(#REF!&lt;1000,J37+10,J37+20),J37)),"")</f>
        <v/>
      </c>
      <c r="J37" s="138" t="e">
        <f>IF(K37=0,"",K37)</f>
        <v>#REF!</v>
      </c>
      <c r="K37" s="131" t="e">
        <f>IF(I35=0,#REF!,IF(Aerial!CF3="",SUM(Aerial!CF2,End_Sections!V4,End_Sections!V9),Aerial!CF2))</f>
        <v>#REF!</v>
      </c>
      <c r="L37" s="264" t="s">
        <v>75</v>
      </c>
      <c r="M37" s="266"/>
      <c r="N37" s="137" t="str">
        <f>IFERROR(IF(AND(#REF!="Y",#REF!="N"),O37,IF(End_Sections!W2="A",IF(#REF!&lt;1000,O37+10,O37+20),O37)),"")</f>
        <v/>
      </c>
      <c r="O37" s="138" t="e">
        <f>IF(P37=0,"",P37)</f>
        <v>#REF!</v>
      </c>
      <c r="P37" s="131" t="e">
        <f>IF(N35=0,#REF!,IF(Aerial!CJ3="",SUM(Aerial!CJ2,End_Sections!W4,End_Sections!W9),Aerial!CJ2))</f>
        <v>#REF!</v>
      </c>
      <c r="Q37" s="264" t="s">
        <v>75</v>
      </c>
      <c r="R37" s="266"/>
      <c r="S37" s="137" t="str">
        <f>IFERROR(IF(AND(#REF!="Y",#REF!="N"),T37,IF(End_Sections!X2="A",IF(#REF!&lt;1000,T37+10,T37+20),T37)),"")</f>
        <v/>
      </c>
      <c r="T37" s="138" t="e">
        <f>IF(U37=0,"",U37)</f>
        <v>#REF!</v>
      </c>
      <c r="U37" s="131" t="e">
        <f>IF(S35=0,#REF!,IF(Aerial!CN3="",SUM(Aerial!CN2,End_Sections!X4,End_Sections!X9),Aerial!CN2))</f>
        <v>#REF!</v>
      </c>
      <c r="V37" s="264" t="s">
        <v>75</v>
      </c>
      <c r="W37" s="266"/>
      <c r="X37" s="137" t="str">
        <f>IFERROR(IF(AND(#REF!="Y",#REF!="N"),Y37,IF(End_Sections!Y2="A",IF(#REF!&lt;1000,Y37+10,Y37+20),Y37)),"")</f>
        <v/>
      </c>
      <c r="Y37" s="138" t="e">
        <f>IF(Z37=0,"",Z37)</f>
        <v>#REF!</v>
      </c>
      <c r="Z37" s="131" t="e">
        <f>IF(X35=0,#REF!,IF(Aerial!CR3="",SUM(Aerial!CR2,End_Sections!Y4,End_Sections!Y9),Aerial!CR2))</f>
        <v>#REF!</v>
      </c>
      <c r="AA37" s="264" t="s">
        <v>75</v>
      </c>
      <c r="AB37" s="266"/>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4" t="s">
        <v>77</v>
      </c>
      <c r="H38" s="266"/>
      <c r="I38" s="137" t="e">
        <f>J38</f>
        <v>#REF!</v>
      </c>
      <c r="J38" s="138" t="e">
        <f>IF(K38="","",K38)</f>
        <v>#REF!</v>
      </c>
      <c r="K38" s="131" t="e">
        <f>IF(J37="","",IF(Aerial!CF3="","",SUM(Aerial!CF3,End_Sections!V9)))</f>
        <v>#REF!</v>
      </c>
      <c r="L38" s="264" t="s">
        <v>77</v>
      </c>
      <c r="M38" s="266"/>
      <c r="N38" s="137" t="e">
        <f>O38</f>
        <v>#REF!</v>
      </c>
      <c r="O38" s="138" t="e">
        <f>IF(P38="","",P38)</f>
        <v>#REF!</v>
      </c>
      <c r="P38" s="131" t="e">
        <f>IF(O37="","",IF(Aerial!CJ3="","",SUM(Aerial!CJ3,End_Sections!W9)))</f>
        <v>#REF!</v>
      </c>
      <c r="Q38" s="264" t="s">
        <v>77</v>
      </c>
      <c r="R38" s="266"/>
      <c r="S38" s="137" t="e">
        <f>T38</f>
        <v>#REF!</v>
      </c>
      <c r="T38" s="138" t="e">
        <f>IF(U38="","",U38)</f>
        <v>#REF!</v>
      </c>
      <c r="U38" s="131" t="e">
        <f>IF(T37="","",IF(Aerial!CN3="","",SUM(Aerial!CN3,End_Sections!X9)))</f>
        <v>#REF!</v>
      </c>
      <c r="V38" s="264" t="s">
        <v>77</v>
      </c>
      <c r="W38" s="266"/>
      <c r="X38" s="137" t="e">
        <f>Y38</f>
        <v>#REF!</v>
      </c>
      <c r="Y38" s="138" t="e">
        <f>IF(Z38="","",Z38)</f>
        <v>#REF!</v>
      </c>
      <c r="Z38" s="131" t="e">
        <f>IF(Y37="","",IF(Aerial!CR3="","",SUM(Aerial!CR3,End_Sections!Y9)))</f>
        <v>#REF!</v>
      </c>
      <c r="AA38" s="264" t="s">
        <v>77</v>
      </c>
      <c r="AB38" s="266"/>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9" t="s">
        <v>108</v>
      </c>
      <c r="H41" s="269"/>
      <c r="I41" s="269"/>
      <c r="J41" s="130"/>
      <c r="K41" s="131"/>
      <c r="L41" s="269" t="s">
        <v>109</v>
      </c>
      <c r="M41" s="269"/>
      <c r="N41" s="269"/>
      <c r="O41" s="130"/>
      <c r="P41" s="131"/>
      <c r="Q41" s="269" t="s">
        <v>110</v>
      </c>
      <c r="R41" s="269"/>
      <c r="S41" s="269"/>
      <c r="T41" s="130"/>
      <c r="U41" s="131"/>
      <c r="V41" s="269" t="s">
        <v>111</v>
      </c>
      <c r="W41" s="269"/>
      <c r="X41" s="269"/>
      <c r="Y41" s="130"/>
      <c r="Z41" s="131"/>
      <c r="AA41" s="269" t="s">
        <v>112</v>
      </c>
      <c r="AB41" s="269"/>
      <c r="AC41" s="269"/>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4" t="s">
        <v>70</v>
      </c>
      <c r="H42" s="265"/>
      <c r="I42" s="137" t="str">
        <f>IFERROR(IF(AND(#REF!="Y",#REF!="N"),I43,IF(AND(I43&gt;0,End_Sections!AA2="B"),IF(#REF!&lt;1000,I43+10,I43+20),I43)),"")</f>
        <v/>
      </c>
      <c r="J42" s="130"/>
      <c r="K42" s="131"/>
      <c r="L42" s="264" t="s">
        <v>70</v>
      </c>
      <c r="M42" s="265"/>
      <c r="N42" s="137" t="str">
        <f>IFERROR(IF(AND(#REF!="Y",#REF!="N"),N43,IF(AND(N43&gt;0,End_Sections!AB2="B"),IF(#REF!&lt;1000,N43+10,N43+20),N43)),"")</f>
        <v/>
      </c>
      <c r="O42" s="130"/>
      <c r="P42" s="131"/>
      <c r="Q42" s="264" t="s">
        <v>70</v>
      </c>
      <c r="R42" s="265"/>
      <c r="S42" s="137" t="str">
        <f>IFERROR(IF(AND(#REF!="Y",#REF!="N"),S43,IF(AND(S43&gt;0,End_Sections!AC2="B"),IF(#REF!&lt;1000,S43+10,S43+20),S43)),"")</f>
        <v/>
      </c>
      <c r="T42" s="130"/>
      <c r="U42" s="131"/>
      <c r="V42" s="264" t="s">
        <v>70</v>
      </c>
      <c r="W42" s="265"/>
      <c r="X42" s="137" t="str">
        <f>IFERROR(IF(AND(#REF!="Y",#REF!="N"),X43,IF(AND(X43&gt;0,End_Sections!AD2="B"),IF(#REF!&lt;1000,X43+10,X43+20),X43)),"")</f>
        <v/>
      </c>
      <c r="Y42" s="130"/>
      <c r="Z42" s="131"/>
      <c r="AA42" s="264" t="s">
        <v>70</v>
      </c>
      <c r="AB42" s="265"/>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4" t="s">
        <v>72</v>
      </c>
      <c r="H43" s="265"/>
      <c r="I43" s="137" t="str">
        <f>IFERROR(IF(#REF!="","",IF(Aerial!CZ2="",#REF!,#REF!-(SUM(Aerial!CZ2,Aerial!CZ3,End_Sections!AA4,End_Sections!AA9)))),"")</f>
        <v/>
      </c>
      <c r="J43" s="130"/>
      <c r="K43" s="131"/>
      <c r="L43" s="264" t="s">
        <v>72</v>
      </c>
      <c r="M43" s="265"/>
      <c r="N43" s="137" t="str">
        <f>IFERROR(IF(#REF!="","",IF(Aerial!DD2="",#REF!,#REF!-(SUM(Aerial!DD2,Aerial!DD3,End_Sections!AB4,End_Sections!AB9)))),"")</f>
        <v/>
      </c>
      <c r="O43" s="130"/>
      <c r="P43" s="131"/>
      <c r="Q43" s="264" t="s">
        <v>72</v>
      </c>
      <c r="R43" s="265"/>
      <c r="S43" s="137" t="str">
        <f>IFERROR(IF(#REF!="","",IF(Aerial!DH2="",#REF!,#REF!-(SUM(Aerial!DH2,Aerial!DH3,End_Sections!AC4,End_Sections!AC9)))),"")</f>
        <v/>
      </c>
      <c r="T43" s="130"/>
      <c r="U43" s="131"/>
      <c r="V43" s="264" t="s">
        <v>72</v>
      </c>
      <c r="W43" s="265"/>
      <c r="X43" s="137" t="str">
        <f>IFERROR(IF(#REF!="","",IF(Aerial!DN2="",#REF!,#REF!-(SUM(Aerial!DL2,Aerial!DL3,End_Sections!AD4,End_Sections!AD9)))),"")</f>
        <v/>
      </c>
      <c r="Y43" s="130"/>
      <c r="Z43" s="131"/>
      <c r="AA43" s="264" t="s">
        <v>72</v>
      </c>
      <c r="AB43" s="265"/>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4" t="s">
        <v>71</v>
      </c>
      <c r="H44" s="266"/>
      <c r="I44" s="137" t="str">
        <f>IFERROR(IF(#REF!="","",I43-(SUM(#REF!))-(SUM(End_Sections!AA3,End_Sections!AA8))),"")</f>
        <v/>
      </c>
      <c r="J44" s="130"/>
      <c r="K44" s="131"/>
      <c r="L44" s="264" t="s">
        <v>71</v>
      </c>
      <c r="M44" s="266"/>
      <c r="N44" s="137" t="str">
        <f>IFERROR(IF(#REF!="","",N43-(SUM(#REF!))-(SUM(End_Sections!AB3,End_Sections!AB8))),"")</f>
        <v/>
      </c>
      <c r="O44" s="130"/>
      <c r="P44" s="131"/>
      <c r="Q44" s="264" t="s">
        <v>71</v>
      </c>
      <c r="R44" s="266"/>
      <c r="S44" s="137" t="str">
        <f>IFERROR(IF(#REF!="","",S43-(SUM(#REF!))-(SUM(End_Sections!AC3,End_Sections!AC8))),"")</f>
        <v/>
      </c>
      <c r="T44" s="130"/>
      <c r="U44" s="131"/>
      <c r="V44" s="264" t="s">
        <v>71</v>
      </c>
      <c r="W44" s="266"/>
      <c r="X44" s="137" t="str">
        <f>IFERROR(IF(#REF!="","",X43-(SUM(#REF!))-(SUM(End_Sections!AD3,End_Sections!AD8))),"")</f>
        <v/>
      </c>
      <c r="Y44" s="130"/>
      <c r="Z44" s="131"/>
      <c r="AA44" s="264" t="s">
        <v>71</v>
      </c>
      <c r="AB44" s="266"/>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4" t="s">
        <v>75</v>
      </c>
      <c r="H45" s="266"/>
      <c r="I45" s="137" t="str">
        <f>IFERROR(IF(AND(#REF!="Y",#REF!="N"),J45,IF(End_Sections!AA2="A",IF(#REF!&lt;1000,J45+10,J45+20),J45)),"")</f>
        <v/>
      </c>
      <c r="J45" s="138" t="e">
        <f>IF(K45=0,"",K45)</f>
        <v>#REF!</v>
      </c>
      <c r="K45" s="131" t="e">
        <f>IF(I43=0,#REF!,IF(Aerial!CZ3="",SUM(Aerial!CZ2,End_Sections!AA4,End_Sections!AA9),Aerial!CZ2))</f>
        <v>#REF!</v>
      </c>
      <c r="L45" s="264" t="s">
        <v>75</v>
      </c>
      <c r="M45" s="266"/>
      <c r="N45" s="137" t="str">
        <f>IFERROR(IF(AND(#REF!="Y",#REF!="N"),O45,IF(End_Sections!AB2="A",IF(#REF!&lt;1000,O45+10,O45+20),O45)),"")</f>
        <v/>
      </c>
      <c r="O45" s="138" t="e">
        <f>IF(P45=0,"",P45)</f>
        <v>#REF!</v>
      </c>
      <c r="P45" s="131" t="e">
        <f>IF(N43=0,#REF!,IF(Aerial!DD3="",SUM(Aerial!DD2,End_Sections!AB4,End_Sections!AB9),Aerial!DD2))</f>
        <v>#REF!</v>
      </c>
      <c r="Q45" s="264" t="s">
        <v>75</v>
      </c>
      <c r="R45" s="266"/>
      <c r="S45" s="137" t="str">
        <f>IFERROR(IF(AND(#REF!="Y",#REF!="N"),T45,IF(End_Sections!AC2="A",IF(#REF!&lt;1000,T45+10,T45+20),T45)),"")</f>
        <v/>
      </c>
      <c r="T45" s="138" t="e">
        <f>IF(U45=0,"",U45)</f>
        <v>#REF!</v>
      </c>
      <c r="U45" s="131" t="e">
        <f>IF(S43=0,#REF!,IF(Aerial!DH3="",SUM(Aerial!DH2,End_Sections!AC4,End_Sections!AC9),Aerial!DH2))</f>
        <v>#REF!</v>
      </c>
      <c r="V45" s="264" t="s">
        <v>75</v>
      </c>
      <c r="W45" s="266"/>
      <c r="X45" s="137" t="str">
        <f>IFERROR(IF(AND(#REF!="Y",#REF!="N"),Y45,IF(End_Sections!AD2="A",IF(#REF!&lt;1000,Y45+10,Y45+20),Y45)),"")</f>
        <v/>
      </c>
      <c r="Y45" s="138" t="e">
        <f>IF(Z45=0,"",Z45)</f>
        <v>#REF!</v>
      </c>
      <c r="Z45" s="131" t="e">
        <f>IF(X43=0,#REF!,IF(Aerial!DL3="",SUM(Aerial!DL2,End_Sections!AD4,End_Sections!AD9),Aerial!DL2))</f>
        <v>#REF!</v>
      </c>
      <c r="AA45" s="264" t="s">
        <v>75</v>
      </c>
      <c r="AB45" s="266"/>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4" t="s">
        <v>77</v>
      </c>
      <c r="H46" s="266"/>
      <c r="I46" s="137" t="e">
        <f>J46</f>
        <v>#REF!</v>
      </c>
      <c r="J46" s="138" t="e">
        <f>IF(K46=0,"",K46)</f>
        <v>#REF!</v>
      </c>
      <c r="K46" s="131" t="e">
        <f>IF(J45="","",IF(Aerial!CZ3="","",SUM(Aerial!CZ3,End_Sections!AA9)))</f>
        <v>#REF!</v>
      </c>
      <c r="L46" s="264" t="s">
        <v>77</v>
      </c>
      <c r="M46" s="266"/>
      <c r="N46" s="137" t="e">
        <f>O46</f>
        <v>#REF!</v>
      </c>
      <c r="O46" s="138" t="e">
        <f>IF(P46=0,"",P46)</f>
        <v>#REF!</v>
      </c>
      <c r="P46" s="131" t="e">
        <f>IF(O45="","",IF(Aerial!DD3="","",SUM(Aerial!DD3,End_Sections!AB9)))</f>
        <v>#REF!</v>
      </c>
      <c r="Q46" s="264" t="s">
        <v>77</v>
      </c>
      <c r="R46" s="266"/>
      <c r="S46" s="137" t="e">
        <f>T46</f>
        <v>#REF!</v>
      </c>
      <c r="T46" s="138" t="e">
        <f>IF(U46=0,"",U46)</f>
        <v>#REF!</v>
      </c>
      <c r="U46" s="131" t="e">
        <f>IF(T45="","",IF(Aerial!DH3="","",SUM(Aerial!DH3,End_Sections!AC9)))</f>
        <v>#REF!</v>
      </c>
      <c r="V46" s="264" t="s">
        <v>77</v>
      </c>
      <c r="W46" s="266"/>
      <c r="X46" s="137" t="e">
        <f>Y46</f>
        <v>#REF!</v>
      </c>
      <c r="Y46" s="138" t="e">
        <f>IF(Z46=0,"",Z46)</f>
        <v>#REF!</v>
      </c>
      <c r="Z46" s="131" t="e">
        <f>IF(Y45="","",IF(Aerial!DL3="","",SUM(Aerial!DL3,End_Sections!AD9)))</f>
        <v>#REF!</v>
      </c>
      <c r="AA46" s="264" t="s">
        <v>77</v>
      </c>
      <c r="AB46" s="266"/>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9" t="s">
        <v>113</v>
      </c>
      <c r="H49" s="269"/>
      <c r="I49" s="269"/>
      <c r="J49" s="130"/>
      <c r="K49" s="131"/>
      <c r="L49" s="269" t="s">
        <v>114</v>
      </c>
      <c r="M49" s="269"/>
      <c r="N49" s="269"/>
      <c r="O49" s="130"/>
      <c r="P49" s="131"/>
      <c r="Q49" s="269" t="s">
        <v>115</v>
      </c>
      <c r="R49" s="269"/>
      <c r="S49" s="269"/>
      <c r="T49" s="130"/>
      <c r="U49" s="131"/>
      <c r="V49" s="269" t="s">
        <v>116</v>
      </c>
      <c r="W49" s="269"/>
      <c r="X49" s="269"/>
      <c r="Y49" s="130"/>
      <c r="Z49" s="131"/>
      <c r="AA49" s="269" t="s">
        <v>117</v>
      </c>
      <c r="AB49" s="269"/>
      <c r="AC49" s="269"/>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4" t="s">
        <v>70</v>
      </c>
      <c r="H50" s="265"/>
      <c r="I50" s="137" t="str">
        <f>IFERROR(IF(AND(#REF!="Y",#REF!="N"),I51,IF(AND(I51&gt;0,End_Sections!AF2="B"),IF(#REF!&lt;1000,I51+10,I51+20),I51)),"")</f>
        <v/>
      </c>
      <c r="J50" s="130"/>
      <c r="K50" s="131"/>
      <c r="L50" s="264" t="s">
        <v>70</v>
      </c>
      <c r="M50" s="265"/>
      <c r="N50" s="137" t="str">
        <f>IFERROR(IF(AND(#REF!="Y",#REF!="N"),N51,IF(AND(N51&gt;0,End_Sections!AG2="B"),IF(#REF!&lt;1000,N51+10,N51+20),N51)),"")</f>
        <v/>
      </c>
      <c r="O50" s="130"/>
      <c r="P50" s="131"/>
      <c r="Q50" s="264" t="s">
        <v>70</v>
      </c>
      <c r="R50" s="265"/>
      <c r="S50" s="137" t="str">
        <f>IFERROR(IF(AND(#REF!="Y",#REF!="N"),S51,IF(AND(S51&gt;0,End_Sections!AH2="B"),IF(#REF!&lt;1000,S51+10,S51+20),S51)),"")</f>
        <v/>
      </c>
      <c r="T50" s="130"/>
      <c r="U50" s="131"/>
      <c r="V50" s="264" t="s">
        <v>70</v>
      </c>
      <c r="W50" s="265"/>
      <c r="X50" s="137" t="str">
        <f>IFERROR(IF(AND(#REF!="Y",#REF!="N"),X51,IF(AND(X51&gt;0,End_Sections!AI2="B"),IF(#REF!&lt;1000,X51+10,X51+20),X51)),"")</f>
        <v/>
      </c>
      <c r="Y50" s="130"/>
      <c r="Z50" s="131"/>
      <c r="AA50" s="264" t="s">
        <v>70</v>
      </c>
      <c r="AB50" s="265"/>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4" t="s">
        <v>72</v>
      </c>
      <c r="H51" s="265"/>
      <c r="I51" s="137" t="str">
        <f>IFERROR(IF(#REF!="","",IF(Aerial!DT2="",#REF!,#REF!-(SUM(Aerial!DT2,Aerial!DT3,End_Sections!AF4,End_Sections!AF9)))),"")</f>
        <v/>
      </c>
      <c r="J51" s="130"/>
      <c r="K51" s="131"/>
      <c r="L51" s="264" t="s">
        <v>72</v>
      </c>
      <c r="M51" s="265"/>
      <c r="N51" s="137" t="str">
        <f>IFERROR(IF(#REF!="","",IF(Aerial!DX2="",#REF!,#REF!-(SUM(Aerial!DX2,Aerial!DX3,End_Sections!AG4,End_Sections!AG9)))),"")</f>
        <v/>
      </c>
      <c r="O51" s="130"/>
      <c r="P51" s="131"/>
      <c r="Q51" s="264" t="s">
        <v>72</v>
      </c>
      <c r="R51" s="265"/>
      <c r="S51" s="137" t="str">
        <f>IFERROR(IF(#REF!="","",IF(Aerial!EB2="",#REF!,#REF!-(SUM(Aerial!EB2,Aerial!EB3,End_Sections!AH4,End_Sections!AH9)))),"")</f>
        <v/>
      </c>
      <c r="T51" s="130"/>
      <c r="U51" s="131"/>
      <c r="V51" s="264" t="s">
        <v>72</v>
      </c>
      <c r="W51" s="265"/>
      <c r="X51" s="137" t="str">
        <f>IFERROR(IF(#REF!="","",IF(Aerial!EF2="",#REF!,#REF!-(SUM(Aerial!EF2,Aerial!EF3,End_Sections!AI4,End_Sections!AI9)))),"")</f>
        <v/>
      </c>
      <c r="Y51" s="130"/>
      <c r="Z51" s="131"/>
      <c r="AA51" s="264" t="s">
        <v>72</v>
      </c>
      <c r="AB51" s="265"/>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4" t="s">
        <v>71</v>
      </c>
      <c r="H52" s="266"/>
      <c r="I52" s="137" t="str">
        <f>IFERROR(IF(#REF!="","",I51-(SUM(#REF!))-(SUM(End_Sections!AF3,End_Sections!AF8))),"")</f>
        <v/>
      </c>
      <c r="J52" s="130"/>
      <c r="K52" s="131"/>
      <c r="L52" s="264" t="s">
        <v>71</v>
      </c>
      <c r="M52" s="266"/>
      <c r="N52" s="137" t="str">
        <f>IFERROR(IF(#REF!="","",N51-(SUM(#REF!))-(SUM(End_Sections!AG3,End_Sections!AG8))),"")</f>
        <v/>
      </c>
      <c r="O52" s="130"/>
      <c r="P52" s="131"/>
      <c r="Q52" s="264" t="s">
        <v>71</v>
      </c>
      <c r="R52" s="266"/>
      <c r="S52" s="137" t="str">
        <f>IFERROR(IF(#REF!="","",S51-(SUM(#REF!))-(SUM(End_Sections!AH3,End_Sections!AH8))),"")</f>
        <v/>
      </c>
      <c r="T52" s="130"/>
      <c r="U52" s="131"/>
      <c r="V52" s="264" t="s">
        <v>71</v>
      </c>
      <c r="W52" s="266"/>
      <c r="X52" s="137" t="str">
        <f>IFERROR(IF(#REF!="","",X51-(SUM(#REF!))-(SUM(End_Sections!AI3,End_Sections!AI8))),"")</f>
        <v/>
      </c>
      <c r="Y52" s="130"/>
      <c r="Z52" s="131"/>
      <c r="AA52" s="264" t="s">
        <v>71</v>
      </c>
      <c r="AB52" s="266"/>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4" t="s">
        <v>75</v>
      </c>
      <c r="H53" s="266"/>
      <c r="I53" s="137" t="str">
        <f>IFERROR(IF(AND(#REF!="Y",#REF!="N"),J53,IF(End_Sections!AF2="A",IF(#REF!&lt;1000,J53+10,J53+20),J53)),"")</f>
        <v/>
      </c>
      <c r="J53" s="138" t="e">
        <f>IF(K53=0,"",K53)</f>
        <v>#REF!</v>
      </c>
      <c r="K53" s="131" t="e">
        <f>IF(I51=0,#REF!,IF(Aerial!DT3="",SUM(Aerial!DT2,End_Sections!AF4,End_Sections!AF9),Aerial!DT2))</f>
        <v>#REF!</v>
      </c>
      <c r="L53" s="264" t="s">
        <v>75</v>
      </c>
      <c r="M53" s="266"/>
      <c r="N53" s="137" t="str">
        <f>IFERROR(IF(AND(#REF!="Y",#REF!="N"),O53,IF(End_Sections!AG2="A",IF(#REF!&lt;1000,O53+10,O53+20),O53)),"")</f>
        <v/>
      </c>
      <c r="O53" s="138" t="e">
        <f>IF(P53=0,"",P53)</f>
        <v>#REF!</v>
      </c>
      <c r="P53" s="131" t="e">
        <f>IF(N51=0,#REF!,IF(Aerial!DX3="",SUM(Aerial!DX2,End_Sections!AG4,End_Sections!AG9),Aerial!DX2))</f>
        <v>#REF!</v>
      </c>
      <c r="Q53" s="264" t="s">
        <v>75</v>
      </c>
      <c r="R53" s="266"/>
      <c r="S53" s="137" t="str">
        <f>IFERROR(IF(AND(#REF!="Y",#REF!="N"),T53,IF(End_Sections!AH2="A",IF(#REF!&lt;1000,T53+10,T53+20),T53)),"")</f>
        <v/>
      </c>
      <c r="T53" s="138" t="e">
        <f>IF(U53=0,"",U53)</f>
        <v>#REF!</v>
      </c>
      <c r="U53" s="131" t="e">
        <f>IF(S51=0,#REF!,IF(Aerial!EB3="",SUM(Aerial!EB2,End_Sections!AH4,End_Sections!AH9),Aerial!EB2))</f>
        <v>#REF!</v>
      </c>
      <c r="V53" s="264" t="s">
        <v>75</v>
      </c>
      <c r="W53" s="266"/>
      <c r="X53" s="137" t="str">
        <f>IFERROR(IF(AND(#REF!="Y",#REF!="N"),Y53,IF(End_Sections!AI2="A",IF(#REF!&lt;1000,Y53+10,Y53+20),Y53)),"")</f>
        <v/>
      </c>
      <c r="Y53" s="138" t="e">
        <f>IF(Z53=0,"",Z53)</f>
        <v>#REF!</v>
      </c>
      <c r="Z53" s="131" t="e">
        <f>IF(X51=0,#REF!,IF(Aerial!EF3="",SUM(Aerial!EF2,End_Sections!AI4,End_Sections!AI9),Aerial!EF2))</f>
        <v>#REF!</v>
      </c>
      <c r="AA53" s="264" t="s">
        <v>75</v>
      </c>
      <c r="AB53" s="266"/>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4" t="s">
        <v>77</v>
      </c>
      <c r="H54" s="266"/>
      <c r="I54" s="137" t="e">
        <f>J54</f>
        <v>#REF!</v>
      </c>
      <c r="J54" s="138" t="e">
        <f>IF(K54=0,"",K54)</f>
        <v>#REF!</v>
      </c>
      <c r="K54" s="131" t="e">
        <f>IF(J53="","",IF(Aerial!DT3="","",SUM(Aerial!DT3,End_Sections!AF9)))</f>
        <v>#REF!</v>
      </c>
      <c r="L54" s="264" t="s">
        <v>77</v>
      </c>
      <c r="M54" s="266"/>
      <c r="N54" s="137" t="e">
        <f>O54</f>
        <v>#REF!</v>
      </c>
      <c r="O54" s="138" t="e">
        <f>IF(P54=0,"",P54)</f>
        <v>#REF!</v>
      </c>
      <c r="P54" s="131" t="e">
        <f>IF(O53="","",IF(Aerial!DX3="","",SUM(Aerial!DX3,End_Sections!AG9)))</f>
        <v>#REF!</v>
      </c>
      <c r="Q54" s="264" t="s">
        <v>77</v>
      </c>
      <c r="R54" s="266"/>
      <c r="S54" s="137" t="e">
        <f>T54</f>
        <v>#REF!</v>
      </c>
      <c r="T54" s="138" t="e">
        <f>IF(U54=0,"",U54)</f>
        <v>#REF!</v>
      </c>
      <c r="U54" s="131" t="e">
        <f>IF(T53="","",IF(Aerial!EB3="","",SUM(Aerial!EB3,End_Sections!AH9)))</f>
        <v>#REF!</v>
      </c>
      <c r="V54" s="264" t="s">
        <v>77</v>
      </c>
      <c r="W54" s="266"/>
      <c r="X54" s="137" t="e">
        <f>Y54</f>
        <v>#REF!</v>
      </c>
      <c r="Y54" s="138" t="e">
        <f>IF(Z54=0,"",Z54)</f>
        <v>#REF!</v>
      </c>
      <c r="Z54" s="131" t="e">
        <f>IF(Y53="","",IF(Aerial!EF3="","",SUM(Aerial!EF3,End_Sections!AI9)))</f>
        <v>#REF!</v>
      </c>
      <c r="AA54" s="264" t="s">
        <v>77</v>
      </c>
      <c r="AB54" s="266"/>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9" t="s">
        <v>118</v>
      </c>
      <c r="H57" s="269"/>
      <c r="I57" s="269"/>
      <c r="J57" s="130"/>
      <c r="K57" s="131"/>
      <c r="L57" s="269" t="s">
        <v>119</v>
      </c>
      <c r="M57" s="269"/>
      <c r="N57" s="269"/>
      <c r="O57" s="130"/>
      <c r="P57" s="131"/>
      <c r="Q57" s="269" t="s">
        <v>120</v>
      </c>
      <c r="R57" s="269"/>
      <c r="S57" s="269"/>
      <c r="T57" s="130"/>
      <c r="U57" s="131"/>
      <c r="V57" s="269" t="s">
        <v>121</v>
      </c>
      <c r="W57" s="269"/>
      <c r="X57" s="269"/>
      <c r="Y57" s="130"/>
      <c r="Z57" s="131"/>
      <c r="AA57" s="269" t="s">
        <v>122</v>
      </c>
      <c r="AB57" s="269"/>
      <c r="AC57" s="269"/>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4" t="s">
        <v>70</v>
      </c>
      <c r="H58" s="265"/>
      <c r="I58" s="137" t="str">
        <f>IFERROR(IF(AND(#REF!="Y",#REF!="N"),I59,IF(AND(I59&gt;0,End_Sections!AK2="B"),IF(#REF!&lt;1000,I59+10,I59+20),I59)),"")</f>
        <v/>
      </c>
      <c r="J58" s="130"/>
      <c r="K58" s="131"/>
      <c r="L58" s="264" t="s">
        <v>70</v>
      </c>
      <c r="M58" s="265"/>
      <c r="N58" s="137" t="str">
        <f>IFERROR(IF(AND(#REF!="Y",#REF!="N"),N59,IF(AND(N59&gt;0,End_Sections!AL2="B"),IF(#REF!&lt;1000,N59+10,N59+20),N59)),"")</f>
        <v/>
      </c>
      <c r="O58" s="130"/>
      <c r="P58" s="131"/>
      <c r="Q58" s="264" t="s">
        <v>70</v>
      </c>
      <c r="R58" s="265"/>
      <c r="S58" s="137" t="str">
        <f>IFERROR(IF(AND(#REF!="Y",#REF!="N"),S59,IF(AND(S59&gt;0,End_Sections!AM2="B"),IF(#REF!&lt;1000,S59+10,S59+20),S59)),"")</f>
        <v/>
      </c>
      <c r="T58" s="130"/>
      <c r="U58" s="131"/>
      <c r="V58" s="264" t="s">
        <v>70</v>
      </c>
      <c r="W58" s="265"/>
      <c r="X58" s="137" t="str">
        <f>IFERROR(IF(AND(#REF!="Y",#REF!="N"),X59,IF(AND(X59&gt;0,End_Sections!AN2="B"),IF(#REF!&lt;1000,X59+10,X59+20),X59)),"")</f>
        <v/>
      </c>
      <c r="Y58" s="130"/>
      <c r="Z58" s="131"/>
      <c r="AA58" s="264" t="s">
        <v>70</v>
      </c>
      <c r="AB58" s="265"/>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4" t="s">
        <v>72</v>
      </c>
      <c r="H59" s="265"/>
      <c r="I59" s="137" t="str">
        <f>IFERROR(IF(#REF!="","",IF(Aerial!EN2="",#REF!,#REF!-(SUM(Aerial!EN2,Aerial!EN3,End_Sections!AK4,End_Sections!AK9)))),"")</f>
        <v/>
      </c>
      <c r="J59" s="130"/>
      <c r="K59" s="131"/>
      <c r="L59" s="264" t="s">
        <v>72</v>
      </c>
      <c r="M59" s="265"/>
      <c r="N59" s="137" t="str">
        <f>IFERROR(IF(#REF!="","",IF(Aerial!ER2="",#REF!,#REF!-(SUM(Aerial!ER2,Aerial!ER3,End_Sections!AL4,End_Sections!AL9)))),"")</f>
        <v/>
      </c>
      <c r="O59" s="130"/>
      <c r="P59" s="131"/>
      <c r="Q59" s="264" t="s">
        <v>72</v>
      </c>
      <c r="R59" s="265"/>
      <c r="S59" s="137" t="str">
        <f>IFERROR(IF(#REF!="","",IF(Aerial!EV2="",#REF!,#REF!-(SUM(Aerial!EV2,Aerial!EV3,End_Sections!AM4,End_Sections!AM9)))),"")</f>
        <v/>
      </c>
      <c r="T59" s="130"/>
      <c r="U59" s="131"/>
      <c r="V59" s="264" t="s">
        <v>72</v>
      </c>
      <c r="W59" s="265"/>
      <c r="X59" s="137" t="str">
        <f>IFERROR(IF(#REF!="","",IF(Aerial!EZ2="",#REF!,#REF!-(SUM(Aerial!EZ2,Aerial!EZ3,End_Sections!AN4,End_Sections!AN9)))),"")</f>
        <v/>
      </c>
      <c r="Y59" s="130"/>
      <c r="Z59" s="131"/>
      <c r="AA59" s="264" t="s">
        <v>72</v>
      </c>
      <c r="AB59" s="265"/>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4" t="s">
        <v>71</v>
      </c>
      <c r="H60" s="266"/>
      <c r="I60" s="137" t="str">
        <f>IFERROR(IF(#REF!="","",I59-(SUM(#REF!))-(SUM(End_Sections!AK3,End_Sections!AK8))),"")</f>
        <v/>
      </c>
      <c r="J60" s="130"/>
      <c r="K60" s="131"/>
      <c r="L60" s="264" t="s">
        <v>71</v>
      </c>
      <c r="M60" s="266"/>
      <c r="N60" s="137" t="str">
        <f>IFERROR(IF(#REF!="","",N59-(SUM(#REF!))-(SUM(End_Sections!AL3,End_Sections!AL8))),"")</f>
        <v/>
      </c>
      <c r="O60" s="130"/>
      <c r="P60" s="131"/>
      <c r="Q60" s="264" t="s">
        <v>71</v>
      </c>
      <c r="R60" s="266"/>
      <c r="S60" s="137" t="str">
        <f>IFERROR(IF(#REF!="","",S59-(SUM(#REF!))-(SUM(End_Sections!AM3,End_Sections!AM8))),"")</f>
        <v/>
      </c>
      <c r="T60" s="130"/>
      <c r="U60" s="131"/>
      <c r="V60" s="264" t="s">
        <v>71</v>
      </c>
      <c r="W60" s="266"/>
      <c r="X60" s="137" t="str">
        <f>IFERROR(IF(#REF!="","",X59-(SUM(#REF!))-(SUM(End_Sections!AN3,End_Sections!AN8))),"")</f>
        <v/>
      </c>
      <c r="Y60" s="130"/>
      <c r="Z60" s="131"/>
      <c r="AA60" s="264" t="s">
        <v>71</v>
      </c>
      <c r="AB60" s="266"/>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4" t="s">
        <v>75</v>
      </c>
      <c r="H61" s="266"/>
      <c r="I61" s="137" t="str">
        <f>IFERROR(IF(AND(#REF!="Y",#REF!="N"),J61,IF(End_Sections!AK2="A",IF(#REF!&lt;1000,J61+10,J61+20),J61)),"")</f>
        <v/>
      </c>
      <c r="J61" s="138" t="e">
        <f>IF(K61=0,"",K61)</f>
        <v>#REF!</v>
      </c>
      <c r="K61" s="131" t="e">
        <f>IF(I59=0,#REF!,IF(Aerial!EN3="",SUM(Aerial!EN2,End_Sections!AK4,End_Sections!AK9),Aerial!EN2))</f>
        <v>#REF!</v>
      </c>
      <c r="L61" s="264" t="s">
        <v>75</v>
      </c>
      <c r="M61" s="266"/>
      <c r="N61" s="137" t="str">
        <f>IFERROR(IF(AND(#REF!="Y",#REF!="N"),O61,IF(End_Sections!AL2="A",IF(#REF!&lt;1000,O61+10,O61+20),O61)),"")</f>
        <v/>
      </c>
      <c r="O61" s="138" t="e">
        <f>IF(P61=0,"",P61)</f>
        <v>#REF!</v>
      </c>
      <c r="P61" s="131" t="e">
        <f>IF(N59=0,#REF!,IF(Aerial!ER3="",SUM(Aerial!ER2,End_Sections!AL4,End_Sections!AL9),Aerial!ER2))</f>
        <v>#REF!</v>
      </c>
      <c r="Q61" s="264" t="s">
        <v>75</v>
      </c>
      <c r="R61" s="266"/>
      <c r="S61" s="137" t="str">
        <f>IFERROR(IF(AND(#REF!="Y",#REF!="N"),T61,IF(End_Sections!AM2="A",IF(#REF!&lt;1000,T61+10,T61+20),T61)),"")</f>
        <v/>
      </c>
      <c r="T61" s="138" t="e">
        <f>IF(U61=0,"",U61)</f>
        <v>#REF!</v>
      </c>
      <c r="U61" s="131" t="e">
        <f>IF(S59=0,#REF!,IF(Aerial!EV3="",SUM(Aerial!EV2,End_Sections!AM4,End_Sections!AM9),Aerial!EV2))</f>
        <v>#REF!</v>
      </c>
      <c r="V61" s="264" t="s">
        <v>75</v>
      </c>
      <c r="W61" s="266"/>
      <c r="X61" s="137" t="str">
        <f>IFERROR(IF(AND(#REF!="Y",#REF!="N"),Y61,IF(End_Sections!AN2="A",IF(#REF!&lt;1000,Y61+10,Y61+20),Y61)),"")</f>
        <v/>
      </c>
      <c r="Y61" s="138" t="e">
        <f>IF(Z61=0,"",Z61)</f>
        <v>#REF!</v>
      </c>
      <c r="Z61" s="131" t="e">
        <f>IF(X59=0,#REF!,IF(Aerial!EZ3="",SUM(Aerial!EZ2,End_Sections!AN4,End_Sections!AN9),Aerial!EZ2))</f>
        <v>#REF!</v>
      </c>
      <c r="AA61" s="264" t="s">
        <v>75</v>
      </c>
      <c r="AB61" s="266"/>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4" t="s">
        <v>77</v>
      </c>
      <c r="H62" s="266"/>
      <c r="I62" s="137" t="e">
        <f>J62</f>
        <v>#REF!</v>
      </c>
      <c r="J62" s="138" t="e">
        <f>IF(K62=0,"",K62)</f>
        <v>#REF!</v>
      </c>
      <c r="K62" s="131" t="e">
        <f>IF(J61="","",IF(Aerial!EN3="","",SUM(Aerial!EN3,End_Sections!AK9)))</f>
        <v>#REF!</v>
      </c>
      <c r="L62" s="264" t="s">
        <v>77</v>
      </c>
      <c r="M62" s="266"/>
      <c r="N62" s="137" t="e">
        <f>O62</f>
        <v>#REF!</v>
      </c>
      <c r="O62" s="138" t="e">
        <f>IF(P62=0,"",P62)</f>
        <v>#REF!</v>
      </c>
      <c r="P62" s="131" t="e">
        <f>IF(O61="","",IF(Aerial!ER3="","",SUM(Aerial!ER3,End_Sections!AL9)))</f>
        <v>#REF!</v>
      </c>
      <c r="Q62" s="264" t="s">
        <v>77</v>
      </c>
      <c r="R62" s="266"/>
      <c r="S62" s="137" t="e">
        <f>T62</f>
        <v>#REF!</v>
      </c>
      <c r="T62" s="138" t="e">
        <f>IF(U62=0,"",U62)</f>
        <v>#REF!</v>
      </c>
      <c r="U62" s="131" t="e">
        <f>IF(T61="","",IF(Aerial!EV3="","",SUM(Aerial!EV3,End_Sections!AM9)))</f>
        <v>#REF!</v>
      </c>
      <c r="V62" s="264" t="s">
        <v>77</v>
      </c>
      <c r="W62" s="266"/>
      <c r="X62" s="137" t="e">
        <f>Y62</f>
        <v>#REF!</v>
      </c>
      <c r="Y62" s="138" t="e">
        <f>IF(Z62=0,"",Z62)</f>
        <v>#REF!</v>
      </c>
      <c r="Z62" s="131" t="e">
        <f>IF(Y61="","",IF(Aerial!EZ3="","",SUM(Aerial!EZ3,End_Sections!AN9)))</f>
        <v>#REF!</v>
      </c>
      <c r="AA62" s="264" t="s">
        <v>77</v>
      </c>
      <c r="AB62" s="266"/>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opLeftCell="CI1" zoomScale="115" zoomScaleNormal="115" workbookViewId="0">
      <pane ySplit="8" topLeftCell="A9" activePane="bottomLeft" state="frozen"/>
      <selection pane="bottomLeft" activeCell="EV19" sqref="EV19"/>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5" t="s">
        <v>123</v>
      </c>
      <c r="B1" s="275"/>
      <c r="C1" s="275"/>
      <c r="D1" s="275"/>
      <c r="F1" s="275" t="s">
        <v>124</v>
      </c>
      <c r="G1" s="275"/>
      <c r="H1" s="275"/>
      <c r="I1" s="275"/>
      <c r="K1" s="275" t="s">
        <v>125</v>
      </c>
      <c r="L1" s="275"/>
      <c r="M1" s="275"/>
      <c r="N1" s="275"/>
      <c r="P1" s="275" t="s">
        <v>126</v>
      </c>
      <c r="Q1" s="275"/>
      <c r="R1" s="275"/>
      <c r="S1" s="275"/>
      <c r="U1" s="275" t="s">
        <v>127</v>
      </c>
      <c r="V1" s="275"/>
      <c r="W1" s="275"/>
      <c r="X1" s="275"/>
      <c r="Z1" s="275" t="s">
        <v>128</v>
      </c>
      <c r="AA1" s="275"/>
      <c r="AB1" s="275"/>
      <c r="AC1" s="275"/>
      <c r="AE1" s="275" t="s">
        <v>129</v>
      </c>
      <c r="AF1" s="275"/>
      <c r="AG1" s="275"/>
      <c r="AH1" s="275"/>
      <c r="AJ1" s="275" t="s">
        <v>130</v>
      </c>
      <c r="AK1" s="275"/>
      <c r="AL1" s="275"/>
      <c r="AM1" s="275"/>
      <c r="AO1" s="275" t="s">
        <v>131</v>
      </c>
      <c r="AP1" s="275"/>
      <c r="AQ1" s="275"/>
      <c r="AR1" s="275"/>
      <c r="AT1" s="275" t="s">
        <v>132</v>
      </c>
      <c r="AU1" s="275"/>
      <c r="AV1" s="275"/>
      <c r="AW1" s="275"/>
      <c r="AY1" s="275" t="s">
        <v>133</v>
      </c>
      <c r="AZ1" s="275"/>
      <c r="BA1" s="275"/>
      <c r="BB1" s="275"/>
      <c r="BD1" s="275" t="s">
        <v>134</v>
      </c>
      <c r="BE1" s="275"/>
      <c r="BF1" s="275"/>
      <c r="BG1" s="275"/>
      <c r="BI1" s="275" t="s">
        <v>135</v>
      </c>
      <c r="BJ1" s="275"/>
      <c r="BK1" s="275"/>
      <c r="BL1" s="275"/>
      <c r="BN1" s="275" t="s">
        <v>136</v>
      </c>
      <c r="BO1" s="275"/>
      <c r="BP1" s="275"/>
      <c r="BQ1" s="275"/>
      <c r="BS1" s="275" t="s">
        <v>137</v>
      </c>
      <c r="BT1" s="275"/>
      <c r="BU1" s="275"/>
      <c r="BV1" s="275"/>
      <c r="BX1" s="275" t="s">
        <v>138</v>
      </c>
      <c r="BY1" s="275"/>
      <c r="BZ1" s="275"/>
      <c r="CA1" s="275"/>
      <c r="CC1" s="275" t="s">
        <v>139</v>
      </c>
      <c r="CD1" s="275"/>
      <c r="CE1" s="275"/>
      <c r="CF1" s="275"/>
      <c r="CH1" s="275" t="s">
        <v>140</v>
      </c>
      <c r="CI1" s="275"/>
      <c r="CJ1" s="275"/>
      <c r="CK1" s="275"/>
      <c r="CM1" s="275" t="s">
        <v>141</v>
      </c>
      <c r="CN1" s="275"/>
      <c r="CO1" s="275"/>
      <c r="CP1" s="275"/>
      <c r="CR1" s="275" t="s">
        <v>142</v>
      </c>
      <c r="CS1" s="275"/>
      <c r="CT1" s="275"/>
      <c r="CU1" s="275"/>
      <c r="CW1" s="275" t="s">
        <v>143</v>
      </c>
      <c r="CX1" s="275"/>
      <c r="CY1" s="275"/>
      <c r="CZ1" s="275"/>
      <c r="DB1" s="275" t="s">
        <v>144</v>
      </c>
      <c r="DC1" s="275"/>
      <c r="DD1" s="275"/>
      <c r="DE1" s="275"/>
      <c r="DG1" s="275" t="s">
        <v>145</v>
      </c>
      <c r="DH1" s="275"/>
      <c r="DI1" s="275"/>
      <c r="DJ1" s="275"/>
      <c r="DL1" s="275" t="s">
        <v>146</v>
      </c>
      <c r="DM1" s="275"/>
      <c r="DN1" s="275"/>
      <c r="DO1" s="275"/>
      <c r="DQ1" s="275" t="s">
        <v>147</v>
      </c>
      <c r="DR1" s="275"/>
      <c r="DS1" s="275"/>
      <c r="DT1" s="275"/>
      <c r="DV1" s="275" t="s">
        <v>148</v>
      </c>
      <c r="DW1" s="275"/>
      <c r="DX1" s="275"/>
      <c r="DY1" s="275"/>
      <c r="EA1" s="275" t="s">
        <v>149</v>
      </c>
      <c r="EB1" s="275"/>
      <c r="EC1" s="275"/>
      <c r="ED1" s="275"/>
      <c r="EF1" s="275" t="s">
        <v>150</v>
      </c>
      <c r="EG1" s="275"/>
      <c r="EH1" s="275"/>
      <c r="EI1" s="275"/>
      <c r="EK1" s="275" t="s">
        <v>151</v>
      </c>
      <c r="EL1" s="275"/>
      <c r="EM1" s="275"/>
      <c r="EN1" s="275"/>
      <c r="EP1" s="275" t="s">
        <v>152</v>
      </c>
      <c r="EQ1" s="275"/>
      <c r="ER1" s="275"/>
      <c r="ES1" s="275"/>
      <c r="EU1" s="275" t="s">
        <v>153</v>
      </c>
      <c r="EV1" s="275"/>
      <c r="EW1" s="275"/>
      <c r="EX1" s="275"/>
      <c r="EZ1" s="275" t="s">
        <v>154</v>
      </c>
      <c r="FA1" s="275"/>
      <c r="FB1" s="275"/>
      <c r="FC1" s="275"/>
      <c r="FE1" s="275" t="s">
        <v>155</v>
      </c>
      <c r="FF1" s="275"/>
      <c r="FG1" s="275"/>
      <c r="FH1" s="275"/>
      <c r="FJ1" s="275" t="s">
        <v>156</v>
      </c>
      <c r="FK1" s="275"/>
      <c r="FL1" s="275"/>
      <c r="FM1" s="275"/>
      <c r="FO1" s="275" t="s">
        <v>157</v>
      </c>
      <c r="FP1" s="275"/>
      <c r="FQ1" s="275"/>
      <c r="FR1" s="275"/>
      <c r="FT1" s="275" t="s">
        <v>158</v>
      </c>
      <c r="FU1" s="275"/>
      <c r="FV1" s="275"/>
      <c r="FW1" s="275"/>
      <c r="FY1" s="275" t="s">
        <v>159</v>
      </c>
      <c r="FZ1" s="275"/>
      <c r="GA1" s="275"/>
      <c r="GB1" s="275"/>
      <c r="GD1" s="275" t="s">
        <v>160</v>
      </c>
      <c r="GE1" s="275"/>
      <c r="GF1" s="275"/>
      <c r="GG1" s="275"/>
      <c r="GI1" s="275" t="s">
        <v>161</v>
      </c>
      <c r="GJ1" s="275"/>
      <c r="GK1" s="275"/>
      <c r="GL1" s="275"/>
      <c r="GN1" s="275" t="s">
        <v>162</v>
      </c>
      <c r="GO1" s="275"/>
      <c r="GP1" s="275"/>
      <c r="GQ1" s="275"/>
      <c r="GS1" s="275" t="s">
        <v>163</v>
      </c>
      <c r="GT1" s="275"/>
      <c r="GU1" s="275"/>
      <c r="GV1" s="275"/>
      <c r="GX1" s="275" t="s">
        <v>164</v>
      </c>
      <c r="GY1" s="275"/>
      <c r="GZ1" s="275"/>
      <c r="HA1" s="275"/>
      <c r="HC1" s="275" t="s">
        <v>165</v>
      </c>
      <c r="HD1" s="275"/>
      <c r="HE1" s="275"/>
      <c r="HF1" s="275"/>
      <c r="HH1" s="275" t="s">
        <v>166</v>
      </c>
      <c r="HI1" s="275"/>
      <c r="HJ1" s="275"/>
      <c r="HK1" s="275"/>
      <c r="HM1" s="275" t="s">
        <v>167</v>
      </c>
      <c r="HN1" s="275"/>
      <c r="HO1" s="275"/>
      <c r="HP1" s="275"/>
      <c r="HR1" s="275" t="s">
        <v>168</v>
      </c>
      <c r="HS1" s="275"/>
      <c r="HT1" s="275"/>
      <c r="HU1" s="275"/>
      <c r="HW1" s="275" t="s">
        <v>169</v>
      </c>
      <c r="HX1" s="275"/>
      <c r="HY1" s="275"/>
      <c r="HZ1" s="275"/>
      <c r="IB1" s="275" t="s">
        <v>170</v>
      </c>
      <c r="IC1" s="275"/>
      <c r="ID1" s="275"/>
      <c r="IE1" s="275"/>
      <c r="IG1" s="275" t="s">
        <v>171</v>
      </c>
      <c r="IH1" s="275"/>
      <c r="II1" s="275"/>
      <c r="IJ1" s="275"/>
      <c r="IL1" s="275" t="s">
        <v>172</v>
      </c>
      <c r="IM1" s="275"/>
      <c r="IN1" s="275"/>
      <c r="IO1" s="275"/>
    </row>
    <row r="2" spans="1:250" x14ac:dyDescent="0.25">
      <c r="A2" s="276" t="s">
        <v>173</v>
      </c>
      <c r="B2" s="276"/>
      <c r="C2" s="276"/>
      <c r="D2" s="14">
        <f>IF(D3="","",IF(AND(D5="Y",D6="N"),D3,IF(D3&lt;1000,D3+10,D3+20)))</f>
        <v>1892</v>
      </c>
      <c r="F2" s="276" t="s">
        <v>173</v>
      </c>
      <c r="G2" s="276"/>
      <c r="H2" s="276"/>
      <c r="I2" s="14">
        <f>IF(I3="","",IF(AND(I5="Y",I6="N"),I3,IF(I3&lt;1000,I3+10,I3+20)))</f>
        <v>968</v>
      </c>
      <c r="K2" s="276" t="s">
        <v>173</v>
      </c>
      <c r="L2" s="276"/>
      <c r="M2" s="276"/>
      <c r="N2" s="14">
        <f>IF(N3="","",IF(AND(N5="Y",N6="N"),N3,IF(N3&lt;1000,N3+10,N3+20)))</f>
        <v>1835</v>
      </c>
      <c r="P2" s="276" t="s">
        <v>173</v>
      </c>
      <c r="Q2" s="276"/>
      <c r="R2" s="276"/>
      <c r="S2" s="14">
        <f>IF(S3="","",IF(AND(S5="Y",S6="N"),S3,IF(S3&lt;1000,S3+10,S3+20)))</f>
        <v>1579</v>
      </c>
      <c r="U2" s="276" t="s">
        <v>173</v>
      </c>
      <c r="V2" s="276"/>
      <c r="W2" s="276"/>
      <c r="X2" s="14">
        <f>IF(X3="","",IF(AND(X5="Y",X6="N"),X3,IF(X3&lt;1000,X3+10,X3+20)))</f>
        <v>1175</v>
      </c>
      <c r="Z2" s="276" t="s">
        <v>173</v>
      </c>
      <c r="AA2" s="276"/>
      <c r="AB2" s="276"/>
      <c r="AC2" s="14">
        <f>IF(AC3="","",IF(AND(AC5="Y",AC6="N"),AC3,IF(AC3&lt;1000,AC3+10,AC3+20)))</f>
        <v>554</v>
      </c>
      <c r="AE2" s="276" t="s">
        <v>173</v>
      </c>
      <c r="AF2" s="276"/>
      <c r="AG2" s="276"/>
      <c r="AH2" s="14">
        <f>IF(AH3="","",IF(AND(AH5="Y",AH6="N"),AH3,IF(AH3&lt;1000,AH3+10,AH3+20)))</f>
        <v>1942</v>
      </c>
      <c r="AJ2" s="276" t="s">
        <v>173</v>
      </c>
      <c r="AK2" s="276"/>
      <c r="AL2" s="276"/>
      <c r="AM2" s="14">
        <f>IF(AM3="","",IF(AND(AM5="Y",AM6="N"),AM3,IF(AM3&lt;1000,AM3+10,AM3+20)))</f>
        <v>1332</v>
      </c>
      <c r="AO2" s="276" t="s">
        <v>173</v>
      </c>
      <c r="AP2" s="276"/>
      <c r="AQ2" s="276"/>
      <c r="AR2" s="14">
        <f>IF(AR3="","",IF(AND(AR5="Y",AR6="N"),AR3,IF(AR3&lt;1000,AR3+10,AR3+20)))</f>
        <v>573</v>
      </c>
      <c r="AT2" s="276" t="s">
        <v>173</v>
      </c>
      <c r="AU2" s="276"/>
      <c r="AV2" s="276"/>
      <c r="AW2" s="14">
        <f>IF(AW3="","",IF(AND(AW5="Y",AW6="N"),AW3,IF(AW3&lt;1000,AW3+10,AW3+20)))</f>
        <v>1961</v>
      </c>
      <c r="AY2" s="276" t="s">
        <v>173</v>
      </c>
      <c r="AZ2" s="276"/>
      <c r="BA2" s="276"/>
      <c r="BB2" s="14">
        <f>IF(BB3="","",IF(AND(BB5="Y",BB6="N"),BB3,IF(BB3&lt;1000,BB3+10,BB3+20)))</f>
        <v>323</v>
      </c>
      <c r="BD2" s="276" t="s">
        <v>173</v>
      </c>
      <c r="BE2" s="276"/>
      <c r="BF2" s="276"/>
      <c r="BG2" s="14">
        <f>IF(BG3="","",IF(AND(BG5="Y",BG6="N"),BG3,IF(BG3&lt;1000,BG3+10,BG3+20)))</f>
        <v>469</v>
      </c>
      <c r="BI2" s="276" t="s">
        <v>173</v>
      </c>
      <c r="BJ2" s="276"/>
      <c r="BK2" s="276"/>
      <c r="BL2" s="14">
        <f>IF(BL3="","",IF(AND(BL5="Y",BL6="N"),BL3,IF(BL3&lt;1000,BL3+10,BL3+20)))</f>
        <v>500</v>
      </c>
      <c r="BN2" s="276" t="s">
        <v>173</v>
      </c>
      <c r="BO2" s="276"/>
      <c r="BP2" s="276"/>
      <c r="BQ2" s="14">
        <f>IF(BQ3="","",IF(AND(BQ5="Y",BQ6="N"),BQ3,IF(BQ3&lt;1000,BQ3+10,BQ3+20)))</f>
        <v>1090</v>
      </c>
      <c r="BS2" s="276" t="s">
        <v>173</v>
      </c>
      <c r="BT2" s="276"/>
      <c r="BU2" s="276"/>
      <c r="BV2" s="14">
        <f>IF(BV3="","",IF(AND(BV5="Y",BV6="N"),BV3,IF(BV3&lt;1000,BV3+10,BV3+20)))</f>
        <v>1609</v>
      </c>
      <c r="BX2" s="276" t="s">
        <v>173</v>
      </c>
      <c r="BY2" s="276"/>
      <c r="BZ2" s="276"/>
      <c r="CA2" s="14">
        <f>IF(CA3="","",IF(AND(CA5="Y",CA6="N"),CA3,IF(CA3&lt;1000,CA3+10,CA3+20)))</f>
        <v>1566</v>
      </c>
      <c r="CC2" s="276" t="s">
        <v>173</v>
      </c>
      <c r="CD2" s="276"/>
      <c r="CE2" s="276"/>
      <c r="CF2" s="14">
        <f>IF(CF3="","",IF(AND(CF5="Y",CF6="N"),CF3,IF(CF3&lt;1000,CF3+10,CF3+20)))</f>
        <v>1761</v>
      </c>
      <c r="CH2" s="276" t="s">
        <v>173</v>
      </c>
      <c r="CI2" s="276"/>
      <c r="CJ2" s="276"/>
      <c r="CK2" s="14">
        <f>IF(CK3="","",IF(AND(CK5="Y",CK6="N"),CK3,IF(CK3&lt;1000,CK3+10,CK3+20)))</f>
        <v>808</v>
      </c>
      <c r="CM2" s="276" t="s">
        <v>173</v>
      </c>
      <c r="CN2" s="276"/>
      <c r="CO2" s="276"/>
      <c r="CP2" s="14">
        <f>IF(CP3="","",IF(AND(CP5="Y",CP6="N"),CP3,IF(CP3&lt;1000,CP3+10,CP3+20)))</f>
        <v>1475</v>
      </c>
      <c r="CR2" s="276" t="s">
        <v>173</v>
      </c>
      <c r="CS2" s="276"/>
      <c r="CT2" s="276"/>
      <c r="CU2" s="14">
        <f>IF(CU3="","",IF(AND(CU5="Y",CU6="N"),CU3,IF(CU3&lt;1000,CU3+10,CU3+20)))</f>
        <v>1975</v>
      </c>
      <c r="CW2" s="276" t="s">
        <v>173</v>
      </c>
      <c r="CX2" s="276"/>
      <c r="CY2" s="276"/>
      <c r="CZ2" s="14">
        <f>IF(CZ3="","",IF(AND(CZ5="Y",CZ6="N"),CZ3,IF(CZ3&lt;1000,CZ3+10,CZ3+20)))</f>
        <v>958</v>
      </c>
      <c r="DB2" s="276" t="s">
        <v>173</v>
      </c>
      <c r="DC2" s="276"/>
      <c r="DD2" s="276"/>
      <c r="DE2" s="14">
        <f>IF(DE3="","",IF(AND(DE5="Y",DE6="N"),DE3,IF(DE3&lt;1000,DE3+10,DE3+20)))</f>
        <v>1458</v>
      </c>
      <c r="DG2" s="276" t="s">
        <v>173</v>
      </c>
      <c r="DH2" s="276"/>
      <c r="DI2" s="276"/>
      <c r="DJ2" s="14">
        <f>IF(DJ3="","",IF(AND(DJ5="Y",DJ6="N"),DJ3,IF(DJ3&lt;1000,DJ3+10,DJ3+20)))</f>
        <v>1155</v>
      </c>
      <c r="DL2" s="276" t="s">
        <v>173</v>
      </c>
      <c r="DM2" s="276"/>
      <c r="DN2" s="276"/>
      <c r="DO2" s="14">
        <f>IF(DO3="","",IF(AND(DO5="Y",DO6="N"),DO3,IF(DO3&lt;1000,DO3+10,DO3+20)))</f>
        <v>757</v>
      </c>
      <c r="DQ2" s="276" t="s">
        <v>173</v>
      </c>
      <c r="DR2" s="276"/>
      <c r="DS2" s="276"/>
      <c r="DT2" s="14">
        <f>IF(DT3="","",IF(AND(DT5="Y",DT6="N"),DT3,IF(DT3&lt;1000,DT3+10,DT3+20)))</f>
        <v>2839</v>
      </c>
      <c r="DV2" s="276" t="s">
        <v>173</v>
      </c>
      <c r="DW2" s="276"/>
      <c r="DX2" s="276"/>
      <c r="DY2" s="14">
        <f>IF(DY3="","",IF(AND(DY5="Y",DY6="N"),DY3,IF(DY3&lt;1000,DY3+10,DY3+20)))</f>
        <v>2166</v>
      </c>
      <c r="EA2" s="276" t="s">
        <v>173</v>
      </c>
      <c r="EB2" s="276"/>
      <c r="EC2" s="276"/>
      <c r="ED2" s="14">
        <f>IF(ED3="","",IF(AND(ED5="Y",ED6="N"),ED3,IF(ED3&lt;1000,ED3+10,ED3+20)))</f>
        <v>1311</v>
      </c>
      <c r="EF2" s="276" t="s">
        <v>173</v>
      </c>
      <c r="EG2" s="276"/>
      <c r="EH2" s="276"/>
      <c r="EI2" s="14">
        <f>IF(EI3="","",IF(AND(EI5="Y",EI6="N"),EI3,IF(EI3&lt;1000,EI3+10,EI3+20)))</f>
        <v>2040</v>
      </c>
      <c r="EK2" s="276" t="s">
        <v>173</v>
      </c>
      <c r="EL2" s="276"/>
      <c r="EM2" s="276"/>
      <c r="EN2" s="14">
        <f>IF(EN3="","",IF(AND(EN5="Y",EN6="N"),EN3,IF(EN3&lt;1000,EN3+10,EN3+20)))</f>
        <v>850</v>
      </c>
      <c r="EP2" s="276" t="s">
        <v>173</v>
      </c>
      <c r="EQ2" s="276"/>
      <c r="ER2" s="276"/>
      <c r="ES2" s="14">
        <f>IF(ES3="","",IF(AND(ES5="Y",ES6="N"),ES3,IF(ES3&lt;1000,ES3+10,ES3+20)))</f>
        <v>875</v>
      </c>
      <c r="EU2" s="276" t="s">
        <v>173</v>
      </c>
      <c r="EV2" s="276"/>
      <c r="EW2" s="276"/>
      <c r="EX2" s="14">
        <f>IF(EX3="","",IF(AND(EX5="Y",EX6="N"),EX3,IF(EX3&lt;1000,EX3+10,EX3+20)))</f>
        <v>1389</v>
      </c>
      <c r="EZ2" s="276" t="s">
        <v>173</v>
      </c>
      <c r="FA2" s="276"/>
      <c r="FB2" s="276"/>
      <c r="FC2" s="14">
        <f>IF(FC3="","",IF(AND(FC5="Y",FC6="N"),FC3,IF(FC3&lt;1000,FC3+10,FC3+20)))</f>
        <v>1063</v>
      </c>
      <c r="FE2" s="276" t="s">
        <v>173</v>
      </c>
      <c r="FF2" s="276"/>
      <c r="FG2" s="276"/>
      <c r="FH2" s="14">
        <f>IF(FH3="","",IF(AND(FH5="Y",FH6="N"),FH3,IF(FH3&lt;1000,FH3+10,FH3+20)))</f>
        <v>952</v>
      </c>
      <c r="FJ2" s="276" t="s">
        <v>173</v>
      </c>
      <c r="FK2" s="276"/>
      <c r="FL2" s="276"/>
      <c r="FM2" s="14" t="str">
        <f>IF(FM3="","",IF(AND(FM5="Y",FM6="N"),FM3,IF(FM3&lt;1000,FM3+10,FM3+20)))</f>
        <v/>
      </c>
      <c r="FO2" s="276" t="s">
        <v>173</v>
      </c>
      <c r="FP2" s="276"/>
      <c r="FQ2" s="276"/>
      <c r="FR2" s="14" t="str">
        <f>IF(FR3="","",IF(AND(FR5="Y",FR6="N"),FR3,IF(FR3&lt;1000,FR3+10,FR3+20)))</f>
        <v/>
      </c>
      <c r="FT2" s="276" t="s">
        <v>173</v>
      </c>
      <c r="FU2" s="276"/>
      <c r="FV2" s="276"/>
      <c r="FW2" s="14" t="str">
        <f>IF(FW3="","",IF(AND(FW5="Y",FW6="N"),FW3,IF(FW3&lt;1000,FW3+10,FW3+20)))</f>
        <v/>
      </c>
      <c r="FY2" s="276" t="s">
        <v>173</v>
      </c>
      <c r="FZ2" s="276"/>
      <c r="GA2" s="276"/>
      <c r="GB2" s="14" t="str">
        <f>IF(GB3="","",IF(AND(GB5="Y",GB6="N"),GB3,IF(GB3&lt;1000,GB3+10,GB3+20)))</f>
        <v/>
      </c>
      <c r="GD2" s="276" t="s">
        <v>173</v>
      </c>
      <c r="GE2" s="276"/>
      <c r="GF2" s="276"/>
      <c r="GG2" s="14" t="str">
        <f>IF(GG3="","",IF(AND(GG5="Y",GG6="N"),GG3,IF(GG3&lt;1000,GG3+10,GG3+20)))</f>
        <v/>
      </c>
      <c r="GI2" s="276" t="s">
        <v>173</v>
      </c>
      <c r="GJ2" s="276"/>
      <c r="GK2" s="276"/>
      <c r="GL2" s="14" t="str">
        <f>IF(GL3="","",IF(AND(GL5="Y",GL6="N"),GL3,IF(GL3&lt;1000,GL3+10,GL3+20)))</f>
        <v/>
      </c>
      <c r="GN2" s="276" t="s">
        <v>173</v>
      </c>
      <c r="GO2" s="276"/>
      <c r="GP2" s="276"/>
      <c r="GQ2" s="14" t="str">
        <f>IF(GQ3="","",IF(AND(GQ5="Y",GQ6="N"),GQ3,IF(GQ3&lt;1000,GQ3+10,GQ3+20)))</f>
        <v/>
      </c>
      <c r="GS2" s="276" t="s">
        <v>173</v>
      </c>
      <c r="GT2" s="276"/>
      <c r="GU2" s="276"/>
      <c r="GV2" s="14" t="str">
        <f>IF(GV3="","",IF(AND(GV5="Y",GV6="N"),GV3,IF(GV3&lt;1000,GV3+10,GV3+20)))</f>
        <v/>
      </c>
      <c r="GX2" s="276" t="s">
        <v>173</v>
      </c>
      <c r="GY2" s="276"/>
      <c r="GZ2" s="276"/>
      <c r="HA2" s="14" t="str">
        <f>IF(HA3="","",IF(AND(HA5="Y",HA6="N"),HA3,IF(HA3&lt;1000,HA3+10,HA3+20)))</f>
        <v/>
      </c>
      <c r="HC2" s="276" t="s">
        <v>173</v>
      </c>
      <c r="HD2" s="276"/>
      <c r="HE2" s="276"/>
      <c r="HF2" s="14" t="str">
        <f>IF(HF3="","",IF(AND(HF5="Y",HF6="N"),HF3,IF(HF3&lt;1000,HF3+10,HF3+20)))</f>
        <v/>
      </c>
      <c r="HH2" s="276" t="s">
        <v>173</v>
      </c>
      <c r="HI2" s="276"/>
      <c r="HJ2" s="276"/>
      <c r="HK2" s="14" t="str">
        <f>IF(HK3="","",IF(AND(HK5="Y",HK6="N"),HK3,IF(HK3&lt;1000,HK3+10,HK3+20)))</f>
        <v/>
      </c>
      <c r="HM2" s="276" t="s">
        <v>173</v>
      </c>
      <c r="HN2" s="276"/>
      <c r="HO2" s="276"/>
      <c r="HP2" s="14" t="str">
        <f>IF(HP3="","",IF(AND(HP5="Y",HP6="N"),HP3,IF(HP3&lt;1000,HP3+10,HP3+20)))</f>
        <v/>
      </c>
      <c r="HR2" s="276" t="s">
        <v>173</v>
      </c>
      <c r="HS2" s="276"/>
      <c r="HT2" s="276"/>
      <c r="HU2" s="14" t="str">
        <f>IF(HU3="","",IF(AND(HU5="Y",HU6="N"),HU3,IF(HU3&lt;1000,HU3+10,HU3+20)))</f>
        <v/>
      </c>
      <c r="HW2" s="276" t="s">
        <v>173</v>
      </c>
      <c r="HX2" s="276"/>
      <c r="HY2" s="276"/>
      <c r="HZ2" s="14" t="str">
        <f>IF(HZ3="","",IF(AND(HZ5="Y",HZ6="N"),HZ3,IF(HZ3&lt;1000,HZ3+10,HZ3+20)))</f>
        <v/>
      </c>
      <c r="IB2" s="276" t="s">
        <v>173</v>
      </c>
      <c r="IC2" s="276"/>
      <c r="ID2" s="276"/>
      <c r="IE2" s="14" t="str">
        <f>IF(IE3="","",IF(AND(IE5="Y",IE6="N"),IE3,IF(IE3&lt;1000,IE3+10,IE3+20)))</f>
        <v/>
      </c>
      <c r="IG2" s="276" t="s">
        <v>173</v>
      </c>
      <c r="IH2" s="276"/>
      <c r="II2" s="276"/>
      <c r="IJ2" s="14" t="str">
        <f>IF(IJ3="","",IF(AND(IJ5="Y",IJ6="N"),IJ3,IF(IJ3&lt;1000,IJ3+10,IJ3+20)))</f>
        <v/>
      </c>
      <c r="IL2" s="276" t="s">
        <v>173</v>
      </c>
      <c r="IM2" s="276"/>
      <c r="IN2" s="276"/>
      <c r="IO2" s="14" t="str">
        <f>IF(IO3="","",IF(AND(IO5="Y",IO6="N"),IO3,IF(IO3&lt;1000,IO3+10,IO3+20)))</f>
        <v/>
      </c>
    </row>
    <row r="3" spans="1:250" x14ac:dyDescent="0.25">
      <c r="A3" s="276" t="s">
        <v>174</v>
      </c>
      <c r="B3" s="276"/>
      <c r="C3" s="276"/>
      <c r="D3" s="15">
        <f>IF(E3="","",SUM(E3,E5,E6))</f>
        <v>1872</v>
      </c>
      <c r="E3" s="16">
        <f>IF(E9="","",SUM(E9:E208,B9:B208,D9:D208))</f>
        <v>1872</v>
      </c>
      <c r="F3" s="276" t="s">
        <v>174</v>
      </c>
      <c r="G3" s="276"/>
      <c r="H3" s="276"/>
      <c r="I3" s="15">
        <f>IF(J3="","",SUM(J3,J5,J6))</f>
        <v>958</v>
      </c>
      <c r="J3" s="16">
        <f>IF(J9="","",SUM(J9:J208,G9:G208,I9:I208))</f>
        <v>958</v>
      </c>
      <c r="K3" s="276" t="s">
        <v>174</v>
      </c>
      <c r="L3" s="276"/>
      <c r="M3" s="276"/>
      <c r="N3" s="15">
        <f>IF(O3="","",SUM(O3,O5,O6))</f>
        <v>1815</v>
      </c>
      <c r="O3" s="16">
        <f>IF(O9="","",SUM(O9:O208,L9:L208,N9:N208))</f>
        <v>1790</v>
      </c>
      <c r="P3" s="276" t="s">
        <v>174</v>
      </c>
      <c r="Q3" s="276"/>
      <c r="R3" s="276"/>
      <c r="S3" s="15">
        <f>IF(T3="","",SUM(T3,T5,T6))</f>
        <v>1579</v>
      </c>
      <c r="T3" s="16">
        <f>IF(T9="","",SUM(T9:T208,Q9:Q208,S9:S208))</f>
        <v>1529</v>
      </c>
      <c r="U3" s="276" t="s">
        <v>174</v>
      </c>
      <c r="V3" s="276"/>
      <c r="W3" s="276"/>
      <c r="X3" s="15">
        <f>IF(Y3="","",SUM(Y3,Y5,Y6))</f>
        <v>1155</v>
      </c>
      <c r="Y3" s="16">
        <f>IF(Y9="","",SUM(Y9:Y208,V9:V208,X9:X208))</f>
        <v>1130</v>
      </c>
      <c r="Z3" s="276" t="s">
        <v>174</v>
      </c>
      <c r="AA3" s="276"/>
      <c r="AB3" s="276"/>
      <c r="AC3" s="15">
        <f>IF(AD3="","",SUM(AD3,AD5,AD6))</f>
        <v>544</v>
      </c>
      <c r="AD3" s="16">
        <f>IF(AD9="","",SUM(AD9:AD208,AA9:AA208,AC9:AC208))</f>
        <v>544</v>
      </c>
      <c r="AE3" s="276" t="s">
        <v>174</v>
      </c>
      <c r="AF3" s="276"/>
      <c r="AG3" s="276"/>
      <c r="AH3" s="15">
        <f>IF(AI3="","",SUM(AI3,AI5,AI6))</f>
        <v>1922</v>
      </c>
      <c r="AI3" s="16">
        <f>IF(AI9="","",SUM(AI9:AI208,AF9:AF208,AH9:AH208))</f>
        <v>1922</v>
      </c>
      <c r="AJ3" s="276" t="s">
        <v>174</v>
      </c>
      <c r="AK3" s="276"/>
      <c r="AL3" s="276"/>
      <c r="AM3" s="15">
        <f>IF(AN3="","",SUM(AN3,AN5,AN6))</f>
        <v>1312</v>
      </c>
      <c r="AN3" s="16">
        <f>IF(AN9="","",SUM(AN9:AN208,AK9:AK208,AM9:AM208))</f>
        <v>1312</v>
      </c>
      <c r="AO3" s="276" t="s">
        <v>174</v>
      </c>
      <c r="AP3" s="276"/>
      <c r="AQ3" s="276"/>
      <c r="AR3" s="15">
        <f>IF(AS3="","",SUM(AS3,AS5,AS6))</f>
        <v>573</v>
      </c>
      <c r="AS3" s="16">
        <f>IF(AS9="","",SUM(AS9:AS208,AP9:AP208,AR9:AR208))</f>
        <v>523</v>
      </c>
      <c r="AT3" s="276" t="s">
        <v>174</v>
      </c>
      <c r="AU3" s="276"/>
      <c r="AV3" s="276"/>
      <c r="AW3" s="15">
        <f>IF(AX3="","",SUM(AX3,AX5,AX6))</f>
        <v>1941</v>
      </c>
      <c r="AX3" s="16">
        <f>IF(AX9="","",SUM(AX9:AX208,AU9:AU208,AW9:AW208))</f>
        <v>1941</v>
      </c>
      <c r="AY3" s="276" t="s">
        <v>174</v>
      </c>
      <c r="AZ3" s="276"/>
      <c r="BA3" s="276"/>
      <c r="BB3" s="15">
        <f>IF(BC3="","",SUM(BC3,BC5,BC6))</f>
        <v>313</v>
      </c>
      <c r="BC3" s="16">
        <f>IF(BC9="","",SUM(BC9:BC208,AZ9:AZ208,BB9:BB208))</f>
        <v>288</v>
      </c>
      <c r="BD3" s="276" t="s">
        <v>174</v>
      </c>
      <c r="BE3" s="276"/>
      <c r="BF3" s="276"/>
      <c r="BG3" s="15">
        <f>IF(BH3="","",SUM(BH3,BH5,BH6))</f>
        <v>459</v>
      </c>
      <c r="BH3" s="16">
        <f>IF(BH9="","",SUM(BH9:BH208,BE9:BE208,BG9:BG208))</f>
        <v>459</v>
      </c>
      <c r="BI3" s="276" t="s">
        <v>174</v>
      </c>
      <c r="BJ3" s="276"/>
      <c r="BK3" s="276"/>
      <c r="BL3" s="15">
        <f>IF(BM3="","",SUM(BM3,BM5,BM6))</f>
        <v>490</v>
      </c>
      <c r="BM3" s="16">
        <f>IF(BM9="","",SUM(BM9:BM208,BJ9:BJ208,BL9:BL208))</f>
        <v>465</v>
      </c>
      <c r="BN3" s="276" t="s">
        <v>174</v>
      </c>
      <c r="BO3" s="276"/>
      <c r="BP3" s="276"/>
      <c r="BQ3" s="15">
        <f>IF(BR3="","",SUM(BR3,BR5,BR6))</f>
        <v>1070</v>
      </c>
      <c r="BR3" s="16">
        <f>IF(BR9="","",SUM(BR9:BR208,BO9:BO208,BQ9:BQ208))</f>
        <v>1045</v>
      </c>
      <c r="BS3" s="276" t="s">
        <v>174</v>
      </c>
      <c r="BT3" s="276"/>
      <c r="BU3" s="276"/>
      <c r="BV3" s="15">
        <f>IF(BW3="","",SUM(BW3,BW5,BW6))</f>
        <v>1589</v>
      </c>
      <c r="BW3" s="16">
        <f>IF(BW9="","",SUM(BW9:BW208,BT9:BT208,BV9:BV208))</f>
        <v>1589</v>
      </c>
      <c r="BX3" s="276" t="s">
        <v>174</v>
      </c>
      <c r="BY3" s="276"/>
      <c r="BZ3" s="276"/>
      <c r="CA3" s="15">
        <f>IF(CB3="","",SUM(CB3,CB5,CB6))</f>
        <v>1546</v>
      </c>
      <c r="CB3" s="16">
        <f>IF(CB9="","",SUM(CB9:CB208,BY9:BY208,CA9:CA208))</f>
        <v>1546</v>
      </c>
      <c r="CC3" s="276" t="s">
        <v>174</v>
      </c>
      <c r="CD3" s="276"/>
      <c r="CE3" s="276"/>
      <c r="CF3" s="15">
        <f>IF(CG3="","",SUM(CG3,CG5,CG6))</f>
        <v>1741</v>
      </c>
      <c r="CG3" s="16">
        <f>IF(CG9="","",SUM(CG9:CG208,CD9:CD208,CF9:CF208))</f>
        <v>1741</v>
      </c>
      <c r="CH3" s="276" t="s">
        <v>174</v>
      </c>
      <c r="CI3" s="276"/>
      <c r="CJ3" s="276"/>
      <c r="CK3" s="15">
        <f>IF(CL3="","",SUM(CL3,CL5,CL6))</f>
        <v>798</v>
      </c>
      <c r="CL3" s="16">
        <f>IF(CL9="","",SUM(CL9:CL208,CI9:CI208,CK9:CK208))</f>
        <v>798</v>
      </c>
      <c r="CM3" s="276" t="s">
        <v>174</v>
      </c>
      <c r="CN3" s="276"/>
      <c r="CO3" s="276"/>
      <c r="CP3" s="15">
        <f>IF(CQ3="","",SUM(CQ3,CQ5,CQ6))</f>
        <v>1455</v>
      </c>
      <c r="CQ3" s="16">
        <f>IF(CQ9="","",SUM(CQ9:CQ208,CN9:CN208,CP9:CP208))</f>
        <v>1430</v>
      </c>
      <c r="CR3" s="276" t="s">
        <v>174</v>
      </c>
      <c r="CS3" s="276"/>
      <c r="CT3" s="276"/>
      <c r="CU3" s="15">
        <f>IF(CV3="","",SUM(CV3,CV5,CV6))</f>
        <v>1955</v>
      </c>
      <c r="CV3" s="16">
        <f>IF(CV9="","",SUM(CV9:CV208,CS9:CS208,CU9:CU208))</f>
        <v>1930</v>
      </c>
      <c r="CW3" s="276" t="s">
        <v>174</v>
      </c>
      <c r="CX3" s="276"/>
      <c r="CY3" s="276"/>
      <c r="CZ3" s="15">
        <f>IF(DA3="","",SUM(DA3,DA5,DA6))</f>
        <v>948</v>
      </c>
      <c r="DA3" s="16">
        <f>IF(DA9="","",SUM(DA9:DA208,CX9:CX208,CZ9:CZ208))</f>
        <v>948</v>
      </c>
      <c r="DB3" s="276" t="s">
        <v>174</v>
      </c>
      <c r="DC3" s="276"/>
      <c r="DD3" s="276"/>
      <c r="DE3" s="15">
        <f>IF(DF3="","",SUM(DF3,DF5,DF6))</f>
        <v>1438</v>
      </c>
      <c r="DF3" s="16">
        <f>IF(DF9="","",SUM(DF9:DF208,DC9:DC208,DE9:DE208))</f>
        <v>1413</v>
      </c>
      <c r="DG3" s="276" t="s">
        <v>174</v>
      </c>
      <c r="DH3" s="276"/>
      <c r="DI3" s="276"/>
      <c r="DJ3" s="15">
        <f>IF(DK3="","",SUM(DK3,DK5,DK6))</f>
        <v>1135</v>
      </c>
      <c r="DK3" s="16">
        <f>IF(DK9="","",SUM(DK9:DK208,DH9:DH208,DJ9:DJ208))</f>
        <v>1135</v>
      </c>
      <c r="DL3" s="276" t="s">
        <v>174</v>
      </c>
      <c r="DM3" s="276"/>
      <c r="DN3" s="276"/>
      <c r="DO3" s="15">
        <f>IF(DP3="","",SUM(DP3,DP5,DP6))</f>
        <v>757</v>
      </c>
      <c r="DP3" s="16">
        <f>IF(DP9="","",SUM(DP9:DP208,DM9:DM208,DO9:DO208))</f>
        <v>707</v>
      </c>
      <c r="DQ3" s="276" t="s">
        <v>174</v>
      </c>
      <c r="DR3" s="276"/>
      <c r="DS3" s="276"/>
      <c r="DT3" s="15">
        <f>IF(DU3="","",SUM(DU3,DU5,DU6))</f>
        <v>2819</v>
      </c>
      <c r="DU3" s="16">
        <f>IF(DU9="","",SUM(DU9:DU208,DR9:DR208,DT9:DT208))</f>
        <v>2819</v>
      </c>
      <c r="DV3" s="276" t="s">
        <v>174</v>
      </c>
      <c r="DW3" s="276"/>
      <c r="DX3" s="276"/>
      <c r="DY3" s="15">
        <f>IF(DZ3="","",SUM(DZ3,DZ5,DZ6))</f>
        <v>2146</v>
      </c>
      <c r="DZ3" s="16">
        <f>IF(DZ9="","",SUM(DZ9:DZ208,DW9:DW208,DY9:DY208))</f>
        <v>2131</v>
      </c>
      <c r="EA3" s="276" t="s">
        <v>174</v>
      </c>
      <c r="EB3" s="276"/>
      <c r="EC3" s="276"/>
      <c r="ED3" s="15">
        <f>IF(EE3="","",SUM(EE3,EE5,EE6))</f>
        <v>1311</v>
      </c>
      <c r="EE3" s="16">
        <f>IF(EE9="","",SUM(EE9:EE208,EB9:EB208,ED9:ED208))</f>
        <v>1281</v>
      </c>
      <c r="EF3" s="276" t="s">
        <v>174</v>
      </c>
      <c r="EG3" s="276"/>
      <c r="EH3" s="276"/>
      <c r="EI3" s="15">
        <f>IF(EJ3="","",SUM(EJ3,EJ5,EJ6))</f>
        <v>2040</v>
      </c>
      <c r="EJ3" s="16">
        <f>IF(EJ9="","",SUM(EJ9:EJ208,EG9:EG208,EI9:EI208))</f>
        <v>1990</v>
      </c>
      <c r="EK3" s="276" t="s">
        <v>174</v>
      </c>
      <c r="EL3" s="276"/>
      <c r="EM3" s="276"/>
      <c r="EN3" s="15">
        <f>IF(EO3="","",SUM(EO3,EO5,EO6))</f>
        <v>850</v>
      </c>
      <c r="EO3" s="16">
        <f>IF(EO9="","",SUM(EO9:EO208,EL9:EL208,EN9:EN208))</f>
        <v>800</v>
      </c>
      <c r="EP3" s="276" t="s">
        <v>174</v>
      </c>
      <c r="EQ3" s="276"/>
      <c r="ER3" s="276"/>
      <c r="ES3" s="15">
        <f>IF(ET3="","",SUM(ET3,ET5,ET6))</f>
        <v>865</v>
      </c>
      <c r="ET3" s="16">
        <f>IF(ET9="","",SUM(ET9:ET208,EQ9:EQ208,ES9:ES208))</f>
        <v>865</v>
      </c>
      <c r="EU3" s="276" t="s">
        <v>174</v>
      </c>
      <c r="EV3" s="276"/>
      <c r="EW3" s="276"/>
      <c r="EX3" s="15">
        <f>IF(EY3="","",SUM(EY3,EY5,EY6))</f>
        <v>1369</v>
      </c>
      <c r="EY3" s="16">
        <f>IF(EY9="","",SUM(EY9:EY208,EV9:EV208,EX9:EX208))</f>
        <v>1369</v>
      </c>
      <c r="EZ3" s="276" t="s">
        <v>174</v>
      </c>
      <c r="FA3" s="276"/>
      <c r="FB3" s="276"/>
      <c r="FC3" s="15">
        <f>IF(FD3="","",SUM(FD3,FD5,FD6))</f>
        <v>1043</v>
      </c>
      <c r="FD3" s="16">
        <f>IF(FD9="","",SUM(FD9:FD208,FA9:FA208,FC9:FC208))</f>
        <v>1043</v>
      </c>
      <c r="FE3" s="276" t="s">
        <v>174</v>
      </c>
      <c r="FF3" s="276"/>
      <c r="FG3" s="276"/>
      <c r="FH3" s="15">
        <f>IF(FI3="","",SUM(FI3,FI5,FI6))</f>
        <v>942</v>
      </c>
      <c r="FI3" s="16">
        <f>IF(FI9="","",SUM(FI9:FI208,FF9:FF208,FH9:FH208))</f>
        <v>942</v>
      </c>
      <c r="FJ3" s="276" t="s">
        <v>174</v>
      </c>
      <c r="FK3" s="276"/>
      <c r="FL3" s="276"/>
      <c r="FM3" s="15" t="str">
        <f>IF(FN3="","",SUM(FN3,FN5,FN6))</f>
        <v/>
      </c>
      <c r="FN3" s="16" t="str">
        <f>IF(FN9="","",SUM(FN9:FN208,FK9:FK208,FM9:FM208))</f>
        <v/>
      </c>
      <c r="FO3" s="276" t="s">
        <v>174</v>
      </c>
      <c r="FP3" s="276"/>
      <c r="FQ3" s="276"/>
      <c r="FR3" s="15" t="str">
        <f>IF(FS3="","",SUM(FS3,FS5,FS6))</f>
        <v/>
      </c>
      <c r="FS3" s="16" t="str">
        <f>IF(FS9="","",SUM(FS9:FS208,FP9:FP208,FR9:FR208))</f>
        <v/>
      </c>
      <c r="FT3" s="276" t="s">
        <v>174</v>
      </c>
      <c r="FU3" s="276"/>
      <c r="FV3" s="276"/>
      <c r="FW3" s="15" t="str">
        <f>IF(FX3="","",SUM(FX3,FX5,FX6))</f>
        <v/>
      </c>
      <c r="FX3" s="16" t="str">
        <f>IF(FX9="","",SUM(FX9:FX208,FU9:FU208,FW9:FW208))</f>
        <v/>
      </c>
      <c r="FY3" s="276" t="s">
        <v>174</v>
      </c>
      <c r="FZ3" s="276"/>
      <c r="GA3" s="276"/>
      <c r="GB3" s="15" t="str">
        <f>IF(GC3="","",SUM(GC3,GC5,GC6))</f>
        <v/>
      </c>
      <c r="GC3" s="16" t="str">
        <f>IF(GC9="","",SUM(GC9:GC208,FZ9:FZ208,GB9:GB208))</f>
        <v/>
      </c>
      <c r="GD3" s="276" t="s">
        <v>174</v>
      </c>
      <c r="GE3" s="276"/>
      <c r="GF3" s="276"/>
      <c r="GG3" s="15" t="str">
        <f>IF(GH3="","",SUM(GH3,GH5,GH6))</f>
        <v/>
      </c>
      <c r="GH3" s="16" t="str">
        <f>IF(GH9="","",SUM(GH9:GH208,GE9:GE208,GG9:GG208))</f>
        <v/>
      </c>
      <c r="GI3" s="276" t="s">
        <v>174</v>
      </c>
      <c r="GJ3" s="276"/>
      <c r="GK3" s="276"/>
      <c r="GL3" s="15" t="str">
        <f>IF(GM3="","",SUM(GM3,GM5,GM6))</f>
        <v/>
      </c>
      <c r="GM3" s="16" t="str">
        <f>IF(GM9="","",SUM(GM9:GM208,GJ9:GJ208,GL9:GL208))</f>
        <v/>
      </c>
      <c r="GN3" s="276" t="s">
        <v>174</v>
      </c>
      <c r="GO3" s="276"/>
      <c r="GP3" s="276"/>
      <c r="GQ3" s="15" t="str">
        <f>IF(GR3="","",SUM(GR3,GR5,GR6))</f>
        <v/>
      </c>
      <c r="GR3" s="16" t="str">
        <f>IF(GR9="","",SUM(GR9:GR208,GO9:GO208,GQ9:GQ208))</f>
        <v/>
      </c>
      <c r="GS3" s="276" t="s">
        <v>174</v>
      </c>
      <c r="GT3" s="276"/>
      <c r="GU3" s="276"/>
      <c r="GV3" s="15" t="str">
        <f>IF(GW3="","",SUM(GW3,GW5,GW6))</f>
        <v/>
      </c>
      <c r="GW3" s="16" t="str">
        <f>IF(GW9="","",SUM(GW9:GW208,GT9:GT208,GV9:GV208))</f>
        <v/>
      </c>
      <c r="GX3" s="276" t="s">
        <v>174</v>
      </c>
      <c r="GY3" s="276"/>
      <c r="GZ3" s="276"/>
      <c r="HA3" s="15" t="str">
        <f>IF(HB3="","",SUM(HB3,HB5,HB6))</f>
        <v/>
      </c>
      <c r="HB3" s="16" t="str">
        <f>IF(HB9="","",SUM(HB9:HB208,GY9:GY208,HA9:HA208))</f>
        <v/>
      </c>
      <c r="HC3" s="276" t="s">
        <v>174</v>
      </c>
      <c r="HD3" s="276"/>
      <c r="HE3" s="276"/>
      <c r="HF3" s="15" t="str">
        <f>IF(HG3="","",SUM(HG3,HG5,HG6))</f>
        <v/>
      </c>
      <c r="HG3" s="16" t="str">
        <f>IF(HG9="","",SUM(HG9:HG208,HD9:HD208,HF9:HF208))</f>
        <v/>
      </c>
      <c r="HH3" s="276" t="s">
        <v>174</v>
      </c>
      <c r="HI3" s="276"/>
      <c r="HJ3" s="276"/>
      <c r="HK3" s="15" t="str">
        <f>IF(HL3="","",SUM(HL3,HL5,HL6))</f>
        <v/>
      </c>
      <c r="HL3" s="16" t="str">
        <f>IF(HL9="","",SUM(HL9:HL208,HI9:HI208,HK9:HK208))</f>
        <v/>
      </c>
      <c r="HM3" s="276" t="s">
        <v>174</v>
      </c>
      <c r="HN3" s="276"/>
      <c r="HO3" s="276"/>
      <c r="HP3" s="15" t="str">
        <f>IF(HQ3="","",SUM(HQ3,HQ5,HQ6))</f>
        <v/>
      </c>
      <c r="HQ3" s="16" t="str">
        <f>IF(HQ9="","",SUM(HQ9:HQ208,HN9:HN208,HP9:HP208))</f>
        <v/>
      </c>
      <c r="HR3" s="276" t="s">
        <v>174</v>
      </c>
      <c r="HS3" s="276"/>
      <c r="HT3" s="276"/>
      <c r="HU3" s="15" t="str">
        <f>IF(HV3="","",SUM(HV3,HV5,HV6))</f>
        <v/>
      </c>
      <c r="HV3" s="16" t="str">
        <f>IF(HV9="","",SUM(HV9:HV208,HS9:HS208,HU9:HU208))</f>
        <v/>
      </c>
      <c r="HW3" s="276" t="s">
        <v>174</v>
      </c>
      <c r="HX3" s="276"/>
      <c r="HY3" s="276"/>
      <c r="HZ3" s="15" t="str">
        <f>IF(IA3="","",SUM(IA3,IA5,IA6))</f>
        <v/>
      </c>
      <c r="IA3" s="16" t="str">
        <f>IF(IA9="","",SUM(IA9:IA208,HX9:HX208,HZ9:HZ208))</f>
        <v/>
      </c>
      <c r="IB3" s="276" t="s">
        <v>174</v>
      </c>
      <c r="IC3" s="276"/>
      <c r="ID3" s="276"/>
      <c r="IE3" s="15" t="str">
        <f>IF(IF3="","",SUM(IF3,IF5,IF6))</f>
        <v/>
      </c>
      <c r="IF3" s="16" t="str">
        <f>IF(IF9="","",SUM(IF9:IF208,IC9:IC208,IE9:IE208))</f>
        <v/>
      </c>
      <c r="IG3" s="276" t="s">
        <v>174</v>
      </c>
      <c r="IH3" s="276"/>
      <c r="II3" s="276"/>
      <c r="IJ3" s="15" t="str">
        <f>IF(IK3="","",SUM(IK3,IK5,IK6))</f>
        <v/>
      </c>
      <c r="IK3" s="16" t="str">
        <f>IF(IK9="","",SUM(IK9:IK208,IH9:IH208,IJ9:IJ208))</f>
        <v/>
      </c>
      <c r="IL3" s="276" t="s">
        <v>174</v>
      </c>
      <c r="IM3" s="276"/>
      <c r="IN3" s="276"/>
      <c r="IO3" s="15" t="str">
        <f>IF(IP3="","",SUM(IP3,IP5,IP6))</f>
        <v/>
      </c>
      <c r="IP3" s="16" t="str">
        <f>IF(IP9="","",SUM(IP9:IP208,IM9:IM208,IO9:IO208))</f>
        <v/>
      </c>
    </row>
    <row r="4" spans="1:250" x14ac:dyDescent="0.25">
      <c r="A4" s="272" t="s">
        <v>175</v>
      </c>
      <c r="B4" s="273"/>
      <c r="C4" s="274"/>
      <c r="D4" s="117" t="s">
        <v>179</v>
      </c>
      <c r="F4" s="272" t="s">
        <v>175</v>
      </c>
      <c r="G4" s="273"/>
      <c r="H4" s="274"/>
      <c r="I4" s="117" t="s">
        <v>179</v>
      </c>
      <c r="K4" s="272" t="s">
        <v>175</v>
      </c>
      <c r="L4" s="273"/>
      <c r="M4" s="274"/>
      <c r="N4" s="117" t="s">
        <v>179</v>
      </c>
      <c r="P4" s="272" t="s">
        <v>175</v>
      </c>
      <c r="Q4" s="273"/>
      <c r="R4" s="274"/>
      <c r="S4" s="117" t="s">
        <v>179</v>
      </c>
      <c r="U4" s="272" t="s">
        <v>175</v>
      </c>
      <c r="V4" s="273"/>
      <c r="W4" s="274"/>
      <c r="X4" s="117" t="s">
        <v>179</v>
      </c>
      <c r="Z4" s="272" t="s">
        <v>175</v>
      </c>
      <c r="AA4" s="273"/>
      <c r="AB4" s="274"/>
      <c r="AC4" s="117" t="s">
        <v>178</v>
      </c>
      <c r="AE4" s="272" t="s">
        <v>175</v>
      </c>
      <c r="AF4" s="273"/>
      <c r="AG4" s="274"/>
      <c r="AH4" s="117" t="s">
        <v>179</v>
      </c>
      <c r="AJ4" s="272" t="s">
        <v>175</v>
      </c>
      <c r="AK4" s="273"/>
      <c r="AL4" s="274"/>
      <c r="AM4" s="117" t="s">
        <v>179</v>
      </c>
      <c r="AO4" s="272" t="s">
        <v>175</v>
      </c>
      <c r="AP4" s="273"/>
      <c r="AQ4" s="274"/>
      <c r="AR4" s="117" t="s">
        <v>179</v>
      </c>
      <c r="AT4" s="272" t="s">
        <v>175</v>
      </c>
      <c r="AU4" s="273"/>
      <c r="AV4" s="274"/>
      <c r="AW4" s="117" t="s">
        <v>179</v>
      </c>
      <c r="AY4" s="272" t="s">
        <v>175</v>
      </c>
      <c r="AZ4" s="273"/>
      <c r="BA4" s="274"/>
      <c r="BB4" s="117" t="s">
        <v>179</v>
      </c>
      <c r="BD4" s="272" t="s">
        <v>175</v>
      </c>
      <c r="BE4" s="273"/>
      <c r="BF4" s="274"/>
      <c r="BG4" s="117" t="s">
        <v>179</v>
      </c>
      <c r="BI4" s="272" t="s">
        <v>175</v>
      </c>
      <c r="BJ4" s="273"/>
      <c r="BK4" s="274"/>
      <c r="BL4" s="117" t="s">
        <v>179</v>
      </c>
      <c r="BN4" s="272" t="s">
        <v>175</v>
      </c>
      <c r="BO4" s="273"/>
      <c r="BP4" s="274"/>
      <c r="BQ4" s="117" t="s">
        <v>179</v>
      </c>
      <c r="BS4" s="272" t="s">
        <v>175</v>
      </c>
      <c r="BT4" s="273"/>
      <c r="BU4" s="274"/>
      <c r="BV4" s="117" t="s">
        <v>179</v>
      </c>
      <c r="BX4" s="272" t="s">
        <v>175</v>
      </c>
      <c r="BY4" s="273"/>
      <c r="BZ4" s="274"/>
      <c r="CA4" s="117" t="s">
        <v>179</v>
      </c>
      <c r="CC4" s="272" t="s">
        <v>175</v>
      </c>
      <c r="CD4" s="273"/>
      <c r="CE4" s="274"/>
      <c r="CF4" s="117" t="s">
        <v>179</v>
      </c>
      <c r="CH4" s="272" t="s">
        <v>175</v>
      </c>
      <c r="CI4" s="273"/>
      <c r="CJ4" s="274"/>
      <c r="CK4" s="117" t="s">
        <v>178</v>
      </c>
      <c r="CM4" s="272" t="s">
        <v>175</v>
      </c>
      <c r="CN4" s="273"/>
      <c r="CO4" s="274"/>
      <c r="CP4" s="117" t="s">
        <v>179</v>
      </c>
      <c r="CR4" s="272" t="s">
        <v>175</v>
      </c>
      <c r="CS4" s="273"/>
      <c r="CT4" s="274"/>
      <c r="CU4" s="117" t="s">
        <v>179</v>
      </c>
      <c r="CW4" s="272" t="s">
        <v>175</v>
      </c>
      <c r="CX4" s="273"/>
      <c r="CY4" s="274"/>
      <c r="CZ4" s="117" t="s">
        <v>178</v>
      </c>
      <c r="DB4" s="272" t="s">
        <v>175</v>
      </c>
      <c r="DC4" s="273"/>
      <c r="DD4" s="274"/>
      <c r="DE4" s="117" t="s">
        <v>179</v>
      </c>
      <c r="DG4" s="272" t="s">
        <v>175</v>
      </c>
      <c r="DH4" s="273"/>
      <c r="DI4" s="274"/>
      <c r="DJ4" s="117" t="s">
        <v>179</v>
      </c>
      <c r="DL4" s="272" t="s">
        <v>175</v>
      </c>
      <c r="DM4" s="273"/>
      <c r="DN4" s="274"/>
      <c r="DO4" s="117" t="s">
        <v>179</v>
      </c>
      <c r="DQ4" s="272" t="s">
        <v>175</v>
      </c>
      <c r="DR4" s="273"/>
      <c r="DS4" s="274"/>
      <c r="DT4" s="117" t="s">
        <v>179</v>
      </c>
      <c r="DV4" s="272" t="s">
        <v>175</v>
      </c>
      <c r="DW4" s="273"/>
      <c r="DX4" s="274"/>
      <c r="DY4" s="117" t="s">
        <v>179</v>
      </c>
      <c r="EA4" s="272" t="s">
        <v>175</v>
      </c>
      <c r="EB4" s="273"/>
      <c r="EC4" s="274"/>
      <c r="ED4" s="117" t="s">
        <v>179</v>
      </c>
      <c r="EF4" s="272" t="s">
        <v>175</v>
      </c>
      <c r="EG4" s="273"/>
      <c r="EH4" s="274"/>
      <c r="EI4" s="117" t="s">
        <v>179</v>
      </c>
      <c r="EK4" s="272" t="s">
        <v>175</v>
      </c>
      <c r="EL4" s="273"/>
      <c r="EM4" s="274"/>
      <c r="EN4" s="117" t="s">
        <v>179</v>
      </c>
      <c r="EP4" s="272" t="s">
        <v>175</v>
      </c>
      <c r="EQ4" s="273"/>
      <c r="ER4" s="274"/>
      <c r="ES4" s="117" t="s">
        <v>178</v>
      </c>
      <c r="EU4" s="272" t="s">
        <v>175</v>
      </c>
      <c r="EV4" s="273"/>
      <c r="EW4" s="274"/>
      <c r="EX4" s="117" t="s">
        <v>179</v>
      </c>
      <c r="EZ4" s="272" t="s">
        <v>175</v>
      </c>
      <c r="FA4" s="273"/>
      <c r="FB4" s="274"/>
      <c r="FC4" s="117" t="s">
        <v>178</v>
      </c>
      <c r="FE4" s="272" t="s">
        <v>175</v>
      </c>
      <c r="FF4" s="273"/>
      <c r="FG4" s="274"/>
      <c r="FH4" s="117" t="s">
        <v>178</v>
      </c>
      <c r="FJ4" s="272" t="s">
        <v>175</v>
      </c>
      <c r="FK4" s="273"/>
      <c r="FL4" s="274"/>
      <c r="FM4" s="117"/>
      <c r="FO4" s="272" t="s">
        <v>175</v>
      </c>
      <c r="FP4" s="273"/>
      <c r="FQ4" s="274"/>
      <c r="FR4" s="117"/>
      <c r="FT4" s="272" t="s">
        <v>175</v>
      </c>
      <c r="FU4" s="273"/>
      <c r="FV4" s="274"/>
      <c r="FW4" s="117"/>
      <c r="FY4" s="272" t="s">
        <v>175</v>
      </c>
      <c r="FZ4" s="273"/>
      <c r="GA4" s="274"/>
      <c r="GB4" s="117"/>
      <c r="GD4" s="272" t="s">
        <v>175</v>
      </c>
      <c r="GE4" s="273"/>
      <c r="GF4" s="274"/>
      <c r="GG4" s="117"/>
      <c r="GI4" s="272" t="s">
        <v>175</v>
      </c>
      <c r="GJ4" s="273"/>
      <c r="GK4" s="274"/>
      <c r="GL4" s="117"/>
      <c r="GN4" s="272" t="s">
        <v>175</v>
      </c>
      <c r="GO4" s="273"/>
      <c r="GP4" s="274"/>
      <c r="GQ4" s="117"/>
      <c r="GS4" s="272" t="s">
        <v>175</v>
      </c>
      <c r="GT4" s="273"/>
      <c r="GU4" s="274"/>
      <c r="GV4" s="117"/>
      <c r="GX4" s="272" t="s">
        <v>175</v>
      </c>
      <c r="GY4" s="273"/>
      <c r="GZ4" s="274"/>
      <c r="HA4" s="117"/>
      <c r="HC4" s="272" t="s">
        <v>175</v>
      </c>
      <c r="HD4" s="273"/>
      <c r="HE4" s="274"/>
      <c r="HF4" s="117"/>
      <c r="HH4" s="272" t="s">
        <v>175</v>
      </c>
      <c r="HI4" s="273"/>
      <c r="HJ4" s="274"/>
      <c r="HK4" s="117"/>
      <c r="HM4" s="272" t="s">
        <v>175</v>
      </c>
      <c r="HN4" s="273"/>
      <c r="HO4" s="274"/>
      <c r="HP4" s="117"/>
      <c r="HR4" s="272" t="s">
        <v>175</v>
      </c>
      <c r="HS4" s="273"/>
      <c r="HT4" s="274"/>
      <c r="HU4" s="117"/>
      <c r="HW4" s="272" t="s">
        <v>175</v>
      </c>
      <c r="HX4" s="273"/>
      <c r="HY4" s="274"/>
      <c r="HZ4" s="117"/>
      <c r="IB4" s="272" t="s">
        <v>175</v>
      </c>
      <c r="IC4" s="273"/>
      <c r="ID4" s="274"/>
      <c r="IE4" s="117"/>
      <c r="IG4" s="272" t="s">
        <v>175</v>
      </c>
      <c r="IH4" s="273"/>
      <c r="II4" s="274"/>
      <c r="IJ4" s="117"/>
      <c r="IL4" s="272" t="s">
        <v>175</v>
      </c>
      <c r="IM4" s="273"/>
      <c r="IN4" s="274"/>
      <c r="IO4" s="117"/>
    </row>
    <row r="5" spans="1:250" x14ac:dyDescent="0.25">
      <c r="A5" s="272" t="s">
        <v>176</v>
      </c>
      <c r="B5" s="273"/>
      <c r="C5" s="274"/>
      <c r="D5" s="117" t="s">
        <v>178</v>
      </c>
      <c r="E5" s="16" t="str">
        <f>IF(D4="N","0",IF(D5="Y",E7/2,"0"))</f>
        <v>0</v>
      </c>
      <c r="F5" s="272" t="s">
        <v>176</v>
      </c>
      <c r="G5" s="273"/>
      <c r="H5" s="274"/>
      <c r="I5" s="117" t="s">
        <v>178</v>
      </c>
      <c r="J5" s="16" t="str">
        <f>IF(I4="N","0",IF(I5="Y",J7/2,"0"))</f>
        <v>0</v>
      </c>
      <c r="K5" s="272" t="s">
        <v>176</v>
      </c>
      <c r="L5" s="273"/>
      <c r="M5" s="274"/>
      <c r="N5" s="117" t="s">
        <v>178</v>
      </c>
      <c r="O5" s="16" t="str">
        <f>IF(N4="N","0",IF(N5="Y",O7/2,"0"))</f>
        <v>0</v>
      </c>
      <c r="P5" s="272" t="s">
        <v>176</v>
      </c>
      <c r="Q5" s="273"/>
      <c r="R5" s="274"/>
      <c r="S5" s="117" t="s">
        <v>179</v>
      </c>
      <c r="T5" s="16">
        <f>IF(S4="N","0",IF(S5="Y",T7/2,"0"))</f>
        <v>25</v>
      </c>
      <c r="U5" s="272" t="s">
        <v>176</v>
      </c>
      <c r="V5" s="273"/>
      <c r="W5" s="274"/>
      <c r="X5" s="117" t="s">
        <v>179</v>
      </c>
      <c r="Y5" s="16">
        <f>IF(X4="N","0",IF(X5="Y",Y7/2,"0"))</f>
        <v>25</v>
      </c>
      <c r="Z5" s="272" t="s">
        <v>176</v>
      </c>
      <c r="AA5" s="273"/>
      <c r="AB5" s="274"/>
      <c r="AC5" s="117" t="s">
        <v>178</v>
      </c>
      <c r="AD5" s="16" t="str">
        <f>IF(AC4="N","0",IF(AC5="Y",AD7/2,"0"))</f>
        <v>0</v>
      </c>
      <c r="AE5" s="272" t="s">
        <v>176</v>
      </c>
      <c r="AF5" s="273"/>
      <c r="AG5" s="274"/>
      <c r="AH5" s="117" t="s">
        <v>178</v>
      </c>
      <c r="AI5" s="16" t="str">
        <f>IF(AH4="N","0",IF(AH5="Y",AI7/2,"0"))</f>
        <v>0</v>
      </c>
      <c r="AJ5" s="272" t="s">
        <v>176</v>
      </c>
      <c r="AK5" s="273"/>
      <c r="AL5" s="274"/>
      <c r="AM5" s="117" t="s">
        <v>178</v>
      </c>
      <c r="AN5" s="16" t="str">
        <f>IF(AM4="N","0",IF(AM5="Y",AN7/2,"0"))</f>
        <v>0</v>
      </c>
      <c r="AO5" s="272" t="s">
        <v>176</v>
      </c>
      <c r="AP5" s="273"/>
      <c r="AQ5" s="274"/>
      <c r="AR5" s="117" t="s">
        <v>179</v>
      </c>
      <c r="AS5" s="16">
        <f>IF(AR4="N","0",IF(AR5="Y",AS7/2,"0"))</f>
        <v>25</v>
      </c>
      <c r="AT5" s="272" t="s">
        <v>176</v>
      </c>
      <c r="AU5" s="273"/>
      <c r="AV5" s="274"/>
      <c r="AW5" s="117" t="s">
        <v>178</v>
      </c>
      <c r="AX5" s="16" t="str">
        <f>IF(AW4="N","0",IF(AW5="Y",AX7/2,"0"))</f>
        <v>0</v>
      </c>
      <c r="AY5" s="272" t="s">
        <v>176</v>
      </c>
      <c r="AZ5" s="273"/>
      <c r="BA5" s="274"/>
      <c r="BB5" s="117" t="s">
        <v>178</v>
      </c>
      <c r="BC5" s="16" t="str">
        <f>IF(BB4="N","0",IF(BB5="Y",BC7/2,"0"))</f>
        <v>0</v>
      </c>
      <c r="BD5" s="272" t="s">
        <v>176</v>
      </c>
      <c r="BE5" s="273"/>
      <c r="BF5" s="274"/>
      <c r="BG5" s="117" t="s">
        <v>178</v>
      </c>
      <c r="BH5" s="16" t="str">
        <f>IF(BG4="N","0",IF(BG5="Y",BH7/2,"0"))</f>
        <v>0</v>
      </c>
      <c r="BI5" s="272" t="s">
        <v>176</v>
      </c>
      <c r="BJ5" s="273"/>
      <c r="BK5" s="274"/>
      <c r="BL5" s="117" t="s">
        <v>178</v>
      </c>
      <c r="BM5" s="16" t="str">
        <f>IF(BL4="N","0",IF(BL5="Y",BM7/2,"0"))</f>
        <v>0</v>
      </c>
      <c r="BN5" s="272" t="s">
        <v>176</v>
      </c>
      <c r="BO5" s="273"/>
      <c r="BP5" s="274"/>
      <c r="BQ5" s="117" t="s">
        <v>178</v>
      </c>
      <c r="BR5" s="16" t="str">
        <f>IF(BQ4="N","0",IF(BQ5="Y",BR7/2,"0"))</f>
        <v>0</v>
      </c>
      <c r="BS5" s="272" t="s">
        <v>176</v>
      </c>
      <c r="BT5" s="273"/>
      <c r="BU5" s="274"/>
      <c r="BV5" s="117" t="s">
        <v>178</v>
      </c>
      <c r="BW5" s="16" t="str">
        <f>IF(BV4="N","0",IF(BV5="Y",BW7/2,"0"))</f>
        <v>0</v>
      </c>
      <c r="BX5" s="272" t="s">
        <v>176</v>
      </c>
      <c r="BY5" s="273"/>
      <c r="BZ5" s="274"/>
      <c r="CA5" s="117" t="s">
        <v>178</v>
      </c>
      <c r="CB5" s="16" t="str">
        <f>IF(CA4="N","0",IF(CA5="Y",CB7/2,"0"))</f>
        <v>0</v>
      </c>
      <c r="CC5" s="272" t="s">
        <v>176</v>
      </c>
      <c r="CD5" s="273"/>
      <c r="CE5" s="274"/>
      <c r="CF5" s="117" t="s">
        <v>178</v>
      </c>
      <c r="CG5" s="16" t="str">
        <f>IF(CF4="N","0",IF(CF5="Y",CG7/2,"0"))</f>
        <v>0</v>
      </c>
      <c r="CH5" s="272" t="s">
        <v>176</v>
      </c>
      <c r="CI5" s="273"/>
      <c r="CJ5" s="274"/>
      <c r="CK5" s="117" t="s">
        <v>178</v>
      </c>
      <c r="CL5" s="16" t="str">
        <f>IF(CK4="N","0",IF(CK5="Y",CL7/2,"0"))</f>
        <v>0</v>
      </c>
      <c r="CM5" s="272" t="s">
        <v>176</v>
      </c>
      <c r="CN5" s="273"/>
      <c r="CO5" s="274"/>
      <c r="CP5" s="117" t="s">
        <v>178</v>
      </c>
      <c r="CQ5" s="16" t="str">
        <f>IF(CP4="N","0",IF(CP5="Y",CQ7/2,"0"))</f>
        <v>0</v>
      </c>
      <c r="CR5" s="272" t="s">
        <v>176</v>
      </c>
      <c r="CS5" s="273"/>
      <c r="CT5" s="274"/>
      <c r="CU5" s="117" t="s">
        <v>179</v>
      </c>
      <c r="CV5" s="16">
        <f>IF(CU4="N","0",IF(CU5="Y",CV7/2,"0"))</f>
        <v>25</v>
      </c>
      <c r="CW5" s="272" t="s">
        <v>176</v>
      </c>
      <c r="CX5" s="273"/>
      <c r="CY5" s="274"/>
      <c r="CZ5" s="117" t="s">
        <v>178</v>
      </c>
      <c r="DA5" s="16" t="str">
        <f>IF(CZ4="N","0",IF(CZ5="Y",DA7/2,"0"))</f>
        <v>0</v>
      </c>
      <c r="DB5" s="272" t="s">
        <v>176</v>
      </c>
      <c r="DC5" s="273"/>
      <c r="DD5" s="274"/>
      <c r="DE5" s="117" t="s">
        <v>178</v>
      </c>
      <c r="DF5" s="16" t="str">
        <f>IF(DE4="N","0",IF(DE5="Y",DF7/2,"0"))</f>
        <v>0</v>
      </c>
      <c r="DG5" s="272" t="s">
        <v>176</v>
      </c>
      <c r="DH5" s="273"/>
      <c r="DI5" s="274"/>
      <c r="DJ5" s="117" t="s">
        <v>178</v>
      </c>
      <c r="DK5" s="16" t="str">
        <f>IF(DJ4="N","0",IF(DJ5="Y",DK7/2,"0"))</f>
        <v>0</v>
      </c>
      <c r="DL5" s="272" t="s">
        <v>176</v>
      </c>
      <c r="DM5" s="273"/>
      <c r="DN5" s="274"/>
      <c r="DO5" s="117" t="s">
        <v>179</v>
      </c>
      <c r="DP5" s="16">
        <f>IF(DO4="N","0",IF(DO5="Y",DP7/2,"0"))</f>
        <v>25</v>
      </c>
      <c r="DQ5" s="272" t="s">
        <v>176</v>
      </c>
      <c r="DR5" s="273"/>
      <c r="DS5" s="274"/>
      <c r="DT5" s="117" t="s">
        <v>178</v>
      </c>
      <c r="DU5" s="16" t="str">
        <f>IF(DT4="N","0",IF(DT5="Y",DU7/2,"0"))</f>
        <v>0</v>
      </c>
      <c r="DV5" s="272" t="s">
        <v>176</v>
      </c>
      <c r="DW5" s="273"/>
      <c r="DX5" s="274"/>
      <c r="DY5" s="117" t="s">
        <v>178</v>
      </c>
      <c r="DZ5" s="16" t="str">
        <f>IF(DY4="N","0",IF(DY5="Y",DZ7/2,"0"))</f>
        <v>0</v>
      </c>
      <c r="EA5" s="272" t="s">
        <v>176</v>
      </c>
      <c r="EB5" s="273"/>
      <c r="EC5" s="274"/>
      <c r="ED5" s="117" t="s">
        <v>179</v>
      </c>
      <c r="EE5" s="16">
        <f>IF(ED4="N","0",IF(ED5="Y",EE7/2,"0"))</f>
        <v>15</v>
      </c>
      <c r="EF5" s="272" t="s">
        <v>176</v>
      </c>
      <c r="EG5" s="273"/>
      <c r="EH5" s="274"/>
      <c r="EI5" s="117" t="s">
        <v>179</v>
      </c>
      <c r="EJ5" s="16">
        <f>IF(EI4="N","0",IF(EI5="Y",EJ7/2,"0"))</f>
        <v>25</v>
      </c>
      <c r="EK5" s="272" t="s">
        <v>176</v>
      </c>
      <c r="EL5" s="273"/>
      <c r="EM5" s="274"/>
      <c r="EN5" s="117" t="s">
        <v>179</v>
      </c>
      <c r="EO5" s="16">
        <f>IF(EN4="N","0",IF(EN5="Y",EO7/2,"0"))</f>
        <v>25</v>
      </c>
      <c r="EP5" s="272" t="s">
        <v>176</v>
      </c>
      <c r="EQ5" s="273"/>
      <c r="ER5" s="274"/>
      <c r="ES5" s="117" t="s">
        <v>178</v>
      </c>
      <c r="ET5" s="16" t="str">
        <f>IF(ES4="N","0",IF(ES5="Y",ET7/2,"0"))</f>
        <v>0</v>
      </c>
      <c r="EU5" s="272" t="s">
        <v>176</v>
      </c>
      <c r="EV5" s="273"/>
      <c r="EW5" s="274"/>
      <c r="EX5" s="117" t="s">
        <v>178</v>
      </c>
      <c r="EY5" s="16" t="str">
        <f>IF(EX4="N","0",IF(EX5="Y",EY7/2,"0"))</f>
        <v>0</v>
      </c>
      <c r="EZ5" s="272" t="s">
        <v>176</v>
      </c>
      <c r="FA5" s="273"/>
      <c r="FB5" s="274"/>
      <c r="FC5" s="117" t="s">
        <v>178</v>
      </c>
      <c r="FD5" s="16" t="str">
        <f>IF(FC4="N","0",IF(FC5="Y",FD7/2,"0"))</f>
        <v>0</v>
      </c>
      <c r="FE5" s="272" t="s">
        <v>176</v>
      </c>
      <c r="FF5" s="273"/>
      <c r="FG5" s="274"/>
      <c r="FH5" s="117" t="s">
        <v>178</v>
      </c>
      <c r="FI5" s="16" t="str">
        <f>IF(FH4="N","0",IF(FH5="Y",FI7/2,"0"))</f>
        <v>0</v>
      </c>
      <c r="FJ5" s="272" t="s">
        <v>176</v>
      </c>
      <c r="FK5" s="273"/>
      <c r="FL5" s="274"/>
      <c r="FM5" s="117"/>
      <c r="FN5" s="16" t="str">
        <f>IF(FM4="N","0",IF(FM5="Y",FN7/2,"0"))</f>
        <v>0</v>
      </c>
      <c r="FO5" s="272" t="s">
        <v>176</v>
      </c>
      <c r="FP5" s="273"/>
      <c r="FQ5" s="274"/>
      <c r="FR5" s="117"/>
      <c r="FS5" s="16" t="str">
        <f>IF(FR4="N","0",IF(FR5="Y",FS7/2,"0"))</f>
        <v>0</v>
      </c>
      <c r="FT5" s="272" t="s">
        <v>176</v>
      </c>
      <c r="FU5" s="273"/>
      <c r="FV5" s="274"/>
      <c r="FW5" s="117"/>
      <c r="FX5" s="16" t="str">
        <f>IF(FW4="N","0",IF(FW5="Y",FX7/2,"0"))</f>
        <v>0</v>
      </c>
      <c r="FY5" s="272" t="s">
        <v>176</v>
      </c>
      <c r="FZ5" s="273"/>
      <c r="GA5" s="274"/>
      <c r="GB5" s="117"/>
      <c r="GC5" s="16" t="str">
        <f>IF(GB4="N","0",IF(GB5="Y",GC7/2,"0"))</f>
        <v>0</v>
      </c>
      <c r="GD5" s="272" t="s">
        <v>176</v>
      </c>
      <c r="GE5" s="273"/>
      <c r="GF5" s="274"/>
      <c r="GG5" s="117"/>
      <c r="GH5" s="16" t="str">
        <f>IF(GG4="N","0",IF(GG5="Y",GH7/2,"0"))</f>
        <v>0</v>
      </c>
      <c r="GI5" s="272" t="s">
        <v>176</v>
      </c>
      <c r="GJ5" s="273"/>
      <c r="GK5" s="274"/>
      <c r="GL5" s="117"/>
      <c r="GM5" s="16" t="str">
        <f>IF(GL4="N","0",IF(GL5="Y",GM7/2,"0"))</f>
        <v>0</v>
      </c>
      <c r="GN5" s="272" t="s">
        <v>176</v>
      </c>
      <c r="GO5" s="273"/>
      <c r="GP5" s="274"/>
      <c r="GQ5" s="117"/>
      <c r="GR5" s="16" t="str">
        <f>IF(GQ4="N","0",IF(GQ5="Y",GR7/2,"0"))</f>
        <v>0</v>
      </c>
      <c r="GS5" s="272" t="s">
        <v>176</v>
      </c>
      <c r="GT5" s="273"/>
      <c r="GU5" s="274"/>
      <c r="GV5" s="117"/>
      <c r="GW5" s="16" t="str">
        <f>IF(GV4="N","0",IF(GV5="Y",GW7/2,"0"))</f>
        <v>0</v>
      </c>
      <c r="GX5" s="272" t="s">
        <v>176</v>
      </c>
      <c r="GY5" s="273"/>
      <c r="GZ5" s="274"/>
      <c r="HA5" s="117"/>
      <c r="HB5" s="16" t="str">
        <f>IF(HA4="N","0",IF(HA5="Y",HB7/2,"0"))</f>
        <v>0</v>
      </c>
      <c r="HC5" s="272" t="s">
        <v>176</v>
      </c>
      <c r="HD5" s="273"/>
      <c r="HE5" s="274"/>
      <c r="HF5" s="117"/>
      <c r="HG5" s="16" t="str">
        <f>IF(HF4="N","0",IF(HF5="Y",HG7/2,"0"))</f>
        <v>0</v>
      </c>
      <c r="HH5" s="272" t="s">
        <v>176</v>
      </c>
      <c r="HI5" s="273"/>
      <c r="HJ5" s="274"/>
      <c r="HK5" s="117"/>
      <c r="HL5" s="16" t="str">
        <f>IF(HK4="N","0",IF(HK5="Y",HL7/2,"0"))</f>
        <v>0</v>
      </c>
      <c r="HM5" s="272" t="s">
        <v>176</v>
      </c>
      <c r="HN5" s="273"/>
      <c r="HO5" s="274"/>
      <c r="HP5" s="117"/>
      <c r="HQ5" s="16" t="str">
        <f>IF(HP4="N","0",IF(HP5="Y",HQ7/2,"0"))</f>
        <v>0</v>
      </c>
      <c r="HR5" s="272" t="s">
        <v>176</v>
      </c>
      <c r="HS5" s="273"/>
      <c r="HT5" s="274"/>
      <c r="HU5" s="117"/>
      <c r="HV5" s="16" t="str">
        <f>IF(HU4="N","0",IF(HU5="Y",HV7/2,"0"))</f>
        <v>0</v>
      </c>
      <c r="HW5" s="272" t="s">
        <v>176</v>
      </c>
      <c r="HX5" s="273"/>
      <c r="HY5" s="274"/>
      <c r="HZ5" s="117"/>
      <c r="IA5" s="16" t="str">
        <f>IF(HZ4="N","0",IF(HZ5="Y",IA7/2,"0"))</f>
        <v>0</v>
      </c>
      <c r="IB5" s="272" t="s">
        <v>176</v>
      </c>
      <c r="IC5" s="273"/>
      <c r="ID5" s="274"/>
      <c r="IE5" s="117"/>
      <c r="IF5" s="16" t="str">
        <f>IF(IE4="N","0",IF(IE5="Y",IF7/2,"0"))</f>
        <v>0</v>
      </c>
      <c r="IG5" s="272" t="s">
        <v>176</v>
      </c>
      <c r="IH5" s="273"/>
      <c r="II5" s="274"/>
      <c r="IJ5" s="117"/>
      <c r="IK5" s="16" t="str">
        <f>IF(IJ4="N","0",IF(IJ5="Y",IK7/2,"0"))</f>
        <v>0</v>
      </c>
      <c r="IL5" s="272" t="s">
        <v>176</v>
      </c>
      <c r="IM5" s="273"/>
      <c r="IN5" s="274"/>
      <c r="IO5" s="117"/>
      <c r="IP5" s="16" t="str">
        <f>IF(IO4="N","0",IF(IO5="Y",IP7/2,"0"))</f>
        <v>0</v>
      </c>
    </row>
    <row r="6" spans="1:250" x14ac:dyDescent="0.25">
      <c r="A6" s="272" t="s">
        <v>177</v>
      </c>
      <c r="B6" s="273"/>
      <c r="C6" s="274"/>
      <c r="D6" s="117" t="s">
        <v>179</v>
      </c>
      <c r="E6" s="16" t="str">
        <f>IF(D4="N","0",IF(D6="N",E7/2,"0"))</f>
        <v>0</v>
      </c>
      <c r="F6" s="272" t="s">
        <v>177</v>
      </c>
      <c r="G6" s="273"/>
      <c r="H6" s="274"/>
      <c r="I6" s="117" t="s">
        <v>179</v>
      </c>
      <c r="J6" s="16" t="str">
        <f>IF(I4="N","0",IF(I6="N",J7/2,"0"))</f>
        <v>0</v>
      </c>
      <c r="K6" s="272" t="s">
        <v>177</v>
      </c>
      <c r="L6" s="273"/>
      <c r="M6" s="274"/>
      <c r="N6" s="117" t="s">
        <v>178</v>
      </c>
      <c r="O6" s="16">
        <f>IF(N4="N","0",IF(N6="N",O7/2,"0"))</f>
        <v>25</v>
      </c>
      <c r="P6" s="272" t="s">
        <v>177</v>
      </c>
      <c r="Q6" s="273"/>
      <c r="R6" s="274"/>
      <c r="S6" s="117" t="s">
        <v>178</v>
      </c>
      <c r="T6" s="16">
        <f>IF(S4="N","0",IF(S6="N",T7/2,"0"))</f>
        <v>25</v>
      </c>
      <c r="U6" s="272" t="s">
        <v>177</v>
      </c>
      <c r="V6" s="273"/>
      <c r="W6" s="274"/>
      <c r="X6" s="117" t="s">
        <v>179</v>
      </c>
      <c r="Y6" s="16" t="str">
        <f>IF(X4="N","0",IF(X6="N",Y7/2,"0"))</f>
        <v>0</v>
      </c>
      <c r="Z6" s="272" t="s">
        <v>177</v>
      </c>
      <c r="AA6" s="273"/>
      <c r="AB6" s="274"/>
      <c r="AC6" s="117" t="s">
        <v>179</v>
      </c>
      <c r="AD6" s="16" t="str">
        <f>IF(AC4="N","0",IF(AC6="N",AD7/2,"0"))</f>
        <v>0</v>
      </c>
      <c r="AE6" s="272" t="s">
        <v>177</v>
      </c>
      <c r="AF6" s="273"/>
      <c r="AG6" s="274"/>
      <c r="AH6" s="117" t="s">
        <v>179</v>
      </c>
      <c r="AI6" s="16" t="str">
        <f>IF(AH4="N","0",IF(AH6="N",AI7/2,"0"))</f>
        <v>0</v>
      </c>
      <c r="AJ6" s="272" t="s">
        <v>177</v>
      </c>
      <c r="AK6" s="273"/>
      <c r="AL6" s="274"/>
      <c r="AM6" s="117" t="s">
        <v>179</v>
      </c>
      <c r="AN6" s="16" t="str">
        <f>IF(AM4="N","0",IF(AM6="N",AN7/2,"0"))</f>
        <v>0</v>
      </c>
      <c r="AO6" s="272" t="s">
        <v>177</v>
      </c>
      <c r="AP6" s="273"/>
      <c r="AQ6" s="274"/>
      <c r="AR6" s="117" t="s">
        <v>178</v>
      </c>
      <c r="AS6" s="16">
        <f>IF(AR4="N","0",IF(AR6="N",AS7/2,"0"))</f>
        <v>25</v>
      </c>
      <c r="AT6" s="272" t="s">
        <v>177</v>
      </c>
      <c r="AU6" s="273"/>
      <c r="AV6" s="274"/>
      <c r="AW6" s="117" t="s">
        <v>179</v>
      </c>
      <c r="AX6" s="16" t="str">
        <f>IF(AW4="N","0",IF(AW6="N",AX7/2,"0"))</f>
        <v>0</v>
      </c>
      <c r="AY6" s="272" t="s">
        <v>177</v>
      </c>
      <c r="AZ6" s="273"/>
      <c r="BA6" s="274"/>
      <c r="BB6" s="117" t="s">
        <v>178</v>
      </c>
      <c r="BC6" s="16">
        <f>IF(BB4="N","0",IF(BB6="N",BC7/2,"0"))</f>
        <v>25</v>
      </c>
      <c r="BD6" s="272" t="s">
        <v>177</v>
      </c>
      <c r="BE6" s="273"/>
      <c r="BF6" s="274"/>
      <c r="BG6" s="117" t="s">
        <v>179</v>
      </c>
      <c r="BH6" s="16" t="str">
        <f>IF(BG4="N","0",IF(BG6="N",BH7/2,"0"))</f>
        <v>0</v>
      </c>
      <c r="BI6" s="272" t="s">
        <v>177</v>
      </c>
      <c r="BJ6" s="273"/>
      <c r="BK6" s="274"/>
      <c r="BL6" s="117" t="s">
        <v>178</v>
      </c>
      <c r="BM6" s="16">
        <f>IF(BL4="N","0",IF(BL6="N",BM7/2,"0"))</f>
        <v>25</v>
      </c>
      <c r="BN6" s="272" t="s">
        <v>177</v>
      </c>
      <c r="BO6" s="273"/>
      <c r="BP6" s="274"/>
      <c r="BQ6" s="117" t="s">
        <v>178</v>
      </c>
      <c r="BR6" s="16">
        <f>IF(BQ4="N","0",IF(BQ6="N",BR7/2,"0"))</f>
        <v>25</v>
      </c>
      <c r="BS6" s="272" t="s">
        <v>177</v>
      </c>
      <c r="BT6" s="273"/>
      <c r="BU6" s="274"/>
      <c r="BV6" s="117" t="s">
        <v>179</v>
      </c>
      <c r="BW6" s="16" t="str">
        <f>IF(BV4="N","0",IF(BV6="N",BW7/2,"0"))</f>
        <v>0</v>
      </c>
      <c r="BX6" s="272" t="s">
        <v>177</v>
      </c>
      <c r="BY6" s="273"/>
      <c r="BZ6" s="274"/>
      <c r="CA6" s="117" t="s">
        <v>179</v>
      </c>
      <c r="CB6" s="16" t="str">
        <f>IF(CA4="N","0",IF(CA6="N",CB7/2,"0"))</f>
        <v>0</v>
      </c>
      <c r="CC6" s="272" t="s">
        <v>177</v>
      </c>
      <c r="CD6" s="273"/>
      <c r="CE6" s="274"/>
      <c r="CF6" s="117" t="s">
        <v>179</v>
      </c>
      <c r="CG6" s="16" t="str">
        <f>IF(CF4="N","0",IF(CF6="N",CG7/2,"0"))</f>
        <v>0</v>
      </c>
      <c r="CH6" s="272" t="s">
        <v>177</v>
      </c>
      <c r="CI6" s="273"/>
      <c r="CJ6" s="274"/>
      <c r="CK6" s="117" t="s">
        <v>179</v>
      </c>
      <c r="CL6" s="16" t="str">
        <f>IF(CK4="N","0",IF(CK6="N",CL7/2,"0"))</f>
        <v>0</v>
      </c>
      <c r="CM6" s="272" t="s">
        <v>177</v>
      </c>
      <c r="CN6" s="273"/>
      <c r="CO6" s="274"/>
      <c r="CP6" s="117" t="s">
        <v>178</v>
      </c>
      <c r="CQ6" s="16">
        <f>IF(CP4="N","0",IF(CP6="N",CQ7/2,"0"))</f>
        <v>25</v>
      </c>
      <c r="CR6" s="272" t="s">
        <v>177</v>
      </c>
      <c r="CS6" s="273"/>
      <c r="CT6" s="274"/>
      <c r="CU6" s="117" t="s">
        <v>179</v>
      </c>
      <c r="CV6" s="16" t="str">
        <f>IF(CU4="N","0",IF(CU6="N",CV7/2,"0"))</f>
        <v>0</v>
      </c>
      <c r="CW6" s="272" t="s">
        <v>177</v>
      </c>
      <c r="CX6" s="273"/>
      <c r="CY6" s="274"/>
      <c r="CZ6" s="117" t="s">
        <v>179</v>
      </c>
      <c r="DA6" s="16" t="str">
        <f>IF(CZ4="N","0",IF(CZ6="N",DA7/2,"0"))</f>
        <v>0</v>
      </c>
      <c r="DB6" s="272" t="s">
        <v>177</v>
      </c>
      <c r="DC6" s="273"/>
      <c r="DD6" s="274"/>
      <c r="DE6" s="117" t="s">
        <v>178</v>
      </c>
      <c r="DF6" s="16">
        <f>IF(DE4="N","0",IF(DE6="N",DF7/2,"0"))</f>
        <v>25</v>
      </c>
      <c r="DG6" s="272" t="s">
        <v>177</v>
      </c>
      <c r="DH6" s="273"/>
      <c r="DI6" s="274"/>
      <c r="DJ6" s="117" t="s">
        <v>179</v>
      </c>
      <c r="DK6" s="16" t="str">
        <f>IF(DJ4="N","0",IF(DJ6="N",DK7/2,"0"))</f>
        <v>0</v>
      </c>
      <c r="DL6" s="272" t="s">
        <v>177</v>
      </c>
      <c r="DM6" s="273"/>
      <c r="DN6" s="274"/>
      <c r="DO6" s="117" t="s">
        <v>178</v>
      </c>
      <c r="DP6" s="16">
        <f>IF(DO4="N","0",IF(DO6="N",DP7/2,"0"))</f>
        <v>25</v>
      </c>
      <c r="DQ6" s="272" t="s">
        <v>177</v>
      </c>
      <c r="DR6" s="273"/>
      <c r="DS6" s="274"/>
      <c r="DT6" s="117" t="s">
        <v>179</v>
      </c>
      <c r="DU6" s="16" t="str">
        <f>IF(DT4="N","0",IF(DT6="N",DU7/2,"0"))</f>
        <v>0</v>
      </c>
      <c r="DV6" s="272" t="s">
        <v>177</v>
      </c>
      <c r="DW6" s="273"/>
      <c r="DX6" s="274"/>
      <c r="DY6" s="117" t="s">
        <v>178</v>
      </c>
      <c r="DZ6" s="16">
        <f>IF(DY4="N","0",IF(DY6="N",DZ7/2,"0"))</f>
        <v>15</v>
      </c>
      <c r="EA6" s="272" t="s">
        <v>177</v>
      </c>
      <c r="EB6" s="273"/>
      <c r="EC6" s="274"/>
      <c r="ED6" s="117" t="s">
        <v>178</v>
      </c>
      <c r="EE6" s="16">
        <f>IF(ED4="N","0",IF(ED6="N",EE7/2,"0"))</f>
        <v>15</v>
      </c>
      <c r="EF6" s="272" t="s">
        <v>177</v>
      </c>
      <c r="EG6" s="273"/>
      <c r="EH6" s="274"/>
      <c r="EI6" s="117" t="s">
        <v>178</v>
      </c>
      <c r="EJ6" s="16">
        <f>IF(EI4="N","0",IF(EI6="N",EJ7/2,"0"))</f>
        <v>25</v>
      </c>
      <c r="EK6" s="272" t="s">
        <v>177</v>
      </c>
      <c r="EL6" s="273"/>
      <c r="EM6" s="274"/>
      <c r="EN6" s="117" t="s">
        <v>178</v>
      </c>
      <c r="EO6" s="16">
        <f>IF(EN4="N","0",IF(EN6="N",EO7/2,"0"))</f>
        <v>25</v>
      </c>
      <c r="EP6" s="272" t="s">
        <v>177</v>
      </c>
      <c r="EQ6" s="273"/>
      <c r="ER6" s="274"/>
      <c r="ES6" s="117" t="s">
        <v>179</v>
      </c>
      <c r="ET6" s="16" t="str">
        <f>IF(ES4="N","0",IF(ES6="N",ET7/2,"0"))</f>
        <v>0</v>
      </c>
      <c r="EU6" s="272" t="s">
        <v>177</v>
      </c>
      <c r="EV6" s="273"/>
      <c r="EW6" s="274"/>
      <c r="EX6" s="117" t="s">
        <v>179</v>
      </c>
      <c r="EY6" s="16" t="str">
        <f>IF(EX4="N","0",IF(EX6="N",EY7/2,"0"))</f>
        <v>0</v>
      </c>
      <c r="EZ6" s="272" t="s">
        <v>177</v>
      </c>
      <c r="FA6" s="273"/>
      <c r="FB6" s="274"/>
      <c r="FC6" s="117" t="s">
        <v>179</v>
      </c>
      <c r="FD6" s="16" t="str">
        <f>IF(FC4="N","0",IF(FC6="N",FD7/2,"0"))</f>
        <v>0</v>
      </c>
      <c r="FE6" s="272" t="s">
        <v>177</v>
      </c>
      <c r="FF6" s="273"/>
      <c r="FG6" s="274"/>
      <c r="FH6" s="117" t="s">
        <v>178</v>
      </c>
      <c r="FI6" s="16" t="str">
        <f>IF(FH4="N","0",IF(FH6="N",FI7/2,"0"))</f>
        <v>0</v>
      </c>
      <c r="FJ6" s="272" t="s">
        <v>177</v>
      </c>
      <c r="FK6" s="273"/>
      <c r="FL6" s="274"/>
      <c r="FM6" s="117" t="s">
        <v>178</v>
      </c>
      <c r="FN6" s="16">
        <f>IF(FM4="N","0",IF(FM6="N",FN7/2,"0"))</f>
        <v>0</v>
      </c>
      <c r="FO6" s="272" t="s">
        <v>177</v>
      </c>
      <c r="FP6" s="273"/>
      <c r="FQ6" s="274"/>
      <c r="FR6" s="117" t="s">
        <v>178</v>
      </c>
      <c r="FS6" s="16">
        <f>IF(FR4="N","0",IF(FR6="N",FS7/2,"0"))</f>
        <v>0</v>
      </c>
      <c r="FT6" s="272" t="s">
        <v>177</v>
      </c>
      <c r="FU6" s="273"/>
      <c r="FV6" s="274"/>
      <c r="FW6" s="117" t="s">
        <v>178</v>
      </c>
      <c r="FX6" s="16">
        <f>IF(FW4="N","0",IF(FW6="N",FX7/2,"0"))</f>
        <v>0</v>
      </c>
      <c r="FY6" s="272" t="s">
        <v>177</v>
      </c>
      <c r="FZ6" s="273"/>
      <c r="GA6" s="274"/>
      <c r="GB6" s="117" t="s">
        <v>178</v>
      </c>
      <c r="GC6" s="16">
        <f>IF(GB4="N","0",IF(GB6="N",GC7/2,"0"))</f>
        <v>0</v>
      </c>
      <c r="GD6" s="272" t="s">
        <v>177</v>
      </c>
      <c r="GE6" s="273"/>
      <c r="GF6" s="274"/>
      <c r="GG6" s="117" t="s">
        <v>178</v>
      </c>
      <c r="GH6" s="16">
        <f>IF(GG4="N","0",IF(GG6="N",GH7/2,"0"))</f>
        <v>0</v>
      </c>
      <c r="GI6" s="272" t="s">
        <v>177</v>
      </c>
      <c r="GJ6" s="273"/>
      <c r="GK6" s="274"/>
      <c r="GL6" s="117" t="s">
        <v>178</v>
      </c>
      <c r="GM6" s="16">
        <f>IF(GL4="N","0",IF(GL6="N",GM7/2,"0"))</f>
        <v>0</v>
      </c>
      <c r="GN6" s="272" t="s">
        <v>177</v>
      </c>
      <c r="GO6" s="273"/>
      <c r="GP6" s="274"/>
      <c r="GQ6" s="117" t="s">
        <v>178</v>
      </c>
      <c r="GR6" s="16">
        <f>IF(GQ4="N","0",IF(GQ6="N",GR7/2,"0"))</f>
        <v>0</v>
      </c>
      <c r="GS6" s="272" t="s">
        <v>177</v>
      </c>
      <c r="GT6" s="273"/>
      <c r="GU6" s="274"/>
      <c r="GV6" s="117" t="s">
        <v>178</v>
      </c>
      <c r="GW6" s="16">
        <f>IF(GV4="N","0",IF(GV6="N",GW7/2,"0"))</f>
        <v>0</v>
      </c>
      <c r="GX6" s="272" t="s">
        <v>177</v>
      </c>
      <c r="GY6" s="273"/>
      <c r="GZ6" s="274"/>
      <c r="HA6" s="117" t="s">
        <v>178</v>
      </c>
      <c r="HB6" s="16">
        <f>IF(HA4="N","0",IF(HA6="N",HB7/2,"0"))</f>
        <v>0</v>
      </c>
      <c r="HC6" s="272" t="s">
        <v>177</v>
      </c>
      <c r="HD6" s="273"/>
      <c r="HE6" s="274"/>
      <c r="HF6" s="117" t="s">
        <v>178</v>
      </c>
      <c r="HG6" s="16">
        <f>IF(HF4="N","0",IF(HF6="N",HG7/2,"0"))</f>
        <v>0</v>
      </c>
      <c r="HH6" s="272" t="s">
        <v>177</v>
      </c>
      <c r="HI6" s="273"/>
      <c r="HJ6" s="274"/>
      <c r="HK6" s="117" t="s">
        <v>178</v>
      </c>
      <c r="HL6" s="16">
        <f>IF(HK4="N","0",IF(HK6="N",HL7/2,"0"))</f>
        <v>0</v>
      </c>
      <c r="HM6" s="272" t="s">
        <v>177</v>
      </c>
      <c r="HN6" s="273"/>
      <c r="HO6" s="274"/>
      <c r="HP6" s="117" t="s">
        <v>178</v>
      </c>
      <c r="HQ6" s="16">
        <f>IF(HP4="N","0",IF(HP6="N",HQ7/2,"0"))</f>
        <v>0</v>
      </c>
      <c r="HR6" s="272" t="s">
        <v>177</v>
      </c>
      <c r="HS6" s="273"/>
      <c r="HT6" s="274"/>
      <c r="HU6" s="117" t="s">
        <v>178</v>
      </c>
      <c r="HV6" s="16">
        <f>IF(HU4="N","0",IF(HU6="N",HV7/2,"0"))</f>
        <v>0</v>
      </c>
      <c r="HW6" s="272" t="s">
        <v>177</v>
      </c>
      <c r="HX6" s="273"/>
      <c r="HY6" s="274"/>
      <c r="HZ6" s="117" t="s">
        <v>178</v>
      </c>
      <c r="IA6" s="16">
        <f>IF(HZ4="N","0",IF(HZ6="N",IA7/2,"0"))</f>
        <v>0</v>
      </c>
      <c r="IB6" s="272" t="s">
        <v>177</v>
      </c>
      <c r="IC6" s="273"/>
      <c r="ID6" s="274"/>
      <c r="IE6" s="117" t="s">
        <v>178</v>
      </c>
      <c r="IF6" s="16">
        <f>IF(IE4="N","0",IF(IE6="N",IF7/2,"0"))</f>
        <v>0</v>
      </c>
      <c r="IG6" s="272" t="s">
        <v>177</v>
      </c>
      <c r="IH6" s="273"/>
      <c r="II6" s="274"/>
      <c r="IJ6" s="117" t="s">
        <v>178</v>
      </c>
      <c r="IK6" s="16">
        <f>IF(IJ4="N","0",IF(IJ6="N",IK7/2,"0"))</f>
        <v>0</v>
      </c>
      <c r="IL6" s="272" t="s">
        <v>177</v>
      </c>
      <c r="IM6" s="273"/>
      <c r="IN6" s="274"/>
      <c r="IO6" s="117" t="s">
        <v>178</v>
      </c>
      <c r="IP6" s="16">
        <f>IF(IO4="N","0",IF(IO6="N",IP7/2,"0"))</f>
        <v>0</v>
      </c>
    </row>
    <row r="7" spans="1:250" x14ac:dyDescent="0.25">
      <c r="A7" s="272" t="s">
        <v>180</v>
      </c>
      <c r="B7" s="273"/>
      <c r="C7" s="274"/>
      <c r="D7" s="117" t="s">
        <v>492</v>
      </c>
      <c r="E7" s="16">
        <f>IF(OR(D7="RPX",D7="SS"),30,IF(OR(D7="RPX-T",D7="EUC"),50,0))</f>
        <v>50</v>
      </c>
      <c r="F7" s="272" t="s">
        <v>180</v>
      </c>
      <c r="G7" s="273"/>
      <c r="H7" s="274"/>
      <c r="I7" s="117" t="s">
        <v>492</v>
      </c>
      <c r="J7" s="16">
        <f>IF(OR(I7="RPX",I7="SS"),30,IF(OR(I7="RPX-T",I7="EUC"),50,0))</f>
        <v>50</v>
      </c>
      <c r="K7" s="272" t="s">
        <v>180</v>
      </c>
      <c r="L7" s="273"/>
      <c r="M7" s="274"/>
      <c r="N7" s="117" t="s">
        <v>492</v>
      </c>
      <c r="O7" s="16">
        <f>IF(OR(N7="RPX",N7="SS"),30,IF(OR(N7="RPX-T",N7="EUC"),50,0))</f>
        <v>50</v>
      </c>
      <c r="P7" s="272" t="s">
        <v>180</v>
      </c>
      <c r="Q7" s="273"/>
      <c r="R7" s="274"/>
      <c r="S7" s="117" t="s">
        <v>492</v>
      </c>
      <c r="T7" s="16">
        <f>IF(OR(S7="RPX",S7="SS"),30,IF(OR(S7="RPX-T",S7="EUC"),50,0))</f>
        <v>50</v>
      </c>
      <c r="U7" s="272" t="s">
        <v>180</v>
      </c>
      <c r="V7" s="273"/>
      <c r="W7" s="274"/>
      <c r="X7" s="117" t="s">
        <v>492</v>
      </c>
      <c r="Y7" s="16">
        <f>IF(OR(X7="RPX",X7="SS"),30,IF(OR(X7="RPX-T",X7="EUC"),50,0))</f>
        <v>50</v>
      </c>
      <c r="Z7" s="272" t="s">
        <v>180</v>
      </c>
      <c r="AA7" s="273"/>
      <c r="AB7" s="274"/>
      <c r="AC7" s="117"/>
      <c r="AD7" s="16">
        <f>IF(OR(AC7="RPX",AC7="SS"),30,IF(OR(AC7="RPX-T",AC7="EUC"),50,0))</f>
        <v>0</v>
      </c>
      <c r="AE7" s="272" t="s">
        <v>180</v>
      </c>
      <c r="AF7" s="273"/>
      <c r="AG7" s="274"/>
      <c r="AH7" s="117" t="s">
        <v>492</v>
      </c>
      <c r="AI7" s="16">
        <f>IF(OR(AH7="RPX",AH7="SS"),30,IF(OR(AH7="RPX-T",AH7="EUC"),50,0))</f>
        <v>50</v>
      </c>
      <c r="AJ7" s="272" t="s">
        <v>180</v>
      </c>
      <c r="AK7" s="273"/>
      <c r="AL7" s="274"/>
      <c r="AM7" s="117" t="s">
        <v>492</v>
      </c>
      <c r="AN7" s="16">
        <f>IF(OR(AM7="RPX",AM7="SS"),30,IF(OR(AM7="RPX-T",AM7="EUC"),50,0))</f>
        <v>50</v>
      </c>
      <c r="AO7" s="272" t="s">
        <v>180</v>
      </c>
      <c r="AP7" s="273"/>
      <c r="AQ7" s="274"/>
      <c r="AR7" s="117" t="s">
        <v>492</v>
      </c>
      <c r="AS7" s="16">
        <f>IF(OR(AR7="RPX",AR7="SS"),30,IF(OR(AR7="RPX-T",AR7="EUC"),50,0))</f>
        <v>50</v>
      </c>
      <c r="AT7" s="272" t="s">
        <v>180</v>
      </c>
      <c r="AU7" s="273"/>
      <c r="AV7" s="274"/>
      <c r="AW7" s="117" t="s">
        <v>492</v>
      </c>
      <c r="AX7" s="16">
        <f>IF(OR(AW7="RPX",AW7="SS"),30,IF(OR(AW7="RPX-T",AW7="EUC"),50,0))</f>
        <v>50</v>
      </c>
      <c r="AY7" s="272" t="s">
        <v>180</v>
      </c>
      <c r="AZ7" s="273"/>
      <c r="BA7" s="274"/>
      <c r="BB7" s="117" t="s">
        <v>492</v>
      </c>
      <c r="BC7" s="16">
        <f>IF(OR(BB7="RPX",BB7="SS"),30,IF(OR(BB7="RPX-T",BB7="EUC"),50,0))</f>
        <v>50</v>
      </c>
      <c r="BD7" s="272" t="s">
        <v>180</v>
      </c>
      <c r="BE7" s="273"/>
      <c r="BF7" s="274"/>
      <c r="BG7" s="117" t="s">
        <v>492</v>
      </c>
      <c r="BH7" s="16">
        <f>IF(OR(BG7="RPX",BG7="SS"),30,IF(OR(BG7="RPX-T",BG7="EUC"),50,0))</f>
        <v>50</v>
      </c>
      <c r="BI7" s="272" t="s">
        <v>180</v>
      </c>
      <c r="BJ7" s="273"/>
      <c r="BK7" s="274"/>
      <c r="BL7" s="117" t="s">
        <v>492</v>
      </c>
      <c r="BM7" s="16">
        <f>IF(OR(BL7="RPX",BL7="SS"),30,IF(OR(BL7="RPX-T",BL7="EUC"),50,0))</f>
        <v>50</v>
      </c>
      <c r="BN7" s="272" t="s">
        <v>180</v>
      </c>
      <c r="BO7" s="273"/>
      <c r="BP7" s="274"/>
      <c r="BQ7" s="117" t="s">
        <v>492</v>
      </c>
      <c r="BR7" s="16">
        <f>IF(OR(BQ7="RPX",BQ7="SS"),30,IF(OR(BQ7="RPX-T",BQ7="EUC"),50,0))</f>
        <v>50</v>
      </c>
      <c r="BS7" s="272" t="s">
        <v>180</v>
      </c>
      <c r="BT7" s="273"/>
      <c r="BU7" s="274"/>
      <c r="BV7" s="117" t="s">
        <v>492</v>
      </c>
      <c r="BW7" s="16">
        <f>IF(OR(BV7="RPX",BV7="SS"),30,IF(OR(BV7="RPX-T",BV7="EUC"),50,0))</f>
        <v>50</v>
      </c>
      <c r="BX7" s="272" t="s">
        <v>180</v>
      </c>
      <c r="BY7" s="273"/>
      <c r="BZ7" s="274"/>
      <c r="CA7" s="117" t="s">
        <v>492</v>
      </c>
      <c r="CB7" s="16">
        <f>IF(OR(CA7="RPX",CA7="SS"),30,IF(OR(CA7="RPX-T",CA7="EUC"),50,0))</f>
        <v>50</v>
      </c>
      <c r="CC7" s="272" t="s">
        <v>180</v>
      </c>
      <c r="CD7" s="273"/>
      <c r="CE7" s="274"/>
      <c r="CF7" s="117" t="s">
        <v>492</v>
      </c>
      <c r="CG7" s="16">
        <f>IF(OR(CF7="RPX",CF7="SS"),30,IF(OR(CF7="RPX-T",CF7="EUC"),50,0))</f>
        <v>50</v>
      </c>
      <c r="CH7" s="272" t="s">
        <v>180</v>
      </c>
      <c r="CI7" s="273"/>
      <c r="CJ7" s="274"/>
      <c r="CK7" s="117"/>
      <c r="CL7" s="16">
        <f>IF(OR(CK7="RPX",CK7="SS"),30,IF(OR(CK7="RPX-T",CK7="EUC"),50,0))</f>
        <v>0</v>
      </c>
      <c r="CM7" s="272" t="s">
        <v>180</v>
      </c>
      <c r="CN7" s="273"/>
      <c r="CO7" s="274"/>
      <c r="CP7" s="117" t="s">
        <v>492</v>
      </c>
      <c r="CQ7" s="16">
        <f>IF(OR(CP7="RPX",CP7="SS"),30,IF(OR(CP7="RPX-T",CP7="EUC"),50,0))</f>
        <v>50</v>
      </c>
      <c r="CR7" s="272" t="s">
        <v>180</v>
      </c>
      <c r="CS7" s="273"/>
      <c r="CT7" s="274"/>
      <c r="CU7" s="117" t="s">
        <v>492</v>
      </c>
      <c r="CV7" s="16">
        <f>IF(OR(CU7="RPX",CU7="SS"),30,IF(OR(CU7="RPX-T",CU7="EUC"),50,0))</f>
        <v>50</v>
      </c>
      <c r="CW7" s="272" t="s">
        <v>180</v>
      </c>
      <c r="CX7" s="273"/>
      <c r="CY7" s="274"/>
      <c r="CZ7" s="117"/>
      <c r="DA7" s="16">
        <f>IF(OR(CZ7="RPX",CZ7="SS"),30,IF(OR(CZ7="RPX-T",CZ7="EUC"),50,0))</f>
        <v>0</v>
      </c>
      <c r="DB7" s="272" t="s">
        <v>180</v>
      </c>
      <c r="DC7" s="273"/>
      <c r="DD7" s="274"/>
      <c r="DE7" s="117" t="s">
        <v>492</v>
      </c>
      <c r="DF7" s="16">
        <f>IF(OR(DE7="RPX",DE7="SS"),30,IF(OR(DE7="RPX-T",DE7="EUC"),50,0))</f>
        <v>50</v>
      </c>
      <c r="DG7" s="272" t="s">
        <v>180</v>
      </c>
      <c r="DH7" s="273"/>
      <c r="DI7" s="274"/>
      <c r="DJ7" s="117" t="s">
        <v>492</v>
      </c>
      <c r="DK7" s="16">
        <f>IF(OR(DJ7="RPX",DJ7="SS"),30,IF(OR(DJ7="RPX-T",DJ7="EUC"),50,0))</f>
        <v>50</v>
      </c>
      <c r="DL7" s="272" t="s">
        <v>180</v>
      </c>
      <c r="DM7" s="273"/>
      <c r="DN7" s="274"/>
      <c r="DO7" s="117" t="s">
        <v>492</v>
      </c>
      <c r="DP7" s="16">
        <f>IF(OR(DO7="RPX",DO7="SS"),30,IF(OR(DO7="RPX-T",DO7="EUC"),50,0))</f>
        <v>50</v>
      </c>
      <c r="DQ7" s="272" t="s">
        <v>180</v>
      </c>
      <c r="DR7" s="273"/>
      <c r="DS7" s="274"/>
      <c r="DT7" s="117" t="s">
        <v>487</v>
      </c>
      <c r="DU7" s="16">
        <f>IF(OR(DT7="RPX",DT7="SS"),30,IF(OR(DT7="RPX-T",DT7="EUC"),50,0))</f>
        <v>30</v>
      </c>
      <c r="DV7" s="272" t="s">
        <v>180</v>
      </c>
      <c r="DW7" s="273"/>
      <c r="DX7" s="274"/>
      <c r="DY7" s="117" t="s">
        <v>487</v>
      </c>
      <c r="DZ7" s="16">
        <f>IF(OR(DY7="RPX",DY7="SS"),30,IF(OR(DY7="RPX-T",DY7="EUC"),50,0))</f>
        <v>30</v>
      </c>
      <c r="EA7" s="272" t="s">
        <v>180</v>
      </c>
      <c r="EB7" s="273"/>
      <c r="EC7" s="274"/>
      <c r="ED7" s="117" t="s">
        <v>487</v>
      </c>
      <c r="EE7" s="16">
        <f>IF(OR(ED7="RPX",ED7="SS"),30,IF(OR(ED7="RPX-T",ED7="EUC"),50,0))</f>
        <v>30</v>
      </c>
      <c r="EF7" s="272" t="s">
        <v>180</v>
      </c>
      <c r="EG7" s="273"/>
      <c r="EH7" s="274"/>
      <c r="EI7" s="117" t="s">
        <v>492</v>
      </c>
      <c r="EJ7" s="16">
        <f>IF(OR(EI7="RPX",EI7="SS"),30,IF(OR(EI7="RPX-T",EI7="EUC"),50,0))</f>
        <v>50</v>
      </c>
      <c r="EK7" s="272" t="s">
        <v>180</v>
      </c>
      <c r="EL7" s="273"/>
      <c r="EM7" s="274"/>
      <c r="EN7" s="117" t="s">
        <v>492</v>
      </c>
      <c r="EO7" s="16">
        <f>IF(OR(EN7="RPX",EN7="SS"),30,IF(OR(EN7="RPX-T",EN7="EUC"),50,0))</f>
        <v>50</v>
      </c>
      <c r="EP7" s="272" t="s">
        <v>180</v>
      </c>
      <c r="EQ7" s="273"/>
      <c r="ER7" s="274"/>
      <c r="ES7" s="117"/>
      <c r="ET7" s="16">
        <f>IF(OR(ES7="RPX",ES7="SS"),30,IF(OR(ES7="RPX-T",ES7="EUC"),50,0))</f>
        <v>0</v>
      </c>
      <c r="EU7" s="272" t="s">
        <v>180</v>
      </c>
      <c r="EV7" s="273"/>
      <c r="EW7" s="274"/>
      <c r="EX7" s="117" t="s">
        <v>492</v>
      </c>
      <c r="EY7" s="16">
        <f>IF(OR(EX7="RPX",EX7="SS"),30,IF(OR(EX7="RPX-T",EX7="EUC"),50,0))</f>
        <v>50</v>
      </c>
      <c r="EZ7" s="272" t="s">
        <v>180</v>
      </c>
      <c r="FA7" s="273"/>
      <c r="FB7" s="274"/>
      <c r="FC7" s="117"/>
      <c r="FD7" s="16">
        <f>IF(OR(FC7="RPX",FC7="SS"),30,IF(OR(FC7="RPX-T",FC7="EUC"),50,0))</f>
        <v>0</v>
      </c>
      <c r="FE7" s="272" t="s">
        <v>180</v>
      </c>
      <c r="FF7" s="273"/>
      <c r="FG7" s="274"/>
      <c r="FH7" s="117"/>
      <c r="FI7" s="16">
        <f>IF(OR(FH7="RPX",FH7="SS"),30,IF(OR(FH7="RPX-T",FH7="EUC"),50,0))</f>
        <v>0</v>
      </c>
      <c r="FJ7" s="272" t="s">
        <v>180</v>
      </c>
      <c r="FK7" s="273"/>
      <c r="FL7" s="274"/>
      <c r="FM7" s="117"/>
      <c r="FN7" s="16">
        <f>IF(OR(FM7="RPX",FM7="SS"),30,IF(OR(FM7="RPX-T",FM7="EUC"),50,0))</f>
        <v>0</v>
      </c>
      <c r="FO7" s="272" t="s">
        <v>180</v>
      </c>
      <c r="FP7" s="273"/>
      <c r="FQ7" s="274"/>
      <c r="FR7" s="117"/>
      <c r="FS7" s="16">
        <f>IF(OR(FR7="RPX",FR7="SS"),30,IF(OR(FR7="RPX-T",FR7="EUC"),50,0))</f>
        <v>0</v>
      </c>
      <c r="FT7" s="272" t="s">
        <v>180</v>
      </c>
      <c r="FU7" s="273"/>
      <c r="FV7" s="274"/>
      <c r="FW7" s="117"/>
      <c r="FX7" s="16">
        <f>IF(OR(FW7="RPX",FW7="SS"),30,IF(OR(FW7="RPX-T",FW7="EUC"),50,0))</f>
        <v>0</v>
      </c>
      <c r="FY7" s="272" t="s">
        <v>180</v>
      </c>
      <c r="FZ7" s="273"/>
      <c r="GA7" s="274"/>
      <c r="GB7" s="117"/>
      <c r="GC7" s="16">
        <f>IF(OR(GB7="RPX",GB7="SS"),30,IF(OR(GB7="RPX-T",GB7="EUC"),50,0))</f>
        <v>0</v>
      </c>
      <c r="GD7" s="272" t="s">
        <v>180</v>
      </c>
      <c r="GE7" s="273"/>
      <c r="GF7" s="274"/>
      <c r="GG7" s="117"/>
      <c r="GH7" s="16">
        <f>IF(OR(GG7="RPX",GG7="SS"),30,IF(OR(GG7="RPX-T",GG7="EUC"),50,0))</f>
        <v>0</v>
      </c>
      <c r="GI7" s="272" t="s">
        <v>180</v>
      </c>
      <c r="GJ7" s="273"/>
      <c r="GK7" s="274"/>
      <c r="GL7" s="117"/>
      <c r="GM7" s="16">
        <f>IF(OR(GL7="RPX",GL7="SS"),30,IF(OR(GL7="RPX-T",GL7="EUC"),50,0))</f>
        <v>0</v>
      </c>
      <c r="GN7" s="272" t="s">
        <v>180</v>
      </c>
      <c r="GO7" s="273"/>
      <c r="GP7" s="274"/>
      <c r="GQ7" s="117"/>
      <c r="GR7" s="16">
        <f>IF(OR(GQ7="RPX",GQ7="SS"),30,IF(OR(GQ7="RPX-T",GQ7="EUC"),50,0))</f>
        <v>0</v>
      </c>
      <c r="GS7" s="272" t="s">
        <v>180</v>
      </c>
      <c r="GT7" s="273"/>
      <c r="GU7" s="274"/>
      <c r="GV7" s="117"/>
      <c r="GW7" s="16">
        <f>IF(OR(GV7="RPX",GV7="SS"),30,IF(OR(GV7="RPX-T",GV7="EUC"),50,0))</f>
        <v>0</v>
      </c>
      <c r="GX7" s="272" t="s">
        <v>180</v>
      </c>
      <c r="GY7" s="273"/>
      <c r="GZ7" s="274"/>
      <c r="HA7" s="117"/>
      <c r="HB7" s="16">
        <f>IF(OR(HA7="RPX",HA7="SS"),30,IF(OR(HA7="RPX-T",HA7="EUC"),50,0))</f>
        <v>0</v>
      </c>
      <c r="HC7" s="272" t="s">
        <v>180</v>
      </c>
      <c r="HD7" s="273"/>
      <c r="HE7" s="274"/>
      <c r="HF7" s="117"/>
      <c r="HG7" s="16">
        <f>IF(OR(HF7="RPX",HF7="SS"),30,IF(OR(HF7="RPX-T",HF7="EUC"),50,0))</f>
        <v>0</v>
      </c>
      <c r="HH7" s="272" t="s">
        <v>180</v>
      </c>
      <c r="HI7" s="273"/>
      <c r="HJ7" s="274"/>
      <c r="HK7" s="117"/>
      <c r="HL7" s="16">
        <f>IF(OR(HK7="RPX",HK7="SS"),30,IF(OR(HK7="RPX-T",HK7="EUC"),50,0))</f>
        <v>0</v>
      </c>
      <c r="HM7" s="272" t="s">
        <v>180</v>
      </c>
      <c r="HN7" s="273"/>
      <c r="HO7" s="274"/>
      <c r="HP7" s="117"/>
      <c r="HQ7" s="16">
        <f>IF(OR(HP7="RPX",HP7="SS"),30,IF(OR(HP7="RPX-T",HP7="EUC"),50,0))</f>
        <v>0</v>
      </c>
      <c r="HR7" s="272" t="s">
        <v>180</v>
      </c>
      <c r="HS7" s="273"/>
      <c r="HT7" s="274"/>
      <c r="HU7" s="117"/>
      <c r="HV7" s="16">
        <f>IF(OR(HU7="RPX",HU7="SS"),30,IF(OR(HU7="RPX-T",HU7="EUC"),50,0))</f>
        <v>0</v>
      </c>
      <c r="HW7" s="272" t="s">
        <v>180</v>
      </c>
      <c r="HX7" s="273"/>
      <c r="HY7" s="274"/>
      <c r="HZ7" s="117"/>
      <c r="IA7" s="16">
        <f>IF(OR(HZ7="RPX",HZ7="SS"),30,IF(OR(HZ7="RPX-T",HZ7="EUC"),50,0))</f>
        <v>0</v>
      </c>
      <c r="IB7" s="272" t="s">
        <v>180</v>
      </c>
      <c r="IC7" s="273"/>
      <c r="ID7" s="274"/>
      <c r="IE7" s="117"/>
      <c r="IF7" s="16">
        <f>IF(OR(IE7="RPX",IE7="SS"),30,IF(OR(IE7="RPX-T",IE7="EUC"),50,0))</f>
        <v>0</v>
      </c>
      <c r="IG7" s="272" t="s">
        <v>180</v>
      </c>
      <c r="IH7" s="273"/>
      <c r="II7" s="274"/>
      <c r="IJ7" s="117"/>
      <c r="IK7" s="16">
        <f>IF(OR(IJ7="RPX",IJ7="SS"),30,IF(OR(IJ7="RPX-T",IJ7="EUC"),50,0))</f>
        <v>0</v>
      </c>
      <c r="IL7" s="272" t="s">
        <v>180</v>
      </c>
      <c r="IM7" s="273"/>
      <c r="IN7" s="274"/>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v>0</v>
      </c>
      <c r="L9" s="90"/>
      <c r="M9" s="90"/>
      <c r="N9" s="116"/>
      <c r="O9" s="16">
        <f>IF(K9="",IF(M9="","",M9),K9)</f>
        <v>0</v>
      </c>
      <c r="P9" s="90">
        <v>0</v>
      </c>
      <c r="Q9" s="90"/>
      <c r="R9" s="90"/>
      <c r="S9" s="116"/>
      <c r="T9" s="16">
        <f>IF(P9="",IF(R9="","",R9),P9)</f>
        <v>0</v>
      </c>
      <c r="U9" s="90">
        <v>0</v>
      </c>
      <c r="V9" s="90"/>
      <c r="W9" s="90"/>
      <c r="X9" s="116"/>
      <c r="Y9" s="16">
        <f>IF(U9="",IF(W9="","",W9),U9)</f>
        <v>0</v>
      </c>
      <c r="Z9" s="90">
        <v>0</v>
      </c>
      <c r="AA9" s="90"/>
      <c r="AB9" s="90"/>
      <c r="AC9" s="116"/>
      <c r="AD9" s="16">
        <f>IF(Z9="",IF(AB9="","",AB9),Z9)</f>
        <v>0</v>
      </c>
      <c r="AE9" s="90">
        <v>0</v>
      </c>
      <c r="AF9" s="90"/>
      <c r="AG9" s="90"/>
      <c r="AH9" s="116"/>
      <c r="AI9" s="16">
        <f>IF(AE9="",IF(AG9="","",AG9),AE9)</f>
        <v>0</v>
      </c>
      <c r="AJ9" s="90">
        <v>0</v>
      </c>
      <c r="AK9" s="90"/>
      <c r="AL9" s="90"/>
      <c r="AM9" s="116"/>
      <c r="AN9" s="16">
        <f>IF(AJ9="",IF(AL9="","",AL9),AJ9)</f>
        <v>0</v>
      </c>
      <c r="AO9" s="90"/>
      <c r="AP9" s="90"/>
      <c r="AQ9" s="90">
        <v>0</v>
      </c>
      <c r="AR9" s="116"/>
      <c r="AS9" s="16">
        <f>IF(AO9="",IF(AQ9="","",AQ9),AO9)</f>
        <v>0</v>
      </c>
      <c r="AT9" s="90">
        <v>0</v>
      </c>
      <c r="AU9" s="90"/>
      <c r="AV9" s="90"/>
      <c r="AW9" s="116"/>
      <c r="AX9" s="16">
        <f>IF(AT9="",IF(AV9="","",AV9),AT9)</f>
        <v>0</v>
      </c>
      <c r="AY9" s="90">
        <v>0</v>
      </c>
      <c r="AZ9" s="90"/>
      <c r="BA9" s="90"/>
      <c r="BB9" s="116"/>
      <c r="BC9" s="16">
        <f>IF(AY9="",IF(BA9="","",BA9),AY9)</f>
        <v>0</v>
      </c>
      <c r="BD9" s="90">
        <v>0</v>
      </c>
      <c r="BE9" s="90"/>
      <c r="BF9" s="90"/>
      <c r="BG9" s="116"/>
      <c r="BH9" s="16">
        <f>IF(BD9="",IF(BF9="","",BF9),BD9)</f>
        <v>0</v>
      </c>
      <c r="BI9" s="90">
        <v>0</v>
      </c>
      <c r="BJ9" s="90"/>
      <c r="BK9" s="90"/>
      <c r="BL9" s="116"/>
      <c r="BM9" s="16">
        <f>IF(BI9="",IF(BK9="","",BK9),BI9)</f>
        <v>0</v>
      </c>
      <c r="BN9" s="90">
        <v>0</v>
      </c>
      <c r="BO9" s="90"/>
      <c r="BP9" s="90"/>
      <c r="BQ9" s="116"/>
      <c r="BR9" s="16">
        <f>IF(BN9="",IF(BP9="","",BP9),BN9)</f>
        <v>0</v>
      </c>
      <c r="BS9" s="90">
        <v>0</v>
      </c>
      <c r="BT9" s="90"/>
      <c r="BU9" s="90"/>
      <c r="BV9" s="116"/>
      <c r="BW9" s="16">
        <f>IF(BS9="",IF(BU9="","",BU9),BS9)</f>
        <v>0</v>
      </c>
      <c r="BX9" s="90">
        <v>0</v>
      </c>
      <c r="BY9" s="90"/>
      <c r="BZ9" s="90"/>
      <c r="CA9" s="116"/>
      <c r="CB9" s="16">
        <f>IF(BX9="",IF(BZ9="","",BZ9),BX9)</f>
        <v>0</v>
      </c>
      <c r="CC9" s="90">
        <v>0</v>
      </c>
      <c r="CD9" s="90"/>
      <c r="CE9" s="90"/>
      <c r="CF9" s="116"/>
      <c r="CG9" s="16">
        <f>IF(CC9="",IF(CE9="","",CE9),CC9)</f>
        <v>0</v>
      </c>
      <c r="CH9" s="90">
        <v>0</v>
      </c>
      <c r="CI9" s="90"/>
      <c r="CJ9" s="90"/>
      <c r="CK9" s="116"/>
      <c r="CL9" s="16">
        <f>IF(CH9="",IF(CJ9="","",CJ9),CH9)</f>
        <v>0</v>
      </c>
      <c r="CM9" s="90">
        <v>0</v>
      </c>
      <c r="CN9" s="90"/>
      <c r="CO9" s="90"/>
      <c r="CP9" s="116"/>
      <c r="CQ9" s="16">
        <f>IF(CM9="",IF(CO9="","",CO9),CM9)</f>
        <v>0</v>
      </c>
      <c r="CR9" s="90">
        <v>0</v>
      </c>
      <c r="CS9" s="90"/>
      <c r="CT9" s="90"/>
      <c r="CU9" s="116"/>
      <c r="CV9" s="16">
        <f>IF(CR9="",IF(CT9="","",CT9),CR9)</f>
        <v>0</v>
      </c>
      <c r="CW9" s="90">
        <v>0</v>
      </c>
      <c r="CX9" s="90"/>
      <c r="CY9" s="90"/>
      <c r="CZ9" s="116"/>
      <c r="DA9" s="16">
        <f>IF(CW9="",IF(CY9="","",CY9),CW9)</f>
        <v>0</v>
      </c>
      <c r="DB9" s="90">
        <v>0</v>
      </c>
      <c r="DC9" s="90"/>
      <c r="DD9" s="90"/>
      <c r="DE9" s="116"/>
      <c r="DF9" s="16">
        <f>IF(DB9="",IF(DD9="","",DD9),DB9)</f>
        <v>0</v>
      </c>
      <c r="DG9" s="90">
        <v>0</v>
      </c>
      <c r="DH9" s="90"/>
      <c r="DI9" s="90"/>
      <c r="DJ9" s="116"/>
      <c r="DK9" s="16">
        <f>IF(DG9="",IF(DI9="","",DI9),DG9)</f>
        <v>0</v>
      </c>
      <c r="DL9" s="90">
        <v>0</v>
      </c>
      <c r="DM9" s="90"/>
      <c r="DN9" s="90"/>
      <c r="DO9" s="116"/>
      <c r="DP9" s="16">
        <f>IF(DL9="",IF(DN9="","",DN9),DL9)</f>
        <v>0</v>
      </c>
      <c r="DQ9" s="90"/>
      <c r="DR9" s="90"/>
      <c r="DS9" s="90">
        <v>0</v>
      </c>
      <c r="DT9" s="90"/>
      <c r="DU9" s="16">
        <f>IF(DQ9="",IF(DS9="","",DS9),DQ9)</f>
        <v>0</v>
      </c>
      <c r="DV9" s="90"/>
      <c r="DW9" s="90"/>
      <c r="DX9" s="90">
        <v>0</v>
      </c>
      <c r="DY9" s="116"/>
      <c r="DZ9" s="16">
        <f>IF(DV9="",IF(DX9="","",DX9),DV9)</f>
        <v>0</v>
      </c>
      <c r="EA9" s="90"/>
      <c r="EB9" s="90"/>
      <c r="EC9" s="90">
        <v>0</v>
      </c>
      <c r="ED9" s="116"/>
      <c r="EE9" s="16">
        <f>IF(EA9="",IF(EC9="","",EC9),EA9)</f>
        <v>0</v>
      </c>
      <c r="EF9" s="90"/>
      <c r="EG9" s="90"/>
      <c r="EH9" s="90">
        <v>0</v>
      </c>
      <c r="EI9" s="116"/>
      <c r="EJ9" s="16">
        <f>IF(EF9="",IF(EH9="","",EH9),EF9)</f>
        <v>0</v>
      </c>
      <c r="EK9" s="90">
        <v>0</v>
      </c>
      <c r="EL9" s="90"/>
      <c r="EM9" s="90"/>
      <c r="EN9" s="116"/>
      <c r="EO9" s="16">
        <f>IF(EK9="",IF(EM9="","",EM9),EK9)</f>
        <v>0</v>
      </c>
      <c r="EP9" s="90"/>
      <c r="EQ9" s="90"/>
      <c r="ER9" s="90">
        <v>0</v>
      </c>
      <c r="ES9" s="116"/>
      <c r="ET9" s="16">
        <f>IF(EP9="",IF(ER9="","",ER9),EP9)</f>
        <v>0</v>
      </c>
      <c r="EU9" s="90">
        <v>0</v>
      </c>
      <c r="EV9" s="90"/>
      <c r="EW9" s="90"/>
      <c r="EX9" s="116"/>
      <c r="EY9" s="16">
        <f>IF(EU9="",IF(EW9="","",EW9),EU9)</f>
        <v>0</v>
      </c>
      <c r="EZ9" s="90">
        <v>0</v>
      </c>
      <c r="FA9" s="90"/>
      <c r="FB9" s="90"/>
      <c r="FC9" s="116"/>
      <c r="FD9" s="16">
        <f>IF(EZ9="",IF(FB9="","",FB9),EZ9)</f>
        <v>0</v>
      </c>
      <c r="FE9" s="90">
        <v>0</v>
      </c>
      <c r="FF9" s="90"/>
      <c r="FG9" s="90"/>
      <c r="FH9" s="116"/>
      <c r="FI9" s="16">
        <f>IF(FE9="",IF(FG9="","",FG9),FE9)</f>
        <v>0</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c r="G10" s="90">
        <v>50</v>
      </c>
      <c r="H10" s="90"/>
      <c r="I10" s="116"/>
      <c r="J10" s="16">
        <f>IF(F10="",H10,F10)</f>
        <v>0</v>
      </c>
      <c r="K10" s="90"/>
      <c r="L10" s="90">
        <v>50</v>
      </c>
      <c r="M10" s="90"/>
      <c r="N10" s="116"/>
      <c r="O10" s="16">
        <f>IF(K10="",M10,K10)</f>
        <v>0</v>
      </c>
      <c r="P10" s="90"/>
      <c r="Q10" s="90">
        <v>50</v>
      </c>
      <c r="R10" s="90"/>
      <c r="S10" s="116"/>
      <c r="T10" s="16">
        <f>IF(P10="",R10,P10)</f>
        <v>0</v>
      </c>
      <c r="U10" s="90"/>
      <c r="V10" s="90">
        <v>50</v>
      </c>
      <c r="W10" s="90"/>
      <c r="X10" s="116"/>
      <c r="Y10" s="16">
        <f>IF(U10="",W10,U10)</f>
        <v>0</v>
      </c>
      <c r="Z10" s="90"/>
      <c r="AA10" s="90">
        <v>50</v>
      </c>
      <c r="AB10" s="90"/>
      <c r="AC10" s="116"/>
      <c r="AD10" s="16">
        <f>IF(Z10="",AB10,Z10)</f>
        <v>0</v>
      </c>
      <c r="AE10" s="90"/>
      <c r="AF10" s="90">
        <v>50</v>
      </c>
      <c r="AG10" s="90"/>
      <c r="AH10" s="116"/>
      <c r="AI10" s="16">
        <f>IF(AE10="",AG10,AE10)</f>
        <v>0</v>
      </c>
      <c r="AJ10" s="90"/>
      <c r="AK10" s="90">
        <v>50</v>
      </c>
      <c r="AL10" s="90"/>
      <c r="AM10" s="116"/>
      <c r="AN10" s="16">
        <f>IF(AJ10="",AL10,AJ10)</f>
        <v>0</v>
      </c>
      <c r="AO10" s="90"/>
      <c r="AP10" s="90"/>
      <c r="AQ10" s="90"/>
      <c r="AR10" s="116">
        <v>50</v>
      </c>
      <c r="AS10" s="16">
        <f>IF(AO10="",AQ10,AO10)</f>
        <v>0</v>
      </c>
      <c r="AT10" s="90"/>
      <c r="AU10" s="90">
        <v>50</v>
      </c>
      <c r="AV10" s="90"/>
      <c r="AW10" s="116"/>
      <c r="AX10" s="16">
        <f>IF(AT10="",AV10,AT10)</f>
        <v>0</v>
      </c>
      <c r="AY10" s="90"/>
      <c r="AZ10" s="90">
        <v>50</v>
      </c>
      <c r="BA10" s="90"/>
      <c r="BB10" s="116"/>
      <c r="BC10" s="16">
        <f>IF(AY10="",BA10,AY10)</f>
        <v>0</v>
      </c>
      <c r="BD10" s="90"/>
      <c r="BE10" s="90">
        <v>50</v>
      </c>
      <c r="BF10" s="90"/>
      <c r="BG10" s="116"/>
      <c r="BH10" s="16">
        <f>IF(BD10="",BF10,BD10)</f>
        <v>0</v>
      </c>
      <c r="BI10" s="90"/>
      <c r="BJ10" s="90">
        <v>50</v>
      </c>
      <c r="BK10" s="90"/>
      <c r="BL10" s="116"/>
      <c r="BM10" s="16">
        <f>IF(BI10="",BK10,BI10)</f>
        <v>0</v>
      </c>
      <c r="BN10" s="90"/>
      <c r="BO10" s="90">
        <v>50</v>
      </c>
      <c r="BP10" s="90"/>
      <c r="BQ10" s="116"/>
      <c r="BR10" s="16">
        <f>IF(BN10="",BP10,BN10)</f>
        <v>0</v>
      </c>
      <c r="BS10" s="90"/>
      <c r="BT10" s="90">
        <v>50</v>
      </c>
      <c r="BU10" s="90"/>
      <c r="BV10" s="116"/>
      <c r="BW10" s="16">
        <f>IF(BS10="",BU10,BS10)</f>
        <v>0</v>
      </c>
      <c r="BX10" s="90"/>
      <c r="BY10" s="90">
        <v>50</v>
      </c>
      <c r="BZ10" s="90"/>
      <c r="CA10" s="116"/>
      <c r="CB10" s="16">
        <f>IF(BX10="",BZ10,BX10)</f>
        <v>0</v>
      </c>
      <c r="CC10" s="90"/>
      <c r="CD10" s="90">
        <v>50</v>
      </c>
      <c r="CE10" s="90"/>
      <c r="CF10" s="116"/>
      <c r="CG10" s="16">
        <f>IF(CC10="",CE10,CC10)</f>
        <v>0</v>
      </c>
      <c r="CH10" s="90"/>
      <c r="CI10" s="90">
        <v>50</v>
      </c>
      <c r="CJ10" s="90"/>
      <c r="CK10" s="116"/>
      <c r="CL10" s="16">
        <f>IF(CH10="",CJ10,CH10)</f>
        <v>0</v>
      </c>
      <c r="CM10" s="90"/>
      <c r="CN10" s="90">
        <v>50</v>
      </c>
      <c r="CO10" s="90"/>
      <c r="CP10" s="116"/>
      <c r="CQ10" s="16">
        <f>IF(CM10="",CO10,CM10)</f>
        <v>0</v>
      </c>
      <c r="CR10" s="90"/>
      <c r="CS10" s="90">
        <v>50</v>
      </c>
      <c r="CT10" s="90"/>
      <c r="CU10" s="116"/>
      <c r="CV10" s="16">
        <f>IF(CR10="",CT10,CR10)</f>
        <v>0</v>
      </c>
      <c r="CW10" s="90"/>
      <c r="CX10" s="90">
        <v>50</v>
      </c>
      <c r="CY10" s="90"/>
      <c r="CZ10" s="116"/>
      <c r="DA10" s="16">
        <f>IF(CW10="",CY10,CW10)</f>
        <v>0</v>
      </c>
      <c r="DB10" s="90"/>
      <c r="DC10" s="90">
        <v>50</v>
      </c>
      <c r="DD10" s="90"/>
      <c r="DE10" s="116"/>
      <c r="DF10" s="16">
        <f>IF(DB10="",DD10,DB10)</f>
        <v>0</v>
      </c>
      <c r="DG10" s="90"/>
      <c r="DH10" s="90">
        <v>50</v>
      </c>
      <c r="DI10" s="90"/>
      <c r="DJ10" s="116"/>
      <c r="DK10" s="16">
        <f>IF(DG10="",DI10,DG10)</f>
        <v>0</v>
      </c>
      <c r="DL10" s="90"/>
      <c r="DM10" s="90">
        <v>50</v>
      </c>
      <c r="DN10" s="90"/>
      <c r="DO10" s="116"/>
      <c r="DP10" s="16">
        <f>IF(DL10="",DN10,DL10)</f>
        <v>0</v>
      </c>
      <c r="DQ10" s="90"/>
      <c r="DR10" s="90"/>
      <c r="DS10" s="90"/>
      <c r="DT10" s="90">
        <v>50</v>
      </c>
      <c r="DU10" s="16">
        <f>IF(DQ10="",DS10,DQ10)</f>
        <v>0</v>
      </c>
      <c r="DV10" s="90"/>
      <c r="DW10" s="90"/>
      <c r="DX10" s="90"/>
      <c r="DY10" s="116">
        <v>50</v>
      </c>
      <c r="DZ10" s="16">
        <f>IF(DV10="",DX10,DV10)</f>
        <v>0</v>
      </c>
      <c r="EA10" s="90"/>
      <c r="EB10" s="90"/>
      <c r="EC10" s="90"/>
      <c r="ED10" s="116">
        <v>50</v>
      </c>
      <c r="EE10" s="16">
        <f>IF(EA10="",EC10,EA10)</f>
        <v>0</v>
      </c>
      <c r="EF10" s="90"/>
      <c r="EG10" s="90"/>
      <c r="EH10" s="90"/>
      <c r="EI10" s="116">
        <v>50</v>
      </c>
      <c r="EJ10" s="16">
        <f>IF(EF10="",EH10,EF10)</f>
        <v>0</v>
      </c>
      <c r="EK10" s="90"/>
      <c r="EL10" s="90">
        <v>50</v>
      </c>
      <c r="EM10" s="90"/>
      <c r="EN10" s="116"/>
      <c r="EO10" s="16">
        <f>IF(EK10="",EM10,EK10)</f>
        <v>0</v>
      </c>
      <c r="EP10" s="90"/>
      <c r="EQ10" s="90"/>
      <c r="ER10" s="90"/>
      <c r="ES10" s="116">
        <v>50</v>
      </c>
      <c r="ET10" s="16">
        <f>IF(EP10="",ER10,EP10)</f>
        <v>0</v>
      </c>
      <c r="EU10" s="90"/>
      <c r="EV10" s="90">
        <v>50</v>
      </c>
      <c r="EW10" s="90"/>
      <c r="EX10" s="116"/>
      <c r="EY10" s="16">
        <f>IF(EU10="",EW10,EU10)</f>
        <v>0</v>
      </c>
      <c r="EZ10" s="90"/>
      <c r="FA10" s="90">
        <v>50</v>
      </c>
      <c r="FB10" s="90"/>
      <c r="FC10" s="116"/>
      <c r="FD10" s="16">
        <f>IF(EZ10="",FB10,EZ10)</f>
        <v>0</v>
      </c>
      <c r="FE10" s="90"/>
      <c r="FF10" s="90">
        <v>50</v>
      </c>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166</v>
      </c>
      <c r="B11" s="90"/>
      <c r="C11" s="116"/>
      <c r="D11" s="116"/>
      <c r="E11" s="16">
        <f t="shared" ref="E11:E74" si="1">IF(A11="",C11,A11)</f>
        <v>166</v>
      </c>
      <c r="F11" s="90">
        <v>595</v>
      </c>
      <c r="G11" s="90"/>
      <c r="H11" s="90"/>
      <c r="I11" s="116"/>
      <c r="J11" s="16">
        <f t="shared" ref="J11:J74" si="2">IF(F11="",H11,F11)</f>
        <v>595</v>
      </c>
      <c r="K11" s="90">
        <v>383</v>
      </c>
      <c r="L11" s="90"/>
      <c r="M11" s="90"/>
      <c r="N11" s="116"/>
      <c r="O11" s="16">
        <f t="shared" ref="O11:O74" si="3">IF(K11="",M11,K11)</f>
        <v>383</v>
      </c>
      <c r="P11" s="90">
        <v>85</v>
      </c>
      <c r="Q11" s="90"/>
      <c r="R11" s="90"/>
      <c r="S11" s="116"/>
      <c r="T11" s="16">
        <f t="shared" ref="T11:T74" si="4">IF(P11="",R11,P11)</f>
        <v>85</v>
      </c>
      <c r="U11" s="90">
        <v>120</v>
      </c>
      <c r="V11" s="90"/>
      <c r="W11" s="90"/>
      <c r="X11" s="116"/>
      <c r="Y11" s="16">
        <f t="shared" ref="Y11:Y74" si="5">IF(U11="",W11,U11)</f>
        <v>120</v>
      </c>
      <c r="Z11" s="90">
        <v>444</v>
      </c>
      <c r="AA11" s="90"/>
      <c r="AB11" s="90"/>
      <c r="AC11" s="116"/>
      <c r="AD11" s="16">
        <f t="shared" ref="AD11:AD74" si="6">IF(Z11="",AB11,Z11)</f>
        <v>444</v>
      </c>
      <c r="AE11" s="90">
        <v>45</v>
      </c>
      <c r="AF11" s="90"/>
      <c r="AG11" s="90"/>
      <c r="AH11" s="116"/>
      <c r="AI11" s="16">
        <f t="shared" ref="AI11:AI74" si="7">IF(AE11="",AG11,AE11)</f>
        <v>45</v>
      </c>
      <c r="AJ11" s="90">
        <v>382</v>
      </c>
      <c r="AK11" s="90"/>
      <c r="AL11" s="90"/>
      <c r="AM11" s="116"/>
      <c r="AN11" s="16">
        <f t="shared" ref="AN11:AN74" si="8">IF(AJ11="",AL11,AJ11)</f>
        <v>382</v>
      </c>
      <c r="AO11" s="90"/>
      <c r="AP11" s="90"/>
      <c r="AQ11" s="90">
        <v>190</v>
      </c>
      <c r="AR11" s="116"/>
      <c r="AS11" s="16">
        <f t="shared" ref="AS11:AS74" si="9">IF(AO11="",AQ11,AO11)</f>
        <v>190</v>
      </c>
      <c r="AT11" s="90"/>
      <c r="AU11" s="90">
        <v>26</v>
      </c>
      <c r="AV11" s="90"/>
      <c r="AW11" s="116"/>
      <c r="AX11" s="16">
        <f t="shared" ref="AX11:AX74" si="10">IF(AT11="",AV11,AT11)</f>
        <v>0</v>
      </c>
      <c r="AY11" s="90">
        <v>2</v>
      </c>
      <c r="AZ11" s="90"/>
      <c r="BA11" s="90"/>
      <c r="BB11" s="116"/>
      <c r="BC11" s="16">
        <f>IF(AY11="",BA11,AY11)</f>
        <v>2</v>
      </c>
      <c r="BD11" s="90">
        <v>104</v>
      </c>
      <c r="BE11" s="90"/>
      <c r="BF11" s="90"/>
      <c r="BG11" s="116"/>
      <c r="BH11" s="16">
        <f t="shared" ref="BH11:BH74" si="11">IF(BD11="",BF11,BD11)</f>
        <v>104</v>
      </c>
      <c r="BI11" s="90">
        <v>54</v>
      </c>
      <c r="BJ11" s="90"/>
      <c r="BK11" s="90"/>
      <c r="BL11" s="116"/>
      <c r="BM11" s="16">
        <f t="shared" ref="BM11:BM74" si="12">IF(BI11="",BK11,BI11)</f>
        <v>54</v>
      </c>
      <c r="BN11" s="90">
        <v>110</v>
      </c>
      <c r="BO11" s="90"/>
      <c r="BP11" s="90"/>
      <c r="BQ11" s="116"/>
      <c r="BR11" s="16">
        <f t="shared" ref="BR11:BR74" si="13">IF(BN11="",BP11,BN11)</f>
        <v>110</v>
      </c>
      <c r="BS11" s="90">
        <v>1004</v>
      </c>
      <c r="BT11" s="90"/>
      <c r="BU11" s="90"/>
      <c r="BV11" s="116"/>
      <c r="BW11" s="16">
        <f t="shared" ref="BW11:BW74" si="14">IF(BS11="",BU11,BS11)</f>
        <v>1004</v>
      </c>
      <c r="BX11" s="90">
        <v>2</v>
      </c>
      <c r="BY11" s="90"/>
      <c r="BZ11" s="90"/>
      <c r="CA11" s="116"/>
      <c r="CB11" s="16">
        <f t="shared" ref="CB11:CB74" si="15">IF(BX11="",BZ11,BX11)</f>
        <v>2</v>
      </c>
      <c r="CC11" s="90">
        <v>452</v>
      </c>
      <c r="CD11" s="90"/>
      <c r="CE11" s="90"/>
      <c r="CF11" s="116"/>
      <c r="CG11" s="16">
        <f t="shared" ref="CG11:CG74" si="16">IF(CC11="",CE11,CC11)</f>
        <v>452</v>
      </c>
      <c r="CH11" s="90">
        <v>698</v>
      </c>
      <c r="CI11" s="90"/>
      <c r="CJ11" s="90"/>
      <c r="CK11" s="116"/>
      <c r="CL11" s="16">
        <f t="shared" ref="CL11:CL74" si="17">IF(CH11="",CJ11,CH11)</f>
        <v>698</v>
      </c>
      <c r="CM11" s="90">
        <v>742</v>
      </c>
      <c r="CN11" s="90"/>
      <c r="CO11" s="90"/>
      <c r="CP11" s="116"/>
      <c r="CQ11" s="16">
        <f t="shared" ref="CQ11:CQ74" si="18">IF(CM11="",CO11,CM11)</f>
        <v>742</v>
      </c>
      <c r="CR11" s="90">
        <v>340</v>
      </c>
      <c r="CS11" s="90"/>
      <c r="CT11" s="90"/>
      <c r="CU11" s="116"/>
      <c r="CV11" s="16">
        <f t="shared" ref="CV11:CV74" si="19">IF(CR11="",CT11,CR11)</f>
        <v>340</v>
      </c>
      <c r="CW11" s="90">
        <v>848</v>
      </c>
      <c r="CX11" s="90"/>
      <c r="CY11" s="90"/>
      <c r="CZ11" s="116"/>
      <c r="DA11" s="16">
        <f t="shared" ref="DA11:DA74" si="20">IF(CW11="",CY11,CW11)</f>
        <v>848</v>
      </c>
      <c r="DB11" s="90">
        <v>316</v>
      </c>
      <c r="DC11" s="90"/>
      <c r="DD11" s="90"/>
      <c r="DE11" s="116"/>
      <c r="DF11" s="16">
        <f t="shared" ref="DF11:DF74" si="21">IF(DB11="",DD11,DB11)</f>
        <v>316</v>
      </c>
      <c r="DG11" s="90">
        <v>580</v>
      </c>
      <c r="DH11" s="90"/>
      <c r="DI11" s="90"/>
      <c r="DJ11" s="116"/>
      <c r="DK11" s="16">
        <f t="shared" ref="DK11:DK74" si="22">IF(DG11="",DI11,DG11)</f>
        <v>580</v>
      </c>
      <c r="DL11" s="90">
        <v>657</v>
      </c>
      <c r="DM11" s="90"/>
      <c r="DN11" s="90"/>
      <c r="DO11" s="116"/>
      <c r="DP11" s="16">
        <f t="shared" ref="DP11:DP74" si="23">IF(DL11="",DN11,DL11)</f>
        <v>657</v>
      </c>
      <c r="DQ11" s="90"/>
      <c r="DR11" s="90"/>
      <c r="DS11" s="90">
        <v>259</v>
      </c>
      <c r="DT11" s="90"/>
      <c r="DU11" s="16">
        <f t="shared" ref="DU11:DU74" si="24">IF(DQ11="",DS11,DQ11)</f>
        <v>259</v>
      </c>
      <c r="DV11" s="90"/>
      <c r="DW11" s="90"/>
      <c r="DX11" s="90">
        <v>361</v>
      </c>
      <c r="DY11" s="116"/>
      <c r="DZ11" s="16">
        <f t="shared" ref="DZ11:DZ74" si="25">IF(DV11="",DX11,DV11)</f>
        <v>361</v>
      </c>
      <c r="EA11" s="90"/>
      <c r="EB11" s="90"/>
      <c r="EC11" s="90">
        <v>229</v>
      </c>
      <c r="ED11" s="116"/>
      <c r="EE11" s="16">
        <f t="shared" ref="EE11:EE74" si="26">IF(EA11="",EC11,EA11)</f>
        <v>229</v>
      </c>
      <c r="EF11" s="90"/>
      <c r="EG11" s="90"/>
      <c r="EH11" s="90">
        <v>67</v>
      </c>
      <c r="EI11" s="116"/>
      <c r="EJ11" s="16">
        <f t="shared" ref="EJ11:EJ74" si="27">IF(EF11="",EH11,EF11)</f>
        <v>67</v>
      </c>
      <c r="EK11" s="90">
        <v>750</v>
      </c>
      <c r="EL11" s="90"/>
      <c r="EM11" s="90"/>
      <c r="EN11" s="116"/>
      <c r="EO11" s="16">
        <f t="shared" ref="EO11:EO74" si="28">IF(EK11="",EM11,EK11)</f>
        <v>750</v>
      </c>
      <c r="EP11" s="90"/>
      <c r="EQ11" s="90"/>
      <c r="ER11" s="90">
        <v>345</v>
      </c>
      <c r="ES11" s="116"/>
      <c r="ET11" s="16">
        <f t="shared" ref="ET11:ET74" si="29">IF(EP11="",ER11,EP11)</f>
        <v>345</v>
      </c>
      <c r="EU11" s="90">
        <v>922</v>
      </c>
      <c r="EV11" s="90"/>
      <c r="EW11" s="90"/>
      <c r="EX11" s="116"/>
      <c r="EY11" s="16">
        <f t="shared" ref="EY11:EY74" si="30">IF(EU11="",EW11,EU11)</f>
        <v>922</v>
      </c>
      <c r="EZ11" s="90">
        <v>253</v>
      </c>
      <c r="FA11" s="90"/>
      <c r="FB11" s="90"/>
      <c r="FC11" s="116"/>
      <c r="FD11" s="16">
        <f t="shared" ref="FD11:FD74" si="31">IF(EZ11="",FB11,EZ11)</f>
        <v>253</v>
      </c>
      <c r="FE11" s="90">
        <v>842</v>
      </c>
      <c r="FF11" s="90"/>
      <c r="FG11" s="90"/>
      <c r="FH11" s="116"/>
      <c r="FI11" s="16">
        <f t="shared" si="0"/>
        <v>842</v>
      </c>
      <c r="FJ11" s="90"/>
      <c r="FK11" s="90"/>
      <c r="FL11" s="90"/>
      <c r="FM11" s="116"/>
      <c r="FN11" s="16">
        <f t="shared" ref="FN11:FN74" si="32">IF(FJ11="",FL11,FJ11)</f>
        <v>0</v>
      </c>
      <c r="FO11" s="90"/>
      <c r="FP11" s="90"/>
      <c r="FQ11" s="90"/>
      <c r="FR11" s="116"/>
      <c r="FS11" s="16">
        <f t="shared" ref="FS11:FS74" si="33">IF(FO11="",FQ11,FO11)</f>
        <v>0</v>
      </c>
      <c r="FT11" s="90"/>
      <c r="FU11" s="90"/>
      <c r="FV11" s="90"/>
      <c r="FW11" s="116"/>
      <c r="FX11" s="16">
        <f t="shared" ref="FX11:FX74" si="34">IF(FT11="",FV11,FT11)</f>
        <v>0</v>
      </c>
      <c r="FY11" s="90"/>
      <c r="FZ11" s="90"/>
      <c r="GA11" s="90"/>
      <c r="GB11" s="116"/>
      <c r="GC11" s="16">
        <f t="shared" ref="GC11:GC74" si="35">IF(FY11="",GA11,FY11)</f>
        <v>0</v>
      </c>
      <c r="GD11" s="90"/>
      <c r="GE11" s="90"/>
      <c r="GF11" s="90"/>
      <c r="GG11" s="116"/>
      <c r="GH11" s="16">
        <f t="shared" ref="GH11:GH74" si="36">IF(GD11="",GF11,GD11)</f>
        <v>0</v>
      </c>
      <c r="GI11" s="90"/>
      <c r="GJ11" s="90"/>
      <c r="GK11" s="90"/>
      <c r="GL11" s="116"/>
      <c r="GM11" s="16">
        <f t="shared" ref="GM11:GM74" si="37">IF(GI11="",GK11,GI11)</f>
        <v>0</v>
      </c>
      <c r="GN11" s="90"/>
      <c r="GO11" s="90"/>
      <c r="GP11" s="90"/>
      <c r="GQ11" s="116"/>
      <c r="GR11" s="16">
        <f t="shared" ref="GR11:GR74" si="38">IF(GN11="",GP11,GN11)</f>
        <v>0</v>
      </c>
      <c r="GS11" s="90"/>
      <c r="GT11" s="90"/>
      <c r="GU11" s="90"/>
      <c r="GV11" s="116"/>
      <c r="GW11" s="16">
        <f t="shared" ref="GW11:GW74" si="39">IF(GS11="",GU11,GS11)</f>
        <v>0</v>
      </c>
      <c r="GX11" s="90"/>
      <c r="GY11" s="90"/>
      <c r="GZ11" s="90"/>
      <c r="HA11" s="116"/>
      <c r="HB11" s="16">
        <f t="shared" ref="HB11:HB74" si="40">IF(GX11="",GZ11,GX11)</f>
        <v>0</v>
      </c>
      <c r="HC11" s="90"/>
      <c r="HD11" s="90"/>
      <c r="HE11" s="90"/>
      <c r="HF11" s="116"/>
      <c r="HG11" s="16">
        <f t="shared" ref="HG11:HG74" si="41">IF(HC11="",HE11,HC11)</f>
        <v>0</v>
      </c>
      <c r="HH11" s="90"/>
      <c r="HI11" s="90"/>
      <c r="HJ11" s="90"/>
      <c r="HK11" s="116"/>
      <c r="HL11" s="16">
        <f t="shared" ref="HL11:HL74" si="42">IF(HH11="",HJ11,HH11)</f>
        <v>0</v>
      </c>
      <c r="HM11" s="90"/>
      <c r="HN11" s="90"/>
      <c r="HO11" s="90"/>
      <c r="HP11" s="116"/>
      <c r="HQ11" s="16">
        <f t="shared" ref="HQ11:HQ74" si="43">IF(HM11="",HO11,HM11)</f>
        <v>0</v>
      </c>
      <c r="HR11" s="90"/>
      <c r="HS11" s="90"/>
      <c r="HT11" s="90"/>
      <c r="HU11" s="116"/>
      <c r="HV11" s="16">
        <f t="shared" ref="HV11:HV74" si="44">IF(HR11="",HT11,HR11)</f>
        <v>0</v>
      </c>
      <c r="HW11" s="90"/>
      <c r="HX11" s="90"/>
      <c r="HY11" s="90"/>
      <c r="HZ11" s="116"/>
      <c r="IA11" s="16">
        <f t="shared" ref="IA11:IA74" si="45">IF(HW11="",HY11,HW11)</f>
        <v>0</v>
      </c>
      <c r="IB11" s="90"/>
      <c r="IC11" s="90"/>
      <c r="ID11" s="90"/>
      <c r="IE11" s="116"/>
      <c r="IF11" s="16">
        <f t="shared" ref="IF11:IF74" si="46">IF(IB11="",ID11,IB11)</f>
        <v>0</v>
      </c>
      <c r="IG11" s="90"/>
      <c r="IH11" s="90"/>
      <c r="II11" s="90"/>
      <c r="IJ11" s="116"/>
      <c r="IK11" s="16">
        <f t="shared" ref="IK11:IK74" si="47">IF(IG11="",II11,IG11)</f>
        <v>0</v>
      </c>
      <c r="IL11" s="90"/>
      <c r="IM11" s="90"/>
      <c r="IN11" s="90"/>
      <c r="IO11" s="116"/>
      <c r="IP11" s="16">
        <f t="shared" ref="IP11:IP74" si="48">IF(IL11="",IN11,IL11)</f>
        <v>0</v>
      </c>
    </row>
    <row r="12" spans="1:250" x14ac:dyDescent="0.25">
      <c r="A12" s="90">
        <v>748</v>
      </c>
      <c r="B12" s="90"/>
      <c r="C12" s="116"/>
      <c r="D12" s="116"/>
      <c r="E12" s="16">
        <f t="shared" si="1"/>
        <v>748</v>
      </c>
      <c r="F12" s="90"/>
      <c r="G12" s="90">
        <v>20</v>
      </c>
      <c r="H12" s="90"/>
      <c r="I12" s="116"/>
      <c r="J12" s="16">
        <f t="shared" si="2"/>
        <v>0</v>
      </c>
      <c r="K12" s="90">
        <v>666</v>
      </c>
      <c r="L12" s="90"/>
      <c r="M12" s="90"/>
      <c r="N12" s="116"/>
      <c r="O12" s="16">
        <f t="shared" si="3"/>
        <v>666</v>
      </c>
      <c r="P12" s="90"/>
      <c r="Q12" s="90">
        <v>22</v>
      </c>
      <c r="R12" s="90"/>
      <c r="S12" s="116"/>
      <c r="T12" s="16">
        <f t="shared" si="4"/>
        <v>0</v>
      </c>
      <c r="U12" s="90"/>
      <c r="V12" s="90">
        <v>20</v>
      </c>
      <c r="W12" s="90"/>
      <c r="X12" s="116"/>
      <c r="Y12" s="16">
        <f t="shared" si="5"/>
        <v>0</v>
      </c>
      <c r="Z12" s="90"/>
      <c r="AA12" s="90">
        <v>50</v>
      </c>
      <c r="AB12" s="90"/>
      <c r="AC12" s="116"/>
      <c r="AD12" s="16">
        <f t="shared" si="6"/>
        <v>0</v>
      </c>
      <c r="AE12" s="90"/>
      <c r="AF12" s="90">
        <v>25</v>
      </c>
      <c r="AG12" s="90"/>
      <c r="AH12" s="116"/>
      <c r="AI12" s="16">
        <f t="shared" si="7"/>
        <v>0</v>
      </c>
      <c r="AJ12" s="90">
        <v>170</v>
      </c>
      <c r="AK12" s="90"/>
      <c r="AL12" s="90"/>
      <c r="AM12" s="116"/>
      <c r="AN12" s="16">
        <f t="shared" si="8"/>
        <v>170</v>
      </c>
      <c r="AO12" s="90"/>
      <c r="AP12" s="90"/>
      <c r="AQ12" s="90">
        <v>283</v>
      </c>
      <c r="AR12" s="116"/>
      <c r="AS12" s="16">
        <f t="shared" si="9"/>
        <v>283</v>
      </c>
      <c r="AT12" s="90">
        <v>420</v>
      </c>
      <c r="AU12" s="90"/>
      <c r="AV12" s="90"/>
      <c r="AW12" s="116"/>
      <c r="AX12" s="16">
        <f t="shared" si="10"/>
        <v>420</v>
      </c>
      <c r="AY12" s="90">
        <v>161</v>
      </c>
      <c r="AZ12" s="90"/>
      <c r="BA12" s="90"/>
      <c r="BB12" s="116"/>
      <c r="BC12" s="16">
        <f>IF(AY12="",BA12,AY12)</f>
        <v>161</v>
      </c>
      <c r="BD12" s="90">
        <v>84</v>
      </c>
      <c r="BE12" s="90"/>
      <c r="BF12" s="90"/>
      <c r="BG12" s="116"/>
      <c r="BH12" s="16">
        <f t="shared" si="11"/>
        <v>84</v>
      </c>
      <c r="BI12" s="90">
        <v>136</v>
      </c>
      <c r="BJ12" s="90"/>
      <c r="BK12" s="90"/>
      <c r="BL12" s="116"/>
      <c r="BM12" s="16">
        <f t="shared" si="12"/>
        <v>136</v>
      </c>
      <c r="BN12" s="90">
        <v>142</v>
      </c>
      <c r="BO12" s="90"/>
      <c r="BP12" s="90"/>
      <c r="BQ12" s="116"/>
      <c r="BR12" s="16">
        <f t="shared" si="13"/>
        <v>142</v>
      </c>
      <c r="BS12" s="90"/>
      <c r="BT12" s="90">
        <v>20</v>
      </c>
      <c r="BU12" s="90"/>
      <c r="BV12" s="116"/>
      <c r="BW12" s="16">
        <f t="shared" si="14"/>
        <v>0</v>
      </c>
      <c r="BX12" s="90">
        <v>358</v>
      </c>
      <c r="BY12" s="90"/>
      <c r="BZ12" s="90"/>
      <c r="CA12" s="116"/>
      <c r="CB12" s="16">
        <f t="shared" si="15"/>
        <v>358</v>
      </c>
      <c r="CC12" s="90">
        <v>590</v>
      </c>
      <c r="CD12" s="90"/>
      <c r="CE12" s="90"/>
      <c r="CF12" s="116"/>
      <c r="CG12" s="16">
        <f t="shared" si="16"/>
        <v>590</v>
      </c>
      <c r="CH12" s="90"/>
      <c r="CI12" s="90">
        <v>50</v>
      </c>
      <c r="CJ12" s="90"/>
      <c r="CK12" s="116"/>
      <c r="CL12" s="16">
        <f t="shared" si="17"/>
        <v>0</v>
      </c>
      <c r="CM12" s="90"/>
      <c r="CN12" s="90">
        <v>20</v>
      </c>
      <c r="CO12" s="90"/>
      <c r="CP12" s="116"/>
      <c r="CQ12" s="16">
        <f t="shared" si="18"/>
        <v>0</v>
      </c>
      <c r="CR12" s="90"/>
      <c r="CS12" s="90">
        <v>20</v>
      </c>
      <c r="CT12" s="90"/>
      <c r="CU12" s="116"/>
      <c r="CV12" s="16">
        <f t="shared" si="19"/>
        <v>0</v>
      </c>
      <c r="CW12" s="90"/>
      <c r="CX12" s="90">
        <v>50</v>
      </c>
      <c r="CY12" s="90"/>
      <c r="CZ12" s="116"/>
      <c r="DA12" s="16">
        <f t="shared" si="20"/>
        <v>0</v>
      </c>
      <c r="DB12" s="90">
        <v>500</v>
      </c>
      <c r="DC12" s="90"/>
      <c r="DD12" s="90"/>
      <c r="DE12" s="116"/>
      <c r="DF12" s="16">
        <f t="shared" si="21"/>
        <v>500</v>
      </c>
      <c r="DG12" s="90"/>
      <c r="DH12" s="90">
        <v>20</v>
      </c>
      <c r="DI12" s="90"/>
      <c r="DJ12" s="116"/>
      <c r="DK12" s="16">
        <f t="shared" si="22"/>
        <v>0</v>
      </c>
      <c r="DL12" s="90"/>
      <c r="DM12" s="90"/>
      <c r="DN12" s="90"/>
      <c r="DO12" s="116"/>
      <c r="DP12" s="16">
        <f t="shared" si="23"/>
        <v>0</v>
      </c>
      <c r="DQ12" s="90"/>
      <c r="DR12" s="90"/>
      <c r="DS12" s="90">
        <v>195</v>
      </c>
      <c r="DT12" s="90"/>
      <c r="DU12" s="16">
        <f t="shared" si="24"/>
        <v>195</v>
      </c>
      <c r="DV12" s="90"/>
      <c r="DW12" s="90"/>
      <c r="DX12" s="90">
        <v>114</v>
      </c>
      <c r="DY12" s="116"/>
      <c r="DZ12" s="16">
        <f t="shared" si="25"/>
        <v>114</v>
      </c>
      <c r="EA12" s="90"/>
      <c r="EB12" s="90"/>
      <c r="EC12" s="90"/>
      <c r="ED12" s="116">
        <v>50</v>
      </c>
      <c r="EE12" s="16">
        <f t="shared" si="26"/>
        <v>0</v>
      </c>
      <c r="EF12" s="90"/>
      <c r="EG12" s="90">
        <v>26</v>
      </c>
      <c r="EH12" s="90"/>
      <c r="EI12" s="116"/>
      <c r="EJ12" s="16">
        <f t="shared" si="27"/>
        <v>0</v>
      </c>
      <c r="EK12" s="90"/>
      <c r="EL12" s="90"/>
      <c r="EM12" s="90"/>
      <c r="EN12" s="116"/>
      <c r="EO12" s="16">
        <f t="shared" si="28"/>
        <v>0</v>
      </c>
      <c r="EP12" s="90"/>
      <c r="EQ12" s="90"/>
      <c r="ER12" s="90"/>
      <c r="ES12" s="116">
        <v>100</v>
      </c>
      <c r="ET12" s="16">
        <f t="shared" si="29"/>
        <v>0</v>
      </c>
      <c r="EU12" s="90"/>
      <c r="EV12" s="90">
        <v>20</v>
      </c>
      <c r="EW12" s="90"/>
      <c r="EX12" s="116"/>
      <c r="EY12" s="16">
        <f t="shared" si="30"/>
        <v>0</v>
      </c>
      <c r="EZ12" s="90"/>
      <c r="FA12" s="90">
        <v>100</v>
      </c>
      <c r="FB12" s="90"/>
      <c r="FC12" s="116"/>
      <c r="FD12" s="16">
        <f t="shared" si="31"/>
        <v>0</v>
      </c>
      <c r="FE12" s="90"/>
      <c r="FF12" s="90">
        <v>50</v>
      </c>
      <c r="FG12" s="90"/>
      <c r="FH12" s="116"/>
      <c r="FI12" s="16">
        <f t="shared" si="0"/>
        <v>0</v>
      </c>
      <c r="FJ12" s="90"/>
      <c r="FK12" s="90"/>
      <c r="FL12" s="90"/>
      <c r="FM12" s="116"/>
      <c r="FN12" s="16">
        <f t="shared" si="32"/>
        <v>0</v>
      </c>
      <c r="FO12" s="90"/>
      <c r="FP12" s="90"/>
      <c r="FQ12" s="90"/>
      <c r="FR12" s="116"/>
      <c r="FS12" s="16">
        <f t="shared" si="33"/>
        <v>0</v>
      </c>
      <c r="FT12" s="90"/>
      <c r="FU12" s="90"/>
      <c r="FV12" s="90"/>
      <c r="FW12" s="116"/>
      <c r="FX12" s="16">
        <f t="shared" si="34"/>
        <v>0</v>
      </c>
      <c r="FY12" s="90"/>
      <c r="FZ12" s="90"/>
      <c r="GA12" s="90"/>
      <c r="GB12" s="116"/>
      <c r="GC12" s="16">
        <f t="shared" si="35"/>
        <v>0</v>
      </c>
      <c r="GD12" s="90"/>
      <c r="GE12" s="90"/>
      <c r="GF12" s="90"/>
      <c r="GG12" s="116"/>
      <c r="GH12" s="16">
        <f t="shared" si="36"/>
        <v>0</v>
      </c>
      <c r="GI12" s="90"/>
      <c r="GJ12" s="90"/>
      <c r="GK12" s="90"/>
      <c r="GL12" s="116"/>
      <c r="GM12" s="16">
        <f t="shared" si="37"/>
        <v>0</v>
      </c>
      <c r="GN12" s="90"/>
      <c r="GO12" s="90"/>
      <c r="GP12" s="90"/>
      <c r="GQ12" s="116"/>
      <c r="GR12" s="16">
        <f t="shared" si="38"/>
        <v>0</v>
      </c>
      <c r="GS12" s="90"/>
      <c r="GT12" s="90"/>
      <c r="GU12" s="90"/>
      <c r="GV12" s="116"/>
      <c r="GW12" s="16">
        <f t="shared" si="39"/>
        <v>0</v>
      </c>
      <c r="GX12" s="90"/>
      <c r="GY12" s="90"/>
      <c r="GZ12" s="90"/>
      <c r="HA12" s="116"/>
      <c r="HB12" s="16">
        <f t="shared" si="40"/>
        <v>0</v>
      </c>
      <c r="HC12" s="90"/>
      <c r="HD12" s="90"/>
      <c r="HE12" s="90"/>
      <c r="HF12" s="116"/>
      <c r="HG12" s="16">
        <f t="shared" si="41"/>
        <v>0</v>
      </c>
      <c r="HH12" s="90"/>
      <c r="HI12" s="90"/>
      <c r="HJ12" s="90"/>
      <c r="HK12" s="116"/>
      <c r="HL12" s="16">
        <f t="shared" si="42"/>
        <v>0</v>
      </c>
      <c r="HM12" s="90"/>
      <c r="HN12" s="90"/>
      <c r="HO12" s="90"/>
      <c r="HP12" s="116"/>
      <c r="HQ12" s="16">
        <f t="shared" si="43"/>
        <v>0</v>
      </c>
      <c r="HR12" s="90"/>
      <c r="HS12" s="90"/>
      <c r="HT12" s="90"/>
      <c r="HU12" s="116"/>
      <c r="HV12" s="16">
        <f t="shared" si="44"/>
        <v>0</v>
      </c>
      <c r="HW12" s="90"/>
      <c r="HX12" s="90"/>
      <c r="HY12" s="90"/>
      <c r="HZ12" s="116"/>
      <c r="IA12" s="16">
        <f t="shared" si="45"/>
        <v>0</v>
      </c>
      <c r="IB12" s="90"/>
      <c r="IC12" s="90"/>
      <c r="ID12" s="90"/>
      <c r="IE12" s="116"/>
      <c r="IF12" s="16">
        <f t="shared" si="46"/>
        <v>0</v>
      </c>
      <c r="IG12" s="90"/>
      <c r="IH12" s="90"/>
      <c r="II12" s="90"/>
      <c r="IJ12" s="116"/>
      <c r="IK12" s="16">
        <f t="shared" si="47"/>
        <v>0</v>
      </c>
      <c r="IL12" s="90"/>
      <c r="IM12" s="90"/>
      <c r="IN12" s="90"/>
      <c r="IO12" s="116"/>
      <c r="IP12" s="16">
        <f t="shared" si="48"/>
        <v>0</v>
      </c>
    </row>
    <row r="13" spans="1:250" x14ac:dyDescent="0.25">
      <c r="A13" s="90"/>
      <c r="B13" s="90">
        <v>20</v>
      </c>
      <c r="C13" s="116"/>
      <c r="D13" s="116"/>
      <c r="E13" s="16">
        <f t="shared" si="1"/>
        <v>0</v>
      </c>
      <c r="F13" s="90">
        <v>243</v>
      </c>
      <c r="G13" s="90"/>
      <c r="H13" s="90"/>
      <c r="I13" s="116"/>
      <c r="J13" s="16">
        <f t="shared" si="2"/>
        <v>243</v>
      </c>
      <c r="K13" s="90"/>
      <c r="L13" s="90">
        <v>20</v>
      </c>
      <c r="M13" s="90"/>
      <c r="N13" s="116"/>
      <c r="O13" s="16">
        <f t="shared" si="3"/>
        <v>0</v>
      </c>
      <c r="P13" s="90"/>
      <c r="Q13" s="90"/>
      <c r="R13" s="90">
        <v>276</v>
      </c>
      <c r="S13" s="116"/>
      <c r="T13" s="16">
        <f t="shared" si="4"/>
        <v>276</v>
      </c>
      <c r="U13" s="90">
        <v>890</v>
      </c>
      <c r="V13" s="90"/>
      <c r="W13" s="90"/>
      <c r="X13" s="116"/>
      <c r="Y13" s="16">
        <f t="shared" si="5"/>
        <v>890</v>
      </c>
      <c r="Z13" s="90"/>
      <c r="AA13" s="90"/>
      <c r="AB13" s="90"/>
      <c r="AC13" s="116"/>
      <c r="AD13" s="16">
        <f t="shared" si="6"/>
        <v>0</v>
      </c>
      <c r="AE13" s="90"/>
      <c r="AF13" s="90"/>
      <c r="AG13" s="90">
        <v>25</v>
      </c>
      <c r="AH13" s="116"/>
      <c r="AI13" s="16">
        <f t="shared" si="7"/>
        <v>25</v>
      </c>
      <c r="AJ13" s="90">
        <v>660</v>
      </c>
      <c r="AK13" s="90"/>
      <c r="AL13" s="90"/>
      <c r="AM13" s="116"/>
      <c r="AN13" s="16">
        <f t="shared" si="8"/>
        <v>660</v>
      </c>
      <c r="AO13" s="90"/>
      <c r="AP13" s="90"/>
      <c r="AQ13" s="90"/>
      <c r="AR13" s="116"/>
      <c r="AS13" s="16">
        <f t="shared" si="9"/>
        <v>0</v>
      </c>
      <c r="AT13" s="90">
        <v>149</v>
      </c>
      <c r="AU13" s="90"/>
      <c r="AV13" s="90"/>
      <c r="AW13" s="116"/>
      <c r="AX13" s="16">
        <f t="shared" si="10"/>
        <v>149</v>
      </c>
      <c r="AY13" s="90">
        <v>75</v>
      </c>
      <c r="AZ13" s="90"/>
      <c r="BA13" s="90"/>
      <c r="BB13" s="116"/>
      <c r="BC13" s="16">
        <f>IF(AY13="",BA13,AY13)</f>
        <v>75</v>
      </c>
      <c r="BD13" s="90">
        <v>169</v>
      </c>
      <c r="BE13" s="90"/>
      <c r="BF13" s="90"/>
      <c r="BG13" s="116"/>
      <c r="BH13" s="16">
        <f t="shared" si="11"/>
        <v>169</v>
      </c>
      <c r="BI13" s="90">
        <v>142</v>
      </c>
      <c r="BJ13" s="90"/>
      <c r="BK13" s="90"/>
      <c r="BL13" s="116"/>
      <c r="BM13" s="16">
        <f t="shared" si="12"/>
        <v>142</v>
      </c>
      <c r="BN13" s="90">
        <v>129</v>
      </c>
      <c r="BO13" s="90"/>
      <c r="BP13" s="90"/>
      <c r="BQ13" s="116"/>
      <c r="BR13" s="16">
        <f t="shared" si="13"/>
        <v>129</v>
      </c>
      <c r="BS13" s="90">
        <v>465</v>
      </c>
      <c r="BT13" s="90"/>
      <c r="BU13" s="90"/>
      <c r="BV13" s="116"/>
      <c r="BW13" s="16">
        <f t="shared" si="14"/>
        <v>465</v>
      </c>
      <c r="BX13" s="90"/>
      <c r="BY13" s="90">
        <v>20</v>
      </c>
      <c r="BZ13" s="90"/>
      <c r="CA13" s="116"/>
      <c r="CB13" s="16">
        <f t="shared" si="15"/>
        <v>0</v>
      </c>
      <c r="CC13" s="90"/>
      <c r="CD13" s="90">
        <v>20</v>
      </c>
      <c r="CE13" s="90"/>
      <c r="CF13" s="116"/>
      <c r="CG13" s="16">
        <f t="shared" si="16"/>
        <v>0</v>
      </c>
      <c r="CH13" s="90"/>
      <c r="CI13" s="90"/>
      <c r="CJ13" s="90"/>
      <c r="CK13" s="116"/>
      <c r="CL13" s="16">
        <f t="shared" si="17"/>
        <v>0</v>
      </c>
      <c r="CM13" s="90">
        <v>140</v>
      </c>
      <c r="CN13" s="90"/>
      <c r="CO13" s="90"/>
      <c r="CP13" s="116"/>
      <c r="CQ13" s="16">
        <f t="shared" si="18"/>
        <v>140</v>
      </c>
      <c r="CR13" s="90">
        <v>1468</v>
      </c>
      <c r="CS13" s="90"/>
      <c r="CT13" s="90"/>
      <c r="CU13" s="116"/>
      <c r="CV13" s="16">
        <f t="shared" si="19"/>
        <v>1468</v>
      </c>
      <c r="CW13" s="90"/>
      <c r="CX13" s="90"/>
      <c r="CY13" s="90"/>
      <c r="CZ13" s="116"/>
      <c r="DA13" s="16">
        <f t="shared" si="20"/>
        <v>0</v>
      </c>
      <c r="DB13" s="90"/>
      <c r="DC13" s="90">
        <v>20</v>
      </c>
      <c r="DD13" s="90"/>
      <c r="DE13" s="116"/>
      <c r="DF13" s="16">
        <f t="shared" si="21"/>
        <v>0</v>
      </c>
      <c r="DG13" s="90">
        <v>435</v>
      </c>
      <c r="DH13" s="90"/>
      <c r="DI13" s="90"/>
      <c r="DJ13" s="116"/>
      <c r="DK13" s="16">
        <f t="shared" si="22"/>
        <v>435</v>
      </c>
      <c r="DL13" s="90"/>
      <c r="DM13" s="90"/>
      <c r="DN13" s="90"/>
      <c r="DO13" s="116"/>
      <c r="DP13" s="16">
        <f t="shared" si="23"/>
        <v>0</v>
      </c>
      <c r="DQ13" s="90"/>
      <c r="DR13" s="90"/>
      <c r="DS13" s="90">
        <v>366</v>
      </c>
      <c r="DT13" s="90"/>
      <c r="DU13" s="16">
        <f t="shared" si="24"/>
        <v>366</v>
      </c>
      <c r="DV13" s="90"/>
      <c r="DW13" s="90"/>
      <c r="DX13" s="90"/>
      <c r="DY13" s="116">
        <v>50</v>
      </c>
      <c r="DZ13" s="16">
        <f t="shared" si="25"/>
        <v>0</v>
      </c>
      <c r="EA13" s="90"/>
      <c r="EB13" s="90"/>
      <c r="EC13" s="90">
        <v>205</v>
      </c>
      <c r="ED13" s="116"/>
      <c r="EE13" s="16">
        <f t="shared" si="26"/>
        <v>205</v>
      </c>
      <c r="EF13" s="90">
        <v>640</v>
      </c>
      <c r="EG13" s="90"/>
      <c r="EH13" s="90"/>
      <c r="EI13" s="116"/>
      <c r="EJ13" s="16">
        <f t="shared" si="27"/>
        <v>640</v>
      </c>
      <c r="EK13" s="90"/>
      <c r="EL13" s="90"/>
      <c r="EM13" s="90"/>
      <c r="EN13" s="116"/>
      <c r="EO13" s="16">
        <f t="shared" si="28"/>
        <v>0</v>
      </c>
      <c r="EP13" s="90"/>
      <c r="EQ13" s="90"/>
      <c r="ER13" s="90">
        <v>320</v>
      </c>
      <c r="ES13" s="116"/>
      <c r="ET13" s="16">
        <f t="shared" si="29"/>
        <v>320</v>
      </c>
      <c r="EU13" s="90">
        <v>34</v>
      </c>
      <c r="EV13" s="90"/>
      <c r="EW13" s="90"/>
      <c r="EX13" s="116"/>
      <c r="EY13" s="16">
        <f t="shared" si="30"/>
        <v>34</v>
      </c>
      <c r="EZ13" s="90">
        <v>590</v>
      </c>
      <c r="FA13" s="90"/>
      <c r="FB13" s="90"/>
      <c r="FC13" s="116"/>
      <c r="FD13" s="16">
        <f t="shared" si="31"/>
        <v>590</v>
      </c>
      <c r="FE13" s="90"/>
      <c r="FF13" s="90"/>
      <c r="FG13" s="90"/>
      <c r="FH13" s="116"/>
      <c r="FI13" s="16">
        <f t="shared" si="0"/>
        <v>0</v>
      </c>
      <c r="FJ13" s="90"/>
      <c r="FK13" s="90"/>
      <c r="FL13" s="90"/>
      <c r="FM13" s="116"/>
      <c r="FN13" s="16">
        <f t="shared" si="32"/>
        <v>0</v>
      </c>
      <c r="FO13" s="90"/>
      <c r="FP13" s="90"/>
      <c r="FQ13" s="90"/>
      <c r="FR13" s="116"/>
      <c r="FS13" s="16">
        <f t="shared" si="33"/>
        <v>0</v>
      </c>
      <c r="FT13" s="90"/>
      <c r="FU13" s="90"/>
      <c r="FV13" s="90"/>
      <c r="FW13" s="116"/>
      <c r="FX13" s="16">
        <f t="shared" si="34"/>
        <v>0</v>
      </c>
      <c r="FY13" s="90"/>
      <c r="FZ13" s="90"/>
      <c r="GA13" s="90"/>
      <c r="GB13" s="116"/>
      <c r="GC13" s="16">
        <f t="shared" si="35"/>
        <v>0</v>
      </c>
      <c r="GD13" s="90"/>
      <c r="GE13" s="90"/>
      <c r="GF13" s="90"/>
      <c r="GG13" s="116"/>
      <c r="GH13" s="16">
        <f t="shared" si="36"/>
        <v>0</v>
      </c>
      <c r="GI13" s="90"/>
      <c r="GJ13" s="90"/>
      <c r="GK13" s="90"/>
      <c r="GL13" s="116"/>
      <c r="GM13" s="16">
        <f t="shared" si="37"/>
        <v>0</v>
      </c>
      <c r="GN13" s="90"/>
      <c r="GO13" s="90"/>
      <c r="GP13" s="90"/>
      <c r="GQ13" s="116"/>
      <c r="GR13" s="16">
        <f t="shared" si="38"/>
        <v>0</v>
      </c>
      <c r="GS13" s="90"/>
      <c r="GT13" s="90"/>
      <c r="GU13" s="90"/>
      <c r="GV13" s="116"/>
      <c r="GW13" s="16">
        <f t="shared" si="39"/>
        <v>0</v>
      </c>
      <c r="GX13" s="90"/>
      <c r="GY13" s="90"/>
      <c r="GZ13" s="90"/>
      <c r="HA13" s="116"/>
      <c r="HB13" s="16">
        <f t="shared" si="40"/>
        <v>0</v>
      </c>
      <c r="HC13" s="90"/>
      <c r="HD13" s="90"/>
      <c r="HE13" s="90"/>
      <c r="HF13" s="116"/>
      <c r="HG13" s="16">
        <f t="shared" si="41"/>
        <v>0</v>
      </c>
      <c r="HH13" s="90"/>
      <c r="HI13" s="90"/>
      <c r="HJ13" s="90"/>
      <c r="HK13" s="116"/>
      <c r="HL13" s="16">
        <f t="shared" si="42"/>
        <v>0</v>
      </c>
      <c r="HM13" s="90"/>
      <c r="HN13" s="90"/>
      <c r="HO13" s="90"/>
      <c r="HP13" s="116"/>
      <c r="HQ13" s="16">
        <f t="shared" si="43"/>
        <v>0</v>
      </c>
      <c r="HR13" s="90"/>
      <c r="HS13" s="90"/>
      <c r="HT13" s="90"/>
      <c r="HU13" s="116"/>
      <c r="HV13" s="16">
        <f t="shared" si="44"/>
        <v>0</v>
      </c>
      <c r="HW13" s="90"/>
      <c r="HX13" s="90"/>
      <c r="HY13" s="90"/>
      <c r="HZ13" s="116"/>
      <c r="IA13" s="16">
        <f t="shared" si="45"/>
        <v>0</v>
      </c>
      <c r="IB13" s="90"/>
      <c r="IC13" s="90"/>
      <c r="ID13" s="90"/>
      <c r="IE13" s="116"/>
      <c r="IF13" s="16">
        <f t="shared" si="46"/>
        <v>0</v>
      </c>
      <c r="IG13" s="90"/>
      <c r="IH13" s="90"/>
      <c r="II13" s="90"/>
      <c r="IJ13" s="116"/>
      <c r="IK13" s="16">
        <f t="shared" si="47"/>
        <v>0</v>
      </c>
      <c r="IL13" s="90"/>
      <c r="IM13" s="90"/>
      <c r="IN13" s="90"/>
      <c r="IO13" s="116"/>
      <c r="IP13" s="16">
        <f t="shared" si="48"/>
        <v>0</v>
      </c>
    </row>
    <row r="14" spans="1:250" x14ac:dyDescent="0.25">
      <c r="A14" s="90">
        <v>588</v>
      </c>
      <c r="B14" s="90"/>
      <c r="C14" s="116"/>
      <c r="D14" s="116"/>
      <c r="E14" s="16">
        <f t="shared" si="1"/>
        <v>588</v>
      </c>
      <c r="F14" s="90"/>
      <c r="G14" s="90">
        <v>50</v>
      </c>
      <c r="H14" s="90"/>
      <c r="I14" s="116"/>
      <c r="J14" s="16">
        <f t="shared" si="2"/>
        <v>0</v>
      </c>
      <c r="K14" s="90">
        <v>306</v>
      </c>
      <c r="L14" s="90"/>
      <c r="M14" s="90"/>
      <c r="N14" s="116"/>
      <c r="O14" s="16">
        <f t="shared" si="3"/>
        <v>306</v>
      </c>
      <c r="P14" s="90"/>
      <c r="Q14" s="90"/>
      <c r="R14" s="90">
        <v>203</v>
      </c>
      <c r="S14" s="116"/>
      <c r="T14" s="16">
        <f t="shared" si="4"/>
        <v>203</v>
      </c>
      <c r="U14" s="90"/>
      <c r="V14" s="90">
        <v>50</v>
      </c>
      <c r="W14" s="90"/>
      <c r="X14" s="116"/>
      <c r="Y14" s="16">
        <f t="shared" si="5"/>
        <v>0</v>
      </c>
      <c r="Z14" s="90"/>
      <c r="AA14" s="90"/>
      <c r="AB14" s="90"/>
      <c r="AC14" s="116"/>
      <c r="AD14" s="16">
        <f t="shared" si="6"/>
        <v>0</v>
      </c>
      <c r="AE14" s="90"/>
      <c r="AF14" s="90"/>
      <c r="AG14" s="90">
        <v>61</v>
      </c>
      <c r="AH14" s="116"/>
      <c r="AI14" s="16">
        <f t="shared" si="7"/>
        <v>61</v>
      </c>
      <c r="AJ14" s="90"/>
      <c r="AK14" s="90">
        <v>50</v>
      </c>
      <c r="AL14" s="90"/>
      <c r="AM14" s="116"/>
      <c r="AN14" s="16">
        <f t="shared" si="8"/>
        <v>0</v>
      </c>
      <c r="AO14" s="90"/>
      <c r="AP14" s="90"/>
      <c r="AQ14" s="90"/>
      <c r="AR14" s="116"/>
      <c r="AS14" s="16">
        <f t="shared" si="9"/>
        <v>0</v>
      </c>
      <c r="AT14" s="90"/>
      <c r="AU14" s="90">
        <v>20</v>
      </c>
      <c r="AV14" s="90"/>
      <c r="AW14" s="116"/>
      <c r="AX14" s="16">
        <f t="shared" si="10"/>
        <v>0</v>
      </c>
      <c r="AY14" s="90"/>
      <c r="AZ14" s="90"/>
      <c r="BA14" s="90"/>
      <c r="BB14" s="116"/>
      <c r="BC14" s="16">
        <f t="shared" ref="BC14:BC74" si="49">IF(AY14="",BA14,AY14)</f>
        <v>0</v>
      </c>
      <c r="BD14" s="90">
        <v>2</v>
      </c>
      <c r="BE14" s="90"/>
      <c r="BF14" s="90"/>
      <c r="BG14" s="116"/>
      <c r="BH14" s="16">
        <f t="shared" si="11"/>
        <v>2</v>
      </c>
      <c r="BI14" s="90">
        <v>83</v>
      </c>
      <c r="BJ14" s="90"/>
      <c r="BK14" s="90"/>
      <c r="BL14" s="116"/>
      <c r="BM14" s="16">
        <f t="shared" si="12"/>
        <v>83</v>
      </c>
      <c r="BN14" s="90">
        <v>121</v>
      </c>
      <c r="BO14" s="90"/>
      <c r="BP14" s="90"/>
      <c r="BQ14" s="116"/>
      <c r="BR14" s="16">
        <f t="shared" si="13"/>
        <v>121</v>
      </c>
      <c r="BS14" s="90"/>
      <c r="BT14" s="90">
        <v>50</v>
      </c>
      <c r="BU14" s="90"/>
      <c r="BV14" s="116"/>
      <c r="BW14" s="16">
        <f t="shared" si="14"/>
        <v>0</v>
      </c>
      <c r="BX14" s="90">
        <v>650</v>
      </c>
      <c r="BY14" s="90"/>
      <c r="BZ14" s="90"/>
      <c r="CA14" s="116"/>
      <c r="CB14" s="16">
        <f t="shared" si="15"/>
        <v>650</v>
      </c>
      <c r="CC14" s="90">
        <v>579</v>
      </c>
      <c r="CD14" s="90"/>
      <c r="CE14" s="90"/>
      <c r="CF14" s="116"/>
      <c r="CG14" s="16">
        <f t="shared" si="16"/>
        <v>579</v>
      </c>
      <c r="CH14" s="90"/>
      <c r="CI14" s="90"/>
      <c r="CJ14" s="90"/>
      <c r="CK14" s="116"/>
      <c r="CL14" s="16">
        <f t="shared" si="17"/>
        <v>0</v>
      </c>
      <c r="CM14" s="90">
        <v>458</v>
      </c>
      <c r="CN14" s="90"/>
      <c r="CO14" s="90"/>
      <c r="CP14" s="116"/>
      <c r="CQ14" s="16">
        <f t="shared" si="18"/>
        <v>458</v>
      </c>
      <c r="CR14" s="90">
        <v>2</v>
      </c>
      <c r="CS14" s="90"/>
      <c r="CT14" s="90"/>
      <c r="CU14" s="116"/>
      <c r="CV14" s="16">
        <f t="shared" si="19"/>
        <v>2</v>
      </c>
      <c r="CW14" s="90"/>
      <c r="CX14" s="90"/>
      <c r="CY14" s="90"/>
      <c r="CZ14" s="116"/>
      <c r="DA14" s="16">
        <f t="shared" si="20"/>
        <v>0</v>
      </c>
      <c r="DB14" s="90">
        <v>457</v>
      </c>
      <c r="DC14" s="90"/>
      <c r="DD14" s="90"/>
      <c r="DE14" s="116"/>
      <c r="DF14" s="16">
        <f t="shared" si="21"/>
        <v>457</v>
      </c>
      <c r="DG14" s="90"/>
      <c r="DH14" s="90">
        <v>50</v>
      </c>
      <c r="DI14" s="90"/>
      <c r="DJ14" s="116"/>
      <c r="DK14" s="16">
        <f t="shared" si="22"/>
        <v>0</v>
      </c>
      <c r="DL14" s="90"/>
      <c r="DM14" s="90"/>
      <c r="DN14" s="90"/>
      <c r="DO14" s="116"/>
      <c r="DP14" s="16">
        <f t="shared" si="23"/>
        <v>0</v>
      </c>
      <c r="DQ14" s="90"/>
      <c r="DR14" s="90"/>
      <c r="DS14" s="90">
        <v>115</v>
      </c>
      <c r="DT14" s="90"/>
      <c r="DU14" s="16">
        <f t="shared" si="24"/>
        <v>115</v>
      </c>
      <c r="DV14" s="90"/>
      <c r="DW14" s="90"/>
      <c r="DX14" s="90">
        <v>191</v>
      </c>
      <c r="DY14" s="116"/>
      <c r="DZ14" s="16">
        <f t="shared" si="25"/>
        <v>191</v>
      </c>
      <c r="EA14" s="90"/>
      <c r="EB14" s="90"/>
      <c r="EC14" s="90">
        <v>195</v>
      </c>
      <c r="ED14" s="116"/>
      <c r="EE14" s="16">
        <f t="shared" si="26"/>
        <v>195</v>
      </c>
      <c r="EF14" s="90"/>
      <c r="EG14" s="90">
        <v>20</v>
      </c>
      <c r="EH14" s="90"/>
      <c r="EI14" s="116"/>
      <c r="EJ14" s="16">
        <f t="shared" si="27"/>
        <v>0</v>
      </c>
      <c r="EK14" s="90"/>
      <c r="EL14" s="90"/>
      <c r="EM14" s="90"/>
      <c r="EN14" s="116"/>
      <c r="EO14" s="16">
        <f t="shared" si="28"/>
        <v>0</v>
      </c>
      <c r="EP14" s="90"/>
      <c r="EQ14" s="90"/>
      <c r="ER14" s="90"/>
      <c r="ES14" s="116">
        <v>50</v>
      </c>
      <c r="ET14" s="16">
        <f t="shared" si="29"/>
        <v>0</v>
      </c>
      <c r="EU14" s="90">
        <v>270</v>
      </c>
      <c r="EV14" s="90"/>
      <c r="EW14" s="90"/>
      <c r="EX14" s="116"/>
      <c r="EY14" s="16">
        <f t="shared" si="30"/>
        <v>270</v>
      </c>
      <c r="EZ14" s="90"/>
      <c r="FA14" s="90">
        <v>50</v>
      </c>
      <c r="FB14" s="90"/>
      <c r="FC14" s="116"/>
      <c r="FD14" s="16">
        <f t="shared" si="31"/>
        <v>0</v>
      </c>
      <c r="FE14" s="90"/>
      <c r="FF14" s="90"/>
      <c r="FG14" s="90"/>
      <c r="FH14" s="116"/>
      <c r="FI14" s="16">
        <f t="shared" si="0"/>
        <v>0</v>
      </c>
      <c r="FJ14" s="90"/>
      <c r="FK14" s="90"/>
      <c r="FL14" s="90"/>
      <c r="FM14" s="116"/>
      <c r="FN14" s="16">
        <f t="shared" si="32"/>
        <v>0</v>
      </c>
      <c r="FO14" s="90"/>
      <c r="FP14" s="90"/>
      <c r="FQ14" s="90"/>
      <c r="FR14" s="116"/>
      <c r="FS14" s="16">
        <f t="shared" si="33"/>
        <v>0</v>
      </c>
      <c r="FT14" s="90"/>
      <c r="FU14" s="90"/>
      <c r="FV14" s="90"/>
      <c r="FW14" s="116"/>
      <c r="FX14" s="16">
        <f t="shared" si="34"/>
        <v>0</v>
      </c>
      <c r="FY14" s="90"/>
      <c r="FZ14" s="90"/>
      <c r="GA14" s="90"/>
      <c r="GB14" s="116"/>
      <c r="GC14" s="16">
        <f t="shared" si="35"/>
        <v>0</v>
      </c>
      <c r="GD14" s="90"/>
      <c r="GE14" s="90"/>
      <c r="GF14" s="90"/>
      <c r="GG14" s="116"/>
      <c r="GH14" s="16">
        <f t="shared" si="36"/>
        <v>0</v>
      </c>
      <c r="GI14" s="90"/>
      <c r="GJ14" s="90"/>
      <c r="GK14" s="90"/>
      <c r="GL14" s="116"/>
      <c r="GM14" s="16">
        <f t="shared" si="37"/>
        <v>0</v>
      </c>
      <c r="GN14" s="90"/>
      <c r="GO14" s="90"/>
      <c r="GP14" s="90"/>
      <c r="GQ14" s="116"/>
      <c r="GR14" s="16">
        <f t="shared" si="38"/>
        <v>0</v>
      </c>
      <c r="GS14" s="90"/>
      <c r="GT14" s="90"/>
      <c r="GU14" s="90"/>
      <c r="GV14" s="116"/>
      <c r="GW14" s="16">
        <f t="shared" si="39"/>
        <v>0</v>
      </c>
      <c r="GX14" s="90"/>
      <c r="GY14" s="90"/>
      <c r="GZ14" s="90"/>
      <c r="HA14" s="116"/>
      <c r="HB14" s="16">
        <f t="shared" si="40"/>
        <v>0</v>
      </c>
      <c r="HC14" s="90"/>
      <c r="HD14" s="90"/>
      <c r="HE14" s="90"/>
      <c r="HF14" s="116"/>
      <c r="HG14" s="16">
        <f t="shared" si="41"/>
        <v>0</v>
      </c>
      <c r="HH14" s="90"/>
      <c r="HI14" s="90"/>
      <c r="HJ14" s="90"/>
      <c r="HK14" s="116"/>
      <c r="HL14" s="16">
        <f t="shared" si="42"/>
        <v>0</v>
      </c>
      <c r="HM14" s="90"/>
      <c r="HN14" s="90"/>
      <c r="HO14" s="90"/>
      <c r="HP14" s="116"/>
      <c r="HQ14" s="16">
        <f t="shared" si="43"/>
        <v>0</v>
      </c>
      <c r="HR14" s="90"/>
      <c r="HS14" s="90"/>
      <c r="HT14" s="90"/>
      <c r="HU14" s="116"/>
      <c r="HV14" s="16">
        <f t="shared" si="44"/>
        <v>0</v>
      </c>
      <c r="HW14" s="90"/>
      <c r="HX14" s="90"/>
      <c r="HY14" s="90"/>
      <c r="HZ14" s="116"/>
      <c r="IA14" s="16">
        <f t="shared" si="45"/>
        <v>0</v>
      </c>
      <c r="IB14" s="90"/>
      <c r="IC14" s="90"/>
      <c r="ID14" s="90"/>
      <c r="IE14" s="116"/>
      <c r="IF14" s="16">
        <f t="shared" si="46"/>
        <v>0</v>
      </c>
      <c r="IG14" s="90"/>
      <c r="IH14" s="90"/>
      <c r="II14" s="90"/>
      <c r="IJ14" s="116"/>
      <c r="IK14" s="16">
        <f t="shared" si="47"/>
        <v>0</v>
      </c>
      <c r="IL14" s="90"/>
      <c r="IM14" s="90"/>
      <c r="IN14" s="90"/>
      <c r="IO14" s="116"/>
      <c r="IP14" s="16">
        <f t="shared" si="48"/>
        <v>0</v>
      </c>
    </row>
    <row r="15" spans="1:250" x14ac:dyDescent="0.25">
      <c r="A15" s="90">
        <v>250</v>
      </c>
      <c r="B15" s="90"/>
      <c r="C15" s="116"/>
      <c r="D15" s="116"/>
      <c r="E15" s="16">
        <f t="shared" si="1"/>
        <v>250</v>
      </c>
      <c r="F15" s="90"/>
      <c r="G15" s="90"/>
      <c r="H15" s="90"/>
      <c r="I15" s="116"/>
      <c r="J15" s="16">
        <f t="shared" si="2"/>
        <v>0</v>
      </c>
      <c r="K15" s="90">
        <v>345</v>
      </c>
      <c r="L15" s="90"/>
      <c r="M15" s="90"/>
      <c r="N15" s="116"/>
      <c r="O15" s="16">
        <f t="shared" si="3"/>
        <v>345</v>
      </c>
      <c r="P15" s="90"/>
      <c r="Q15" s="90"/>
      <c r="R15" s="90">
        <v>91</v>
      </c>
      <c r="S15" s="116"/>
      <c r="T15" s="16">
        <f t="shared" si="4"/>
        <v>91</v>
      </c>
      <c r="U15" s="90"/>
      <c r="V15" s="90"/>
      <c r="W15" s="90"/>
      <c r="X15" s="116"/>
      <c r="Y15" s="16">
        <f t="shared" si="5"/>
        <v>0</v>
      </c>
      <c r="Z15" s="90"/>
      <c r="AA15" s="90"/>
      <c r="AB15" s="90"/>
      <c r="AC15" s="116"/>
      <c r="AD15" s="16">
        <f t="shared" si="6"/>
        <v>0</v>
      </c>
      <c r="AE15" s="90"/>
      <c r="AF15" s="90"/>
      <c r="AG15" s="90"/>
      <c r="AH15" s="116">
        <v>50</v>
      </c>
      <c r="AI15" s="16">
        <f t="shared" si="7"/>
        <v>0</v>
      </c>
      <c r="AJ15" s="90"/>
      <c r="AK15" s="90"/>
      <c r="AL15" s="90"/>
      <c r="AM15" s="116"/>
      <c r="AN15" s="16">
        <f t="shared" si="8"/>
        <v>0</v>
      </c>
      <c r="AO15" s="90"/>
      <c r="AP15" s="90"/>
      <c r="AQ15" s="90"/>
      <c r="AR15" s="116"/>
      <c r="AS15" s="16">
        <f t="shared" si="9"/>
        <v>0</v>
      </c>
      <c r="AT15" s="90">
        <v>143</v>
      </c>
      <c r="AU15" s="90"/>
      <c r="AV15" s="90"/>
      <c r="AW15" s="116"/>
      <c r="AX15" s="16">
        <f t="shared" si="10"/>
        <v>143</v>
      </c>
      <c r="AY15" s="90"/>
      <c r="AZ15" s="90"/>
      <c r="BA15" s="90"/>
      <c r="BB15" s="116"/>
      <c r="BC15" s="16">
        <f t="shared" si="49"/>
        <v>0</v>
      </c>
      <c r="BD15" s="90"/>
      <c r="BE15" s="90">
        <v>50</v>
      </c>
      <c r="BF15" s="90"/>
      <c r="BG15" s="116"/>
      <c r="BH15" s="16">
        <f t="shared" si="11"/>
        <v>0</v>
      </c>
      <c r="BI15" s="90"/>
      <c r="BJ15" s="90"/>
      <c r="BK15" s="90"/>
      <c r="BL15" s="116"/>
      <c r="BM15" s="16">
        <f t="shared" si="12"/>
        <v>0</v>
      </c>
      <c r="BN15" s="90"/>
      <c r="BO15" s="90">
        <v>20</v>
      </c>
      <c r="BP15" s="90"/>
      <c r="BQ15" s="116"/>
      <c r="BR15" s="16">
        <f t="shared" si="13"/>
        <v>0</v>
      </c>
      <c r="BS15" s="90"/>
      <c r="BT15" s="90"/>
      <c r="BU15" s="90"/>
      <c r="BV15" s="116"/>
      <c r="BW15" s="16">
        <f t="shared" si="14"/>
        <v>0</v>
      </c>
      <c r="BX15" s="90"/>
      <c r="BY15" s="90">
        <v>20</v>
      </c>
      <c r="BZ15" s="90"/>
      <c r="CA15" s="116"/>
      <c r="CB15" s="16">
        <f t="shared" si="15"/>
        <v>0</v>
      </c>
      <c r="CC15" s="90"/>
      <c r="CD15" s="90">
        <v>50</v>
      </c>
      <c r="CE15" s="90"/>
      <c r="CF15" s="116"/>
      <c r="CG15" s="16">
        <f t="shared" si="16"/>
        <v>0</v>
      </c>
      <c r="CH15" s="90"/>
      <c r="CI15" s="90"/>
      <c r="CJ15" s="90"/>
      <c r="CK15" s="116"/>
      <c r="CL15" s="16">
        <f t="shared" si="17"/>
        <v>0</v>
      </c>
      <c r="CM15" s="90"/>
      <c r="CN15" s="90">
        <v>20</v>
      </c>
      <c r="CO15" s="90"/>
      <c r="CP15" s="116"/>
      <c r="CQ15" s="16">
        <f t="shared" si="18"/>
        <v>0</v>
      </c>
      <c r="CR15" s="90"/>
      <c r="CS15" s="90">
        <v>50</v>
      </c>
      <c r="CT15" s="90"/>
      <c r="CU15" s="116"/>
      <c r="CV15" s="16">
        <f t="shared" si="19"/>
        <v>0</v>
      </c>
      <c r="CW15" s="90"/>
      <c r="CX15" s="90"/>
      <c r="CY15" s="90"/>
      <c r="CZ15" s="116"/>
      <c r="DA15" s="16">
        <f t="shared" si="20"/>
        <v>0</v>
      </c>
      <c r="DB15" s="90">
        <v>70</v>
      </c>
      <c r="DC15" s="90"/>
      <c r="DD15" s="90"/>
      <c r="DE15" s="116"/>
      <c r="DF15" s="16">
        <f t="shared" si="21"/>
        <v>70</v>
      </c>
      <c r="DG15" s="90"/>
      <c r="DH15" s="90"/>
      <c r="DI15" s="90"/>
      <c r="DJ15" s="116"/>
      <c r="DK15" s="16">
        <f t="shared" si="22"/>
        <v>0</v>
      </c>
      <c r="DL15" s="90"/>
      <c r="DM15" s="90"/>
      <c r="DN15" s="90"/>
      <c r="DO15" s="116"/>
      <c r="DP15" s="16">
        <f t="shared" si="23"/>
        <v>0</v>
      </c>
      <c r="DQ15" s="90"/>
      <c r="DR15" s="90"/>
      <c r="DS15" s="90"/>
      <c r="DT15" s="90">
        <v>50</v>
      </c>
      <c r="DU15" s="16">
        <f t="shared" si="24"/>
        <v>0</v>
      </c>
      <c r="DV15" s="90"/>
      <c r="DW15" s="90"/>
      <c r="DX15" s="90">
        <v>296</v>
      </c>
      <c r="DY15" s="116"/>
      <c r="DZ15" s="16">
        <f t="shared" si="25"/>
        <v>296</v>
      </c>
      <c r="EA15" s="90"/>
      <c r="EB15" s="90"/>
      <c r="EC15" s="90">
        <v>301</v>
      </c>
      <c r="ED15" s="116"/>
      <c r="EE15" s="16">
        <f t="shared" si="26"/>
        <v>301</v>
      </c>
      <c r="EF15" s="90">
        <v>648</v>
      </c>
      <c r="EG15" s="90"/>
      <c r="EH15" s="90"/>
      <c r="EI15" s="116"/>
      <c r="EJ15" s="16">
        <f t="shared" si="27"/>
        <v>648</v>
      </c>
      <c r="EK15" s="90"/>
      <c r="EL15" s="90"/>
      <c r="EM15" s="90"/>
      <c r="EN15" s="116"/>
      <c r="EO15" s="16">
        <f t="shared" si="28"/>
        <v>0</v>
      </c>
      <c r="EP15" s="90"/>
      <c r="EQ15" s="90"/>
      <c r="ER15" s="90"/>
      <c r="ES15" s="116"/>
      <c r="ET15" s="16">
        <f t="shared" si="29"/>
        <v>0</v>
      </c>
      <c r="EU15" s="90"/>
      <c r="EV15" s="90">
        <v>23</v>
      </c>
      <c r="EW15" s="90"/>
      <c r="EX15" s="116"/>
      <c r="EY15" s="16">
        <f t="shared" si="30"/>
        <v>0</v>
      </c>
      <c r="EZ15" s="90"/>
      <c r="FA15" s="90"/>
      <c r="FB15" s="90"/>
      <c r="FC15" s="116"/>
      <c r="FD15" s="16">
        <f>IF(EZ15="",FB15,EZ15)</f>
        <v>0</v>
      </c>
      <c r="FE15" s="90"/>
      <c r="FF15" s="90"/>
      <c r="FG15" s="90"/>
      <c r="FH15" s="116"/>
      <c r="FI15" s="16">
        <f t="shared" si="0"/>
        <v>0</v>
      </c>
      <c r="FJ15" s="90"/>
      <c r="FK15" s="90"/>
      <c r="FL15" s="90"/>
      <c r="FM15" s="116"/>
      <c r="FN15" s="16">
        <f t="shared" si="32"/>
        <v>0</v>
      </c>
      <c r="FO15" s="90"/>
      <c r="FP15" s="90"/>
      <c r="FQ15" s="90"/>
      <c r="FR15" s="116"/>
      <c r="FS15" s="16">
        <f t="shared" si="33"/>
        <v>0</v>
      </c>
      <c r="FT15" s="90"/>
      <c r="FU15" s="90"/>
      <c r="FV15" s="90"/>
      <c r="FW15" s="116"/>
      <c r="FX15" s="16">
        <f t="shared" si="34"/>
        <v>0</v>
      </c>
      <c r="FY15" s="90"/>
      <c r="FZ15" s="90"/>
      <c r="GA15" s="90"/>
      <c r="GB15" s="116"/>
      <c r="GC15" s="16">
        <f t="shared" si="35"/>
        <v>0</v>
      </c>
      <c r="GD15" s="90"/>
      <c r="GE15" s="90"/>
      <c r="GF15" s="90"/>
      <c r="GG15" s="116"/>
      <c r="GH15" s="16">
        <f t="shared" si="36"/>
        <v>0</v>
      </c>
      <c r="GI15" s="90"/>
      <c r="GJ15" s="90"/>
      <c r="GK15" s="90"/>
      <c r="GL15" s="116"/>
      <c r="GM15" s="16">
        <f t="shared" si="37"/>
        <v>0</v>
      </c>
      <c r="GN15" s="90"/>
      <c r="GO15" s="90"/>
      <c r="GP15" s="90"/>
      <c r="GQ15" s="116"/>
      <c r="GR15" s="16">
        <f t="shared" si="38"/>
        <v>0</v>
      </c>
      <c r="GS15" s="90"/>
      <c r="GT15" s="90"/>
      <c r="GU15" s="90"/>
      <c r="GV15" s="116"/>
      <c r="GW15" s="16">
        <f t="shared" si="39"/>
        <v>0</v>
      </c>
      <c r="GX15" s="90"/>
      <c r="GY15" s="90"/>
      <c r="GZ15" s="90"/>
      <c r="HA15" s="116"/>
      <c r="HB15" s="16">
        <f t="shared" si="40"/>
        <v>0</v>
      </c>
      <c r="HC15" s="90"/>
      <c r="HD15" s="90"/>
      <c r="HE15" s="90"/>
      <c r="HF15" s="116"/>
      <c r="HG15" s="16">
        <f t="shared" si="41"/>
        <v>0</v>
      </c>
      <c r="HH15" s="90"/>
      <c r="HI15" s="90"/>
      <c r="HJ15" s="90"/>
      <c r="HK15" s="116"/>
      <c r="HL15" s="16">
        <f t="shared" si="42"/>
        <v>0</v>
      </c>
      <c r="HM15" s="90"/>
      <c r="HN15" s="90"/>
      <c r="HO15" s="90"/>
      <c r="HP15" s="116"/>
      <c r="HQ15" s="16">
        <f t="shared" si="43"/>
        <v>0</v>
      </c>
      <c r="HR15" s="90"/>
      <c r="HS15" s="90"/>
      <c r="HT15" s="90"/>
      <c r="HU15" s="116"/>
      <c r="HV15" s="16">
        <f t="shared" si="44"/>
        <v>0</v>
      </c>
      <c r="HW15" s="90"/>
      <c r="HX15" s="90"/>
      <c r="HY15" s="90"/>
      <c r="HZ15" s="116"/>
      <c r="IA15" s="16">
        <f t="shared" si="45"/>
        <v>0</v>
      </c>
      <c r="IB15" s="90"/>
      <c r="IC15" s="90"/>
      <c r="ID15" s="90"/>
      <c r="IE15" s="116"/>
      <c r="IF15" s="16">
        <f t="shared" si="46"/>
        <v>0</v>
      </c>
      <c r="IG15" s="90"/>
      <c r="IH15" s="90"/>
      <c r="II15" s="90"/>
      <c r="IJ15" s="116"/>
      <c r="IK15" s="16">
        <f t="shared" si="47"/>
        <v>0</v>
      </c>
      <c r="IL15" s="90"/>
      <c r="IM15" s="90"/>
      <c r="IN15" s="90"/>
      <c r="IO15" s="116"/>
      <c r="IP15" s="16">
        <f t="shared" si="48"/>
        <v>0</v>
      </c>
    </row>
    <row r="16" spans="1:250" x14ac:dyDescent="0.25">
      <c r="A16" s="90"/>
      <c r="B16" s="90">
        <v>50</v>
      </c>
      <c r="C16" s="116"/>
      <c r="D16" s="116"/>
      <c r="E16" s="16">
        <f t="shared" si="1"/>
        <v>0</v>
      </c>
      <c r="F16" s="90"/>
      <c r="G16" s="90"/>
      <c r="H16" s="90"/>
      <c r="I16" s="116"/>
      <c r="J16" s="16">
        <f t="shared" si="2"/>
        <v>0</v>
      </c>
      <c r="K16" s="90"/>
      <c r="L16" s="90">
        <v>20</v>
      </c>
      <c r="M16" s="90"/>
      <c r="N16" s="116"/>
      <c r="O16" s="16">
        <f t="shared" si="3"/>
        <v>0</v>
      </c>
      <c r="P16" s="90"/>
      <c r="Q16" s="90"/>
      <c r="R16" s="90"/>
      <c r="S16" s="116">
        <v>50</v>
      </c>
      <c r="T16" s="16">
        <f t="shared" si="4"/>
        <v>0</v>
      </c>
      <c r="U16" s="90"/>
      <c r="V16" s="90"/>
      <c r="W16" s="90"/>
      <c r="X16" s="116"/>
      <c r="Y16" s="16">
        <f t="shared" si="5"/>
        <v>0</v>
      </c>
      <c r="Z16" s="90"/>
      <c r="AA16" s="90"/>
      <c r="AB16" s="90"/>
      <c r="AC16" s="116"/>
      <c r="AD16" s="16">
        <f t="shared" si="6"/>
        <v>0</v>
      </c>
      <c r="AE16" s="90"/>
      <c r="AF16" s="90"/>
      <c r="AG16" s="90">
        <v>220</v>
      </c>
      <c r="AH16" s="116"/>
      <c r="AI16" s="16">
        <f t="shared" si="7"/>
        <v>220</v>
      </c>
      <c r="AJ16" s="90"/>
      <c r="AK16" s="90"/>
      <c r="AL16" s="90"/>
      <c r="AM16" s="116"/>
      <c r="AN16" s="16">
        <f t="shared" si="8"/>
        <v>0</v>
      </c>
      <c r="AO16" s="90"/>
      <c r="AP16" s="90"/>
      <c r="AQ16" s="90"/>
      <c r="AR16" s="116"/>
      <c r="AS16" s="16">
        <f t="shared" si="9"/>
        <v>0</v>
      </c>
      <c r="AT16" s="90">
        <v>165</v>
      </c>
      <c r="AU16" s="90"/>
      <c r="AV16" s="90"/>
      <c r="AW16" s="116"/>
      <c r="AX16" s="16">
        <f t="shared" si="10"/>
        <v>165</v>
      </c>
      <c r="AY16" s="90"/>
      <c r="AZ16" s="90"/>
      <c r="BA16" s="90"/>
      <c r="BB16" s="116"/>
      <c r="BC16" s="16">
        <f t="shared" si="49"/>
        <v>0</v>
      </c>
      <c r="BD16" s="90"/>
      <c r="BE16" s="90"/>
      <c r="BF16" s="90"/>
      <c r="BG16" s="116"/>
      <c r="BH16" s="16">
        <f t="shared" si="11"/>
        <v>0</v>
      </c>
      <c r="BI16" s="90"/>
      <c r="BJ16" s="90"/>
      <c r="BK16" s="90"/>
      <c r="BL16" s="116"/>
      <c r="BM16" s="16">
        <f t="shared" si="12"/>
        <v>0</v>
      </c>
      <c r="BN16" s="90">
        <v>117</v>
      </c>
      <c r="BO16" s="90"/>
      <c r="BP16" s="90"/>
      <c r="BQ16" s="116"/>
      <c r="BR16" s="16">
        <f t="shared" si="13"/>
        <v>117</v>
      </c>
      <c r="BS16" s="90"/>
      <c r="BT16" s="90"/>
      <c r="BU16" s="90"/>
      <c r="BV16" s="116"/>
      <c r="BW16" s="16">
        <f t="shared" si="14"/>
        <v>0</v>
      </c>
      <c r="BX16" s="90">
        <v>396</v>
      </c>
      <c r="BY16" s="90"/>
      <c r="BZ16" s="90"/>
      <c r="CA16" s="116"/>
      <c r="CB16" s="16">
        <f t="shared" si="15"/>
        <v>396</v>
      </c>
      <c r="CC16" s="90"/>
      <c r="CD16" s="90"/>
      <c r="CE16" s="90"/>
      <c r="CF16" s="116"/>
      <c r="CG16" s="16">
        <f t="shared" si="16"/>
        <v>0</v>
      </c>
      <c r="CH16" s="90"/>
      <c r="CI16" s="90"/>
      <c r="CJ16" s="90"/>
      <c r="CK16" s="116"/>
      <c r="CL16" s="16">
        <f t="shared" si="17"/>
        <v>0</v>
      </c>
      <c r="CM16" s="90"/>
      <c r="CN16" s="90"/>
      <c r="CO16" s="90"/>
      <c r="CP16" s="116"/>
      <c r="CQ16" s="16">
        <f t="shared" si="18"/>
        <v>0</v>
      </c>
      <c r="CR16" s="90"/>
      <c r="CS16" s="90"/>
      <c r="CT16" s="90"/>
      <c r="CU16" s="116"/>
      <c r="CV16" s="16">
        <f t="shared" si="19"/>
        <v>0</v>
      </c>
      <c r="CW16" s="90"/>
      <c r="CX16" s="90"/>
      <c r="CY16" s="90"/>
      <c r="CZ16" s="116"/>
      <c r="DA16" s="16">
        <f t="shared" si="20"/>
        <v>0</v>
      </c>
      <c r="DB16" s="90"/>
      <c r="DC16" s="90"/>
      <c r="DD16" s="90"/>
      <c r="DE16" s="116"/>
      <c r="DF16" s="16">
        <f t="shared" si="21"/>
        <v>0</v>
      </c>
      <c r="DG16" s="90"/>
      <c r="DH16" s="90"/>
      <c r="DI16" s="90"/>
      <c r="DJ16" s="116"/>
      <c r="DK16" s="16">
        <f t="shared" si="22"/>
        <v>0</v>
      </c>
      <c r="DL16" s="90"/>
      <c r="DM16" s="90"/>
      <c r="DN16" s="90"/>
      <c r="DO16" s="116"/>
      <c r="DP16" s="16">
        <f t="shared" si="23"/>
        <v>0</v>
      </c>
      <c r="DQ16" s="90"/>
      <c r="DR16" s="90"/>
      <c r="DS16" s="90">
        <v>301</v>
      </c>
      <c r="DT16" s="90"/>
      <c r="DU16" s="16">
        <f t="shared" si="24"/>
        <v>301</v>
      </c>
      <c r="DV16" s="90"/>
      <c r="DW16" s="90"/>
      <c r="DX16" s="90">
        <v>313</v>
      </c>
      <c r="DY16" s="116"/>
      <c r="DZ16" s="16">
        <f t="shared" si="25"/>
        <v>313</v>
      </c>
      <c r="EA16" s="90"/>
      <c r="EB16" s="90"/>
      <c r="EC16" s="90">
        <v>251</v>
      </c>
      <c r="ED16" s="116"/>
      <c r="EE16" s="16">
        <f t="shared" si="26"/>
        <v>251</v>
      </c>
      <c r="EF16" s="90"/>
      <c r="EG16" s="90">
        <v>20</v>
      </c>
      <c r="EH16" s="90"/>
      <c r="EI16" s="116"/>
      <c r="EJ16" s="16">
        <f t="shared" si="27"/>
        <v>0</v>
      </c>
      <c r="EK16" s="90"/>
      <c r="EL16" s="90"/>
      <c r="EM16" s="90"/>
      <c r="EN16" s="116"/>
      <c r="EO16" s="16">
        <f t="shared" si="28"/>
        <v>0</v>
      </c>
      <c r="EP16" s="90"/>
      <c r="EQ16" s="90"/>
      <c r="ER16" s="90"/>
      <c r="ES16" s="116"/>
      <c r="ET16" s="16">
        <f t="shared" si="29"/>
        <v>0</v>
      </c>
      <c r="EU16" s="90"/>
      <c r="EV16" s="90">
        <v>50</v>
      </c>
      <c r="EW16" s="90"/>
      <c r="EX16" s="116"/>
      <c r="EY16" s="16">
        <f t="shared" si="30"/>
        <v>0</v>
      </c>
      <c r="EZ16" s="90"/>
      <c r="FA16" s="90"/>
      <c r="FB16" s="90"/>
      <c r="FC16" s="116"/>
      <c r="FD16" s="16">
        <f t="shared" si="31"/>
        <v>0</v>
      </c>
      <c r="FE16" s="90"/>
      <c r="FF16" s="90"/>
      <c r="FG16" s="90"/>
      <c r="FH16" s="116"/>
      <c r="FI16" s="16">
        <f t="shared" si="0"/>
        <v>0</v>
      </c>
      <c r="FJ16" s="90"/>
      <c r="FK16" s="90"/>
      <c r="FL16" s="90"/>
      <c r="FM16" s="116"/>
      <c r="FN16" s="16">
        <f t="shared" si="32"/>
        <v>0</v>
      </c>
      <c r="FO16" s="90"/>
      <c r="FP16" s="90"/>
      <c r="FQ16" s="90"/>
      <c r="FR16" s="116"/>
      <c r="FS16" s="16">
        <f t="shared" si="33"/>
        <v>0</v>
      </c>
      <c r="FT16" s="90"/>
      <c r="FU16" s="90"/>
      <c r="FV16" s="90"/>
      <c r="FW16" s="116"/>
      <c r="FX16" s="16">
        <f t="shared" si="34"/>
        <v>0</v>
      </c>
      <c r="FY16" s="90"/>
      <c r="FZ16" s="90"/>
      <c r="GA16" s="90"/>
      <c r="GB16" s="116"/>
      <c r="GC16" s="16">
        <f t="shared" si="35"/>
        <v>0</v>
      </c>
      <c r="GD16" s="90"/>
      <c r="GE16" s="90"/>
      <c r="GF16" s="90"/>
      <c r="GG16" s="116"/>
      <c r="GH16" s="16">
        <f t="shared" si="36"/>
        <v>0</v>
      </c>
      <c r="GI16" s="90"/>
      <c r="GJ16" s="90"/>
      <c r="GK16" s="90"/>
      <c r="GL16" s="116"/>
      <c r="GM16" s="16">
        <f t="shared" si="37"/>
        <v>0</v>
      </c>
      <c r="GN16" s="90"/>
      <c r="GO16" s="90"/>
      <c r="GP16" s="90"/>
      <c r="GQ16" s="116"/>
      <c r="GR16" s="16">
        <f t="shared" si="38"/>
        <v>0</v>
      </c>
      <c r="GS16" s="90"/>
      <c r="GT16" s="90"/>
      <c r="GU16" s="90"/>
      <c r="GV16" s="116"/>
      <c r="GW16" s="16">
        <f t="shared" si="39"/>
        <v>0</v>
      </c>
      <c r="GX16" s="90"/>
      <c r="GY16" s="90"/>
      <c r="GZ16" s="90"/>
      <c r="HA16" s="116"/>
      <c r="HB16" s="16">
        <f t="shared" si="40"/>
        <v>0</v>
      </c>
      <c r="HC16" s="90"/>
      <c r="HD16" s="90"/>
      <c r="HE16" s="90"/>
      <c r="HF16" s="116"/>
      <c r="HG16" s="16">
        <f t="shared" si="41"/>
        <v>0</v>
      </c>
      <c r="HH16" s="90"/>
      <c r="HI16" s="90"/>
      <c r="HJ16" s="90"/>
      <c r="HK16" s="116"/>
      <c r="HL16" s="16">
        <f t="shared" si="42"/>
        <v>0</v>
      </c>
      <c r="HM16" s="90"/>
      <c r="HN16" s="90"/>
      <c r="HO16" s="90"/>
      <c r="HP16" s="116"/>
      <c r="HQ16" s="16">
        <f t="shared" si="43"/>
        <v>0</v>
      </c>
      <c r="HR16" s="90"/>
      <c r="HS16" s="90"/>
      <c r="HT16" s="90"/>
      <c r="HU16" s="116"/>
      <c r="HV16" s="16">
        <f t="shared" si="44"/>
        <v>0</v>
      </c>
      <c r="HW16" s="90"/>
      <c r="HX16" s="90"/>
      <c r="HY16" s="90"/>
      <c r="HZ16" s="116"/>
      <c r="IA16" s="16">
        <f t="shared" si="45"/>
        <v>0</v>
      </c>
      <c r="IB16" s="90"/>
      <c r="IC16" s="90"/>
      <c r="ID16" s="90"/>
      <c r="IE16" s="116"/>
      <c r="IF16" s="16">
        <f t="shared" si="46"/>
        <v>0</v>
      </c>
      <c r="IG16" s="90"/>
      <c r="IH16" s="90"/>
      <c r="II16" s="90"/>
      <c r="IJ16" s="116"/>
      <c r="IK16" s="16">
        <f t="shared" si="47"/>
        <v>0</v>
      </c>
      <c r="IL16" s="90"/>
      <c r="IM16" s="90"/>
      <c r="IN16" s="90"/>
      <c r="IO16" s="116"/>
      <c r="IP16" s="16">
        <f t="shared" si="48"/>
        <v>0</v>
      </c>
    </row>
    <row r="17" spans="1:250" x14ac:dyDescent="0.25">
      <c r="A17" s="90"/>
      <c r="B17" s="90"/>
      <c r="C17" s="116"/>
      <c r="D17" s="116"/>
      <c r="E17" s="16">
        <f t="shared" si="1"/>
        <v>0</v>
      </c>
      <c r="F17" s="90"/>
      <c r="G17" s="90"/>
      <c r="H17" s="90"/>
      <c r="I17" s="116"/>
      <c r="J17" s="16">
        <f t="shared" si="2"/>
        <v>0</v>
      </c>
      <c r="K17" s="90"/>
      <c r="L17" s="90"/>
      <c r="M17" s="90"/>
      <c r="N17" s="116"/>
      <c r="O17" s="16">
        <f t="shared" si="3"/>
        <v>0</v>
      </c>
      <c r="P17" s="90"/>
      <c r="Q17" s="90"/>
      <c r="R17" s="90">
        <v>258</v>
      </c>
      <c r="S17" s="116"/>
      <c r="T17" s="16">
        <f t="shared" si="4"/>
        <v>258</v>
      </c>
      <c r="U17" s="90"/>
      <c r="V17" s="90"/>
      <c r="W17" s="90"/>
      <c r="X17" s="116"/>
      <c r="Y17" s="16">
        <f t="shared" si="5"/>
        <v>0</v>
      </c>
      <c r="Z17" s="90"/>
      <c r="AA17" s="90"/>
      <c r="AB17" s="90"/>
      <c r="AC17" s="116"/>
      <c r="AD17" s="16">
        <f t="shared" si="6"/>
        <v>0</v>
      </c>
      <c r="AE17" s="90"/>
      <c r="AF17" s="90"/>
      <c r="AG17" s="90">
        <v>81</v>
      </c>
      <c r="AH17" s="116"/>
      <c r="AI17" s="16">
        <f t="shared" si="7"/>
        <v>81</v>
      </c>
      <c r="AJ17" s="90"/>
      <c r="AK17" s="90"/>
      <c r="AL17" s="90"/>
      <c r="AM17" s="116"/>
      <c r="AN17" s="16">
        <f t="shared" si="8"/>
        <v>0</v>
      </c>
      <c r="AO17" s="90"/>
      <c r="AP17" s="90"/>
      <c r="AQ17" s="90"/>
      <c r="AR17" s="116"/>
      <c r="AS17" s="16">
        <f t="shared" si="9"/>
        <v>0</v>
      </c>
      <c r="AT17" s="90">
        <v>173</v>
      </c>
      <c r="AU17" s="90"/>
      <c r="AV17" s="90"/>
      <c r="AW17" s="116"/>
      <c r="AX17" s="16">
        <f t="shared" si="10"/>
        <v>173</v>
      </c>
      <c r="AY17" s="90"/>
      <c r="AZ17" s="90"/>
      <c r="BA17" s="90"/>
      <c r="BB17" s="116"/>
      <c r="BC17" s="16">
        <f t="shared" si="49"/>
        <v>0</v>
      </c>
      <c r="BD17" s="90"/>
      <c r="BE17" s="90"/>
      <c r="BF17" s="90"/>
      <c r="BG17" s="116"/>
      <c r="BH17" s="16">
        <f t="shared" si="11"/>
        <v>0</v>
      </c>
      <c r="BI17" s="90"/>
      <c r="BJ17" s="90"/>
      <c r="BK17" s="90"/>
      <c r="BL17" s="116"/>
      <c r="BM17" s="16">
        <f t="shared" si="12"/>
        <v>0</v>
      </c>
      <c r="BN17" s="90">
        <v>145</v>
      </c>
      <c r="BO17" s="90"/>
      <c r="BP17" s="90"/>
      <c r="BQ17" s="116"/>
      <c r="BR17" s="16">
        <f t="shared" si="13"/>
        <v>145</v>
      </c>
      <c r="BS17" s="90"/>
      <c r="BT17" s="90"/>
      <c r="BU17" s="90"/>
      <c r="BV17" s="116"/>
      <c r="BW17" s="16">
        <f t="shared" si="14"/>
        <v>0</v>
      </c>
      <c r="BX17" s="90"/>
      <c r="BY17" s="90">
        <v>50</v>
      </c>
      <c r="BZ17" s="90"/>
      <c r="CA17" s="116"/>
      <c r="CB17" s="16">
        <f t="shared" si="15"/>
        <v>0</v>
      </c>
      <c r="CC17" s="90"/>
      <c r="CD17" s="90"/>
      <c r="CE17" s="90"/>
      <c r="CF17" s="116"/>
      <c r="CG17" s="16">
        <f t="shared" si="16"/>
        <v>0</v>
      </c>
      <c r="CH17" s="90"/>
      <c r="CI17" s="90"/>
      <c r="CJ17" s="90"/>
      <c r="CK17" s="116"/>
      <c r="CL17" s="16">
        <f t="shared" si="17"/>
        <v>0</v>
      </c>
      <c r="CM17" s="90"/>
      <c r="CN17" s="90"/>
      <c r="CO17" s="90"/>
      <c r="CP17" s="116"/>
      <c r="CQ17" s="16">
        <f t="shared" si="18"/>
        <v>0</v>
      </c>
      <c r="CR17" s="90"/>
      <c r="CS17" s="90"/>
      <c r="CT17" s="90"/>
      <c r="CU17" s="116"/>
      <c r="CV17" s="16">
        <f t="shared" si="19"/>
        <v>0</v>
      </c>
      <c r="CW17" s="90"/>
      <c r="CX17" s="90"/>
      <c r="CY17" s="90"/>
      <c r="CZ17" s="116"/>
      <c r="DA17" s="16">
        <f t="shared" si="20"/>
        <v>0</v>
      </c>
      <c r="DB17" s="90"/>
      <c r="DC17" s="90"/>
      <c r="DD17" s="90"/>
      <c r="DE17" s="116"/>
      <c r="DF17" s="16">
        <f t="shared" si="21"/>
        <v>0</v>
      </c>
      <c r="DG17" s="90"/>
      <c r="DH17" s="90"/>
      <c r="DI17" s="90"/>
      <c r="DJ17" s="116"/>
      <c r="DK17" s="16">
        <f t="shared" si="22"/>
        <v>0</v>
      </c>
      <c r="DL17" s="90"/>
      <c r="DM17" s="90"/>
      <c r="DN17" s="90"/>
      <c r="DO17" s="116"/>
      <c r="DP17" s="16">
        <f t="shared" si="23"/>
        <v>0</v>
      </c>
      <c r="DQ17" s="90"/>
      <c r="DR17" s="90"/>
      <c r="DS17" s="90">
        <v>276</v>
      </c>
      <c r="DT17" s="90"/>
      <c r="DU17" s="16">
        <f t="shared" si="24"/>
        <v>276</v>
      </c>
      <c r="DV17" s="90"/>
      <c r="DW17" s="90"/>
      <c r="DX17" s="90"/>
      <c r="DY17" s="116">
        <v>50</v>
      </c>
      <c r="DZ17" s="16">
        <f t="shared" si="25"/>
        <v>0</v>
      </c>
      <c r="EA17" s="90"/>
      <c r="EB17" s="90"/>
      <c r="EC17" s="90"/>
      <c r="ED17" s="116"/>
      <c r="EE17" s="16">
        <f t="shared" si="26"/>
        <v>0</v>
      </c>
      <c r="EF17" s="90">
        <v>519</v>
      </c>
      <c r="EG17" s="90"/>
      <c r="EH17" s="90"/>
      <c r="EI17" s="116"/>
      <c r="EJ17" s="16">
        <f t="shared" si="27"/>
        <v>519</v>
      </c>
      <c r="EK17" s="90"/>
      <c r="EL17" s="90"/>
      <c r="EM17" s="90"/>
      <c r="EN17" s="116"/>
      <c r="EO17" s="16">
        <f t="shared" si="28"/>
        <v>0</v>
      </c>
      <c r="EP17" s="90"/>
      <c r="EQ17" s="90"/>
      <c r="ER17" s="90"/>
      <c r="ES17" s="116"/>
      <c r="ET17" s="16">
        <f t="shared" si="29"/>
        <v>0</v>
      </c>
      <c r="EU17" s="90"/>
      <c r="EV17" s="90"/>
      <c r="EW17" s="90"/>
      <c r="EX17" s="116"/>
      <c r="EY17" s="16">
        <f t="shared" si="30"/>
        <v>0</v>
      </c>
      <c r="EZ17" s="90"/>
      <c r="FA17" s="90"/>
      <c r="FB17" s="90"/>
      <c r="FC17" s="116"/>
      <c r="FD17" s="16">
        <f t="shared" si="31"/>
        <v>0</v>
      </c>
      <c r="FE17" s="90"/>
      <c r="FF17" s="90"/>
      <c r="FG17" s="90"/>
      <c r="FH17" s="116"/>
      <c r="FI17" s="16">
        <f t="shared" si="0"/>
        <v>0</v>
      </c>
      <c r="FJ17" s="90"/>
      <c r="FK17" s="90"/>
      <c r="FL17" s="90"/>
      <c r="FM17" s="116"/>
      <c r="FN17" s="16">
        <f t="shared" si="32"/>
        <v>0</v>
      </c>
      <c r="FO17" s="90"/>
      <c r="FP17" s="90"/>
      <c r="FQ17" s="90"/>
      <c r="FR17" s="116"/>
      <c r="FS17" s="16">
        <f t="shared" si="33"/>
        <v>0</v>
      </c>
      <c r="FT17" s="90"/>
      <c r="FU17" s="90"/>
      <c r="FV17" s="90"/>
      <c r="FW17" s="116"/>
      <c r="FX17" s="16">
        <f t="shared" si="34"/>
        <v>0</v>
      </c>
      <c r="FY17" s="90"/>
      <c r="FZ17" s="90"/>
      <c r="GA17" s="90"/>
      <c r="GB17" s="116"/>
      <c r="GC17" s="16">
        <f t="shared" si="35"/>
        <v>0</v>
      </c>
      <c r="GD17" s="90"/>
      <c r="GE17" s="90"/>
      <c r="GF17" s="90"/>
      <c r="GG17" s="116"/>
      <c r="GH17" s="16">
        <f t="shared" si="36"/>
        <v>0</v>
      </c>
      <c r="GI17" s="90"/>
      <c r="GJ17" s="90"/>
      <c r="GK17" s="90"/>
      <c r="GL17" s="116"/>
      <c r="GM17" s="16">
        <f t="shared" si="37"/>
        <v>0</v>
      </c>
      <c r="GN17" s="90"/>
      <c r="GO17" s="90"/>
      <c r="GP17" s="90"/>
      <c r="GQ17" s="116"/>
      <c r="GR17" s="16">
        <f t="shared" si="38"/>
        <v>0</v>
      </c>
      <c r="GS17" s="90"/>
      <c r="GT17" s="90"/>
      <c r="GU17" s="90"/>
      <c r="GV17" s="116"/>
      <c r="GW17" s="16">
        <f t="shared" si="39"/>
        <v>0</v>
      </c>
      <c r="GX17" s="90"/>
      <c r="GY17" s="90"/>
      <c r="GZ17" s="90"/>
      <c r="HA17" s="116"/>
      <c r="HB17" s="16">
        <f t="shared" si="40"/>
        <v>0</v>
      </c>
      <c r="HC17" s="90"/>
      <c r="HD17" s="90"/>
      <c r="HE17" s="90"/>
      <c r="HF17" s="116"/>
      <c r="HG17" s="16">
        <f t="shared" si="41"/>
        <v>0</v>
      </c>
      <c r="HH17" s="90"/>
      <c r="HI17" s="90"/>
      <c r="HJ17" s="90"/>
      <c r="HK17" s="116"/>
      <c r="HL17" s="16">
        <f t="shared" si="42"/>
        <v>0</v>
      </c>
      <c r="HM17" s="90"/>
      <c r="HN17" s="90"/>
      <c r="HO17" s="90"/>
      <c r="HP17" s="116"/>
      <c r="HQ17" s="16">
        <f t="shared" si="43"/>
        <v>0</v>
      </c>
      <c r="HR17" s="90"/>
      <c r="HS17" s="90"/>
      <c r="HT17" s="90"/>
      <c r="HU17" s="116"/>
      <c r="HV17" s="16">
        <f t="shared" si="44"/>
        <v>0</v>
      </c>
      <c r="HW17" s="90"/>
      <c r="HX17" s="90"/>
      <c r="HY17" s="90"/>
      <c r="HZ17" s="116"/>
      <c r="IA17" s="16">
        <f t="shared" si="45"/>
        <v>0</v>
      </c>
      <c r="IB17" s="90"/>
      <c r="IC17" s="90"/>
      <c r="ID17" s="90"/>
      <c r="IE17" s="116"/>
      <c r="IF17" s="16">
        <f t="shared" si="46"/>
        <v>0</v>
      </c>
      <c r="IG17" s="90"/>
      <c r="IH17" s="90"/>
      <c r="II17" s="90"/>
      <c r="IJ17" s="116"/>
      <c r="IK17" s="16">
        <f t="shared" si="47"/>
        <v>0</v>
      </c>
      <c r="IL17" s="90"/>
      <c r="IM17" s="90"/>
      <c r="IN17" s="90"/>
      <c r="IO17" s="116"/>
      <c r="IP17" s="16">
        <f t="shared" si="48"/>
        <v>0</v>
      </c>
    </row>
    <row r="18" spans="1:250" x14ac:dyDescent="0.25">
      <c r="A18" s="90"/>
      <c r="B18" s="90"/>
      <c r="C18" s="116"/>
      <c r="D18" s="116"/>
      <c r="E18" s="16">
        <f t="shared" si="1"/>
        <v>0</v>
      </c>
      <c r="F18" s="90"/>
      <c r="G18" s="90"/>
      <c r="H18" s="90"/>
      <c r="I18" s="116"/>
      <c r="J18" s="16">
        <f t="shared" si="2"/>
        <v>0</v>
      </c>
      <c r="K18" s="90"/>
      <c r="L18" s="90"/>
      <c r="M18" s="90"/>
      <c r="N18" s="116"/>
      <c r="O18" s="16">
        <f t="shared" si="3"/>
        <v>0</v>
      </c>
      <c r="P18" s="90"/>
      <c r="Q18" s="90"/>
      <c r="R18" s="90">
        <v>272</v>
      </c>
      <c r="S18" s="116"/>
      <c r="T18" s="16">
        <f t="shared" si="4"/>
        <v>272</v>
      </c>
      <c r="U18" s="90"/>
      <c r="V18" s="90"/>
      <c r="W18" s="90"/>
      <c r="X18" s="116"/>
      <c r="Y18" s="16">
        <f t="shared" si="5"/>
        <v>0</v>
      </c>
      <c r="Z18" s="90"/>
      <c r="AA18" s="90"/>
      <c r="AB18" s="90"/>
      <c r="AC18" s="116"/>
      <c r="AD18" s="16">
        <f t="shared" si="6"/>
        <v>0</v>
      </c>
      <c r="AE18" s="90"/>
      <c r="AF18" s="90"/>
      <c r="AG18" s="90">
        <v>239</v>
      </c>
      <c r="AH18" s="116"/>
      <c r="AI18" s="16">
        <f t="shared" si="7"/>
        <v>239</v>
      </c>
      <c r="AJ18" s="90"/>
      <c r="AK18" s="90"/>
      <c r="AL18" s="90"/>
      <c r="AM18" s="116"/>
      <c r="AN18" s="16">
        <f t="shared" si="8"/>
        <v>0</v>
      </c>
      <c r="AO18" s="90"/>
      <c r="AP18" s="90"/>
      <c r="AQ18" s="90"/>
      <c r="AR18" s="116"/>
      <c r="AS18" s="16">
        <f t="shared" si="9"/>
        <v>0</v>
      </c>
      <c r="AT18" s="90">
        <v>141</v>
      </c>
      <c r="AU18" s="90"/>
      <c r="AV18" s="90"/>
      <c r="AW18" s="116"/>
      <c r="AX18" s="16">
        <f t="shared" si="10"/>
        <v>141</v>
      </c>
      <c r="AY18" s="90"/>
      <c r="AZ18" s="90"/>
      <c r="BA18" s="90"/>
      <c r="BB18" s="116"/>
      <c r="BC18" s="16">
        <f t="shared" si="49"/>
        <v>0</v>
      </c>
      <c r="BD18" s="90"/>
      <c r="BE18" s="90"/>
      <c r="BF18" s="90"/>
      <c r="BG18" s="116"/>
      <c r="BH18" s="16">
        <f t="shared" si="11"/>
        <v>0</v>
      </c>
      <c r="BI18" s="90"/>
      <c r="BJ18" s="90"/>
      <c r="BK18" s="90"/>
      <c r="BL18" s="116"/>
      <c r="BM18" s="16">
        <f t="shared" si="12"/>
        <v>0</v>
      </c>
      <c r="BN18" s="90">
        <v>148</v>
      </c>
      <c r="BO18" s="90"/>
      <c r="BP18" s="90"/>
      <c r="BQ18" s="116"/>
      <c r="BR18" s="16">
        <f t="shared" si="13"/>
        <v>148</v>
      </c>
      <c r="BS18" s="90"/>
      <c r="BT18" s="90"/>
      <c r="BU18" s="90"/>
      <c r="BV18" s="116"/>
      <c r="BW18" s="16">
        <f t="shared" si="14"/>
        <v>0</v>
      </c>
      <c r="BX18" s="90"/>
      <c r="BY18" s="90"/>
      <c r="BZ18" s="90"/>
      <c r="CA18" s="116"/>
      <c r="CB18" s="16">
        <f t="shared" si="15"/>
        <v>0</v>
      </c>
      <c r="CC18" s="90"/>
      <c r="CD18" s="90"/>
      <c r="CE18" s="90"/>
      <c r="CF18" s="116"/>
      <c r="CG18" s="16">
        <f t="shared" si="16"/>
        <v>0</v>
      </c>
      <c r="CH18" s="90"/>
      <c r="CI18" s="90"/>
      <c r="CJ18" s="90"/>
      <c r="CK18" s="116"/>
      <c r="CL18" s="16">
        <f t="shared" si="17"/>
        <v>0</v>
      </c>
      <c r="CM18" s="90"/>
      <c r="CN18" s="90"/>
      <c r="CO18" s="90"/>
      <c r="CP18" s="116"/>
      <c r="CQ18" s="16">
        <f t="shared" si="18"/>
        <v>0</v>
      </c>
      <c r="CR18" s="90"/>
      <c r="CS18" s="90"/>
      <c r="CT18" s="90"/>
      <c r="CU18" s="116"/>
      <c r="CV18" s="16">
        <f t="shared" si="19"/>
        <v>0</v>
      </c>
      <c r="CW18" s="90"/>
      <c r="CX18" s="90"/>
      <c r="CY18" s="90"/>
      <c r="CZ18" s="116"/>
      <c r="DA18" s="16">
        <f t="shared" si="20"/>
        <v>0</v>
      </c>
      <c r="DB18" s="90"/>
      <c r="DC18" s="90"/>
      <c r="DD18" s="90"/>
      <c r="DE18" s="116"/>
      <c r="DF18" s="16">
        <f t="shared" si="21"/>
        <v>0</v>
      </c>
      <c r="DG18" s="90"/>
      <c r="DH18" s="90"/>
      <c r="DI18" s="90"/>
      <c r="DJ18" s="116"/>
      <c r="DK18" s="16">
        <f t="shared" si="22"/>
        <v>0</v>
      </c>
      <c r="DL18" s="90"/>
      <c r="DM18" s="90"/>
      <c r="DN18" s="90"/>
      <c r="DO18" s="116"/>
      <c r="DP18" s="16">
        <f t="shared" si="23"/>
        <v>0</v>
      </c>
      <c r="DQ18" s="90"/>
      <c r="DR18" s="90"/>
      <c r="DS18" s="90">
        <v>281</v>
      </c>
      <c r="DT18" s="90"/>
      <c r="DU18" s="16">
        <f t="shared" si="24"/>
        <v>281</v>
      </c>
      <c r="DV18" s="90"/>
      <c r="DW18" s="90"/>
      <c r="DX18" s="90">
        <v>392</v>
      </c>
      <c r="DY18" s="116"/>
      <c r="DZ18" s="16">
        <f t="shared" si="25"/>
        <v>392</v>
      </c>
      <c r="EA18" s="90"/>
      <c r="EB18" s="90"/>
      <c r="EC18" s="90"/>
      <c r="ED18" s="116"/>
      <c r="EE18" s="16">
        <f t="shared" si="26"/>
        <v>0</v>
      </c>
      <c r="EF18" s="90"/>
      <c r="EG18" s="90"/>
      <c r="EH18" s="90"/>
      <c r="EI18" s="116"/>
      <c r="EJ18" s="16">
        <f t="shared" si="27"/>
        <v>0</v>
      </c>
      <c r="EK18" s="90"/>
      <c r="EL18" s="90"/>
      <c r="EM18" s="90"/>
      <c r="EN18" s="116"/>
      <c r="EO18" s="16">
        <f t="shared" si="28"/>
        <v>0</v>
      </c>
      <c r="EP18" s="90"/>
      <c r="EQ18" s="90"/>
      <c r="ER18" s="90"/>
      <c r="ES18" s="116"/>
      <c r="ET18" s="16">
        <f t="shared" si="29"/>
        <v>0</v>
      </c>
      <c r="EU18" s="90"/>
      <c r="EV18" s="90"/>
      <c r="EW18" s="90"/>
      <c r="EX18" s="116"/>
      <c r="EY18" s="16">
        <f t="shared" si="30"/>
        <v>0</v>
      </c>
      <c r="EZ18" s="90"/>
      <c r="FA18" s="90"/>
      <c r="FB18" s="90"/>
      <c r="FC18" s="116"/>
      <c r="FD18" s="16">
        <f t="shared" si="31"/>
        <v>0</v>
      </c>
      <c r="FE18" s="90"/>
      <c r="FF18" s="90"/>
      <c r="FG18" s="90"/>
      <c r="FH18" s="116"/>
      <c r="FI18" s="16">
        <f t="shared" si="0"/>
        <v>0</v>
      </c>
      <c r="FJ18" s="90"/>
      <c r="FK18" s="90"/>
      <c r="FL18" s="90"/>
      <c r="FM18" s="116"/>
      <c r="FN18" s="16">
        <f t="shared" si="32"/>
        <v>0</v>
      </c>
      <c r="FO18" s="90"/>
      <c r="FP18" s="90"/>
      <c r="FQ18" s="90"/>
      <c r="FR18" s="116"/>
      <c r="FS18" s="16">
        <f t="shared" si="33"/>
        <v>0</v>
      </c>
      <c r="FT18" s="90"/>
      <c r="FU18" s="90"/>
      <c r="FV18" s="90"/>
      <c r="FW18" s="116"/>
      <c r="FX18" s="16">
        <f t="shared" si="34"/>
        <v>0</v>
      </c>
      <c r="FY18" s="90"/>
      <c r="FZ18" s="90"/>
      <c r="GA18" s="90"/>
      <c r="GB18" s="116"/>
      <c r="GC18" s="16">
        <f t="shared" si="35"/>
        <v>0</v>
      </c>
      <c r="GD18" s="90"/>
      <c r="GE18" s="90"/>
      <c r="GF18" s="90"/>
      <c r="GG18" s="116"/>
      <c r="GH18" s="16">
        <f t="shared" si="36"/>
        <v>0</v>
      </c>
      <c r="GI18" s="90"/>
      <c r="GJ18" s="90"/>
      <c r="GK18" s="90"/>
      <c r="GL18" s="116"/>
      <c r="GM18" s="16">
        <f t="shared" si="37"/>
        <v>0</v>
      </c>
      <c r="GN18" s="90"/>
      <c r="GO18" s="90"/>
      <c r="GP18" s="90"/>
      <c r="GQ18" s="116"/>
      <c r="GR18" s="16">
        <f t="shared" si="38"/>
        <v>0</v>
      </c>
      <c r="GS18" s="90"/>
      <c r="GT18" s="90"/>
      <c r="GU18" s="90"/>
      <c r="GV18" s="116"/>
      <c r="GW18" s="16">
        <f t="shared" si="39"/>
        <v>0</v>
      </c>
      <c r="GX18" s="90"/>
      <c r="GY18" s="90"/>
      <c r="GZ18" s="90"/>
      <c r="HA18" s="116"/>
      <c r="HB18" s="16">
        <f t="shared" si="40"/>
        <v>0</v>
      </c>
      <c r="HC18" s="90"/>
      <c r="HD18" s="90"/>
      <c r="HE18" s="90"/>
      <c r="HF18" s="116"/>
      <c r="HG18" s="16">
        <f t="shared" si="41"/>
        <v>0</v>
      </c>
      <c r="HH18" s="90"/>
      <c r="HI18" s="90"/>
      <c r="HJ18" s="90"/>
      <c r="HK18" s="116"/>
      <c r="HL18" s="16">
        <f t="shared" si="42"/>
        <v>0</v>
      </c>
      <c r="HM18" s="90"/>
      <c r="HN18" s="90"/>
      <c r="HO18" s="90"/>
      <c r="HP18" s="116"/>
      <c r="HQ18" s="16">
        <f t="shared" si="43"/>
        <v>0</v>
      </c>
      <c r="HR18" s="90"/>
      <c r="HS18" s="90"/>
      <c r="HT18" s="90"/>
      <c r="HU18" s="116"/>
      <c r="HV18" s="16">
        <f t="shared" si="44"/>
        <v>0</v>
      </c>
      <c r="HW18" s="90"/>
      <c r="HX18" s="90"/>
      <c r="HY18" s="90"/>
      <c r="HZ18" s="116"/>
      <c r="IA18" s="16">
        <f t="shared" si="45"/>
        <v>0</v>
      </c>
      <c r="IB18" s="90"/>
      <c r="IC18" s="90"/>
      <c r="ID18" s="90"/>
      <c r="IE18" s="116"/>
      <c r="IF18" s="16">
        <f t="shared" si="46"/>
        <v>0</v>
      </c>
      <c r="IG18" s="90"/>
      <c r="IH18" s="90"/>
      <c r="II18" s="90"/>
      <c r="IJ18" s="116"/>
      <c r="IK18" s="16">
        <f t="shared" si="47"/>
        <v>0</v>
      </c>
      <c r="IL18" s="90"/>
      <c r="IM18" s="90"/>
      <c r="IN18" s="90"/>
      <c r="IO18" s="116"/>
      <c r="IP18" s="16">
        <f t="shared" si="48"/>
        <v>0</v>
      </c>
    </row>
    <row r="19" spans="1:250" x14ac:dyDescent="0.25">
      <c r="A19" s="90"/>
      <c r="B19" s="90"/>
      <c r="C19" s="90"/>
      <c r="D19" s="116"/>
      <c r="E19" s="16">
        <f t="shared" si="1"/>
        <v>0</v>
      </c>
      <c r="F19" s="90"/>
      <c r="G19" s="90"/>
      <c r="H19" s="90"/>
      <c r="I19" s="116"/>
      <c r="J19" s="16">
        <f t="shared" si="2"/>
        <v>0</v>
      </c>
      <c r="K19" s="90"/>
      <c r="L19" s="90"/>
      <c r="M19" s="90"/>
      <c r="N19" s="116"/>
      <c r="O19" s="16">
        <f t="shared" si="3"/>
        <v>0</v>
      </c>
      <c r="P19" s="90"/>
      <c r="Q19" s="90"/>
      <c r="R19" s="90">
        <v>120</v>
      </c>
      <c r="S19" s="116"/>
      <c r="T19" s="16">
        <f t="shared" si="4"/>
        <v>120</v>
      </c>
      <c r="U19" s="90"/>
      <c r="V19" s="90"/>
      <c r="W19" s="90"/>
      <c r="X19" s="116"/>
      <c r="Y19" s="16">
        <f t="shared" si="5"/>
        <v>0</v>
      </c>
      <c r="Z19" s="90"/>
      <c r="AA19" s="90"/>
      <c r="AB19" s="90"/>
      <c r="AC19" s="116"/>
      <c r="AD19" s="16">
        <f t="shared" si="6"/>
        <v>0</v>
      </c>
      <c r="AE19" s="90"/>
      <c r="AF19" s="90"/>
      <c r="AG19" s="90">
        <v>172</v>
      </c>
      <c r="AH19" s="116"/>
      <c r="AI19" s="16">
        <f t="shared" si="7"/>
        <v>172</v>
      </c>
      <c r="AJ19" s="90"/>
      <c r="AK19" s="90"/>
      <c r="AL19" s="90"/>
      <c r="AM19" s="116"/>
      <c r="AN19" s="16">
        <f t="shared" si="8"/>
        <v>0</v>
      </c>
      <c r="AO19" s="90"/>
      <c r="AP19" s="90"/>
      <c r="AQ19" s="90"/>
      <c r="AR19" s="116"/>
      <c r="AS19" s="16">
        <f t="shared" si="9"/>
        <v>0</v>
      </c>
      <c r="AT19" s="90"/>
      <c r="AU19" s="90">
        <v>20</v>
      </c>
      <c r="AV19" s="90"/>
      <c r="AW19" s="116"/>
      <c r="AX19" s="16">
        <f t="shared" si="10"/>
        <v>0</v>
      </c>
      <c r="AY19" s="90"/>
      <c r="AZ19" s="90"/>
      <c r="BA19" s="90"/>
      <c r="BB19" s="116"/>
      <c r="BC19" s="16">
        <f t="shared" si="49"/>
        <v>0</v>
      </c>
      <c r="BD19" s="90"/>
      <c r="BE19" s="90"/>
      <c r="BF19" s="90"/>
      <c r="BG19" s="116"/>
      <c r="BH19" s="16">
        <f t="shared" si="11"/>
        <v>0</v>
      </c>
      <c r="BI19" s="90"/>
      <c r="BJ19" s="90"/>
      <c r="BK19" s="90"/>
      <c r="BL19" s="116"/>
      <c r="BM19" s="16">
        <f t="shared" si="12"/>
        <v>0</v>
      </c>
      <c r="BN19" s="90">
        <v>63</v>
      </c>
      <c r="BO19" s="90"/>
      <c r="BP19" s="90"/>
      <c r="BQ19" s="116"/>
      <c r="BR19" s="16">
        <f t="shared" si="13"/>
        <v>63</v>
      </c>
      <c r="BS19" s="90"/>
      <c r="BT19" s="90"/>
      <c r="BU19" s="90"/>
      <c r="BV19" s="116"/>
      <c r="BW19" s="16">
        <f t="shared" si="14"/>
        <v>0</v>
      </c>
      <c r="BX19" s="90"/>
      <c r="BY19" s="90"/>
      <c r="BZ19" s="90"/>
      <c r="CA19" s="116"/>
      <c r="CB19" s="16">
        <f t="shared" si="15"/>
        <v>0</v>
      </c>
      <c r="CC19" s="90"/>
      <c r="CD19" s="90"/>
      <c r="CE19" s="90"/>
      <c r="CF19" s="116"/>
      <c r="CG19" s="16">
        <f t="shared" si="16"/>
        <v>0</v>
      </c>
      <c r="CH19" s="90"/>
      <c r="CI19" s="90"/>
      <c r="CJ19" s="90"/>
      <c r="CK19" s="116"/>
      <c r="CL19" s="16">
        <f t="shared" si="17"/>
        <v>0</v>
      </c>
      <c r="CM19" s="90"/>
      <c r="CN19" s="90"/>
      <c r="CO19" s="90"/>
      <c r="CP19" s="116"/>
      <c r="CQ19" s="16">
        <f t="shared" si="18"/>
        <v>0</v>
      </c>
      <c r="CR19" s="90"/>
      <c r="CS19" s="90"/>
      <c r="CT19" s="90"/>
      <c r="CU19" s="116"/>
      <c r="CV19" s="16">
        <f t="shared" si="19"/>
        <v>0</v>
      </c>
      <c r="CW19" s="90"/>
      <c r="CX19" s="90"/>
      <c r="CY19" s="90"/>
      <c r="CZ19" s="116"/>
      <c r="DA19" s="16">
        <f t="shared" si="20"/>
        <v>0</v>
      </c>
      <c r="DB19" s="90"/>
      <c r="DC19" s="90"/>
      <c r="DD19" s="90"/>
      <c r="DE19" s="116"/>
      <c r="DF19" s="16">
        <f t="shared" si="21"/>
        <v>0</v>
      </c>
      <c r="DG19" s="90"/>
      <c r="DH19" s="90"/>
      <c r="DI19" s="90"/>
      <c r="DJ19" s="116"/>
      <c r="DK19" s="16">
        <f t="shared" si="22"/>
        <v>0</v>
      </c>
      <c r="DL19" s="90"/>
      <c r="DM19" s="90"/>
      <c r="DN19" s="90"/>
      <c r="DO19" s="116"/>
      <c r="DP19" s="16">
        <f t="shared" si="23"/>
        <v>0</v>
      </c>
      <c r="DQ19" s="90"/>
      <c r="DR19" s="90"/>
      <c r="DS19" s="90"/>
      <c r="DT19" s="90">
        <v>50</v>
      </c>
      <c r="DU19" s="16">
        <f t="shared" si="24"/>
        <v>0</v>
      </c>
      <c r="DV19" s="90"/>
      <c r="DW19" s="90"/>
      <c r="DX19" s="90">
        <v>314</v>
      </c>
      <c r="DY19" s="116"/>
      <c r="DZ19" s="16">
        <f t="shared" si="25"/>
        <v>314</v>
      </c>
      <c r="EA19" s="90"/>
      <c r="EB19" s="90"/>
      <c r="EC19" s="90"/>
      <c r="ED19" s="116"/>
      <c r="EE19" s="16">
        <f t="shared" si="26"/>
        <v>0</v>
      </c>
      <c r="EF19" s="90"/>
      <c r="EG19" s="90"/>
      <c r="EH19" s="90"/>
      <c r="EI19" s="116"/>
      <c r="EJ19" s="16">
        <f t="shared" si="27"/>
        <v>0</v>
      </c>
      <c r="EK19" s="90"/>
      <c r="EL19" s="90"/>
      <c r="EM19" s="90"/>
      <c r="EN19" s="116"/>
      <c r="EO19" s="16">
        <f t="shared" si="28"/>
        <v>0</v>
      </c>
      <c r="EP19" s="90"/>
      <c r="EQ19" s="90"/>
      <c r="ER19" s="90"/>
      <c r="ES19" s="116"/>
      <c r="ET19" s="16">
        <f t="shared" si="29"/>
        <v>0</v>
      </c>
      <c r="EU19" s="90"/>
      <c r="EV19" s="90"/>
      <c r="EW19" s="90"/>
      <c r="EX19" s="116"/>
      <c r="EY19" s="16">
        <f t="shared" si="30"/>
        <v>0</v>
      </c>
      <c r="EZ19" s="90"/>
      <c r="FA19" s="90"/>
      <c r="FB19" s="90"/>
      <c r="FC19" s="116"/>
      <c r="FD19" s="16">
        <f t="shared" si="31"/>
        <v>0</v>
      </c>
      <c r="FE19" s="90"/>
      <c r="FF19" s="90"/>
      <c r="FG19" s="90"/>
      <c r="FH19" s="116"/>
      <c r="FI19" s="16">
        <f t="shared" si="0"/>
        <v>0</v>
      </c>
      <c r="FJ19" s="90"/>
      <c r="FK19" s="90"/>
      <c r="FL19" s="90"/>
      <c r="FM19" s="116"/>
      <c r="FN19" s="16">
        <f t="shared" si="32"/>
        <v>0</v>
      </c>
      <c r="FO19" s="90"/>
      <c r="FP19" s="90"/>
      <c r="FQ19" s="90"/>
      <c r="FR19" s="116"/>
      <c r="FS19" s="16">
        <f t="shared" si="33"/>
        <v>0</v>
      </c>
      <c r="FT19" s="90"/>
      <c r="FU19" s="90"/>
      <c r="FV19" s="90"/>
      <c r="FW19" s="116"/>
      <c r="FX19" s="16">
        <f t="shared" si="34"/>
        <v>0</v>
      </c>
      <c r="FY19" s="90"/>
      <c r="FZ19" s="90"/>
      <c r="GA19" s="90"/>
      <c r="GB19" s="116"/>
      <c r="GC19" s="16">
        <f t="shared" si="35"/>
        <v>0</v>
      </c>
      <c r="GD19" s="90"/>
      <c r="GE19" s="90"/>
      <c r="GF19" s="90"/>
      <c r="GG19" s="116"/>
      <c r="GH19" s="16">
        <f t="shared" si="36"/>
        <v>0</v>
      </c>
      <c r="GI19" s="90"/>
      <c r="GJ19" s="90"/>
      <c r="GK19" s="90"/>
      <c r="GL19" s="116"/>
      <c r="GM19" s="16">
        <f t="shared" si="37"/>
        <v>0</v>
      </c>
      <c r="GN19" s="90"/>
      <c r="GO19" s="90"/>
      <c r="GP19" s="90"/>
      <c r="GQ19" s="116"/>
      <c r="GR19" s="16">
        <f t="shared" si="38"/>
        <v>0</v>
      </c>
      <c r="GS19" s="90"/>
      <c r="GT19" s="90"/>
      <c r="GU19" s="90"/>
      <c r="GV19" s="116"/>
      <c r="GW19" s="16">
        <f t="shared" si="39"/>
        <v>0</v>
      </c>
      <c r="GX19" s="90"/>
      <c r="GY19" s="90"/>
      <c r="GZ19" s="90"/>
      <c r="HA19" s="116"/>
      <c r="HB19" s="16">
        <f t="shared" si="40"/>
        <v>0</v>
      </c>
      <c r="HC19" s="90"/>
      <c r="HD19" s="90"/>
      <c r="HE19" s="90"/>
      <c r="HF19" s="116"/>
      <c r="HG19" s="16">
        <f t="shared" si="41"/>
        <v>0</v>
      </c>
      <c r="HH19" s="90"/>
      <c r="HI19" s="90"/>
      <c r="HJ19" s="90"/>
      <c r="HK19" s="116"/>
      <c r="HL19" s="16">
        <f t="shared" si="42"/>
        <v>0</v>
      </c>
      <c r="HM19" s="90"/>
      <c r="HN19" s="90"/>
      <c r="HO19" s="90"/>
      <c r="HP19" s="116"/>
      <c r="HQ19" s="16">
        <f t="shared" si="43"/>
        <v>0</v>
      </c>
      <c r="HR19" s="90"/>
      <c r="HS19" s="90"/>
      <c r="HT19" s="90"/>
      <c r="HU19" s="116"/>
      <c r="HV19" s="16">
        <f t="shared" si="44"/>
        <v>0</v>
      </c>
      <c r="HW19" s="90"/>
      <c r="HX19" s="90"/>
      <c r="HY19" s="90"/>
      <c r="HZ19" s="116"/>
      <c r="IA19" s="16">
        <f t="shared" si="45"/>
        <v>0</v>
      </c>
      <c r="IB19" s="90"/>
      <c r="IC19" s="90"/>
      <c r="ID19" s="90"/>
      <c r="IE19" s="116"/>
      <c r="IF19" s="16">
        <f t="shared" si="46"/>
        <v>0</v>
      </c>
      <c r="IG19" s="90"/>
      <c r="IH19" s="90"/>
      <c r="II19" s="90"/>
      <c r="IJ19" s="116"/>
      <c r="IK19" s="16">
        <f t="shared" si="47"/>
        <v>0</v>
      </c>
      <c r="IL19" s="90"/>
      <c r="IM19" s="90"/>
      <c r="IN19" s="90"/>
      <c r="IO19" s="116"/>
      <c r="IP19" s="16">
        <f t="shared" si="48"/>
        <v>0</v>
      </c>
    </row>
    <row r="20" spans="1:250" x14ac:dyDescent="0.25">
      <c r="A20" s="90"/>
      <c r="B20" s="90"/>
      <c r="C20" s="90"/>
      <c r="D20" s="116"/>
      <c r="E20" s="16">
        <f t="shared" si="1"/>
        <v>0</v>
      </c>
      <c r="F20" s="90"/>
      <c r="G20" s="90"/>
      <c r="H20" s="90"/>
      <c r="I20" s="116"/>
      <c r="J20" s="16">
        <f t="shared" si="2"/>
        <v>0</v>
      </c>
      <c r="K20" s="90"/>
      <c r="L20" s="90"/>
      <c r="M20" s="90"/>
      <c r="N20" s="116"/>
      <c r="O20" s="16">
        <f t="shared" si="3"/>
        <v>0</v>
      </c>
      <c r="P20" s="90"/>
      <c r="Q20" s="90"/>
      <c r="R20" s="90">
        <v>102</v>
      </c>
      <c r="S20" s="116"/>
      <c r="T20" s="16">
        <f t="shared" si="4"/>
        <v>102</v>
      </c>
      <c r="U20" s="90"/>
      <c r="V20" s="90"/>
      <c r="W20" s="90"/>
      <c r="X20" s="116"/>
      <c r="Y20" s="16">
        <f t="shared" si="5"/>
        <v>0</v>
      </c>
      <c r="Z20" s="90"/>
      <c r="AA20" s="90"/>
      <c r="AB20" s="90"/>
      <c r="AC20" s="116"/>
      <c r="AD20" s="16">
        <f t="shared" si="6"/>
        <v>0</v>
      </c>
      <c r="AE20" s="90"/>
      <c r="AF20" s="90"/>
      <c r="AG20" s="90"/>
      <c r="AH20" s="116">
        <v>50</v>
      </c>
      <c r="AI20" s="16">
        <f t="shared" si="7"/>
        <v>0</v>
      </c>
      <c r="AJ20" s="90"/>
      <c r="AK20" s="90"/>
      <c r="AL20" s="90"/>
      <c r="AM20" s="116"/>
      <c r="AN20" s="16">
        <f t="shared" si="8"/>
        <v>0</v>
      </c>
      <c r="AO20" s="90"/>
      <c r="AP20" s="90"/>
      <c r="AQ20" s="90"/>
      <c r="AR20" s="116"/>
      <c r="AS20" s="16">
        <f t="shared" si="9"/>
        <v>0</v>
      </c>
      <c r="AT20" s="90">
        <v>149</v>
      </c>
      <c r="AU20" s="90"/>
      <c r="AV20" s="90"/>
      <c r="AW20" s="116"/>
      <c r="AX20" s="16">
        <f t="shared" si="10"/>
        <v>149</v>
      </c>
      <c r="AY20" s="90"/>
      <c r="AZ20" s="90"/>
      <c r="BA20" s="90"/>
      <c r="BB20" s="116"/>
      <c r="BC20" s="16">
        <f t="shared" si="49"/>
        <v>0</v>
      </c>
      <c r="BD20" s="90"/>
      <c r="BE20" s="90"/>
      <c r="BF20" s="90"/>
      <c r="BG20" s="116"/>
      <c r="BH20" s="16">
        <f t="shared" si="11"/>
        <v>0</v>
      </c>
      <c r="BI20" s="90"/>
      <c r="BJ20" s="90"/>
      <c r="BK20" s="90"/>
      <c r="BL20" s="116"/>
      <c r="BM20" s="16">
        <f t="shared" si="12"/>
        <v>0</v>
      </c>
      <c r="BN20" s="90"/>
      <c r="BO20" s="90"/>
      <c r="BP20" s="90"/>
      <c r="BQ20" s="116"/>
      <c r="BR20" s="16">
        <f t="shared" si="13"/>
        <v>0</v>
      </c>
      <c r="BS20" s="90"/>
      <c r="BT20" s="90"/>
      <c r="BU20" s="90"/>
      <c r="BV20" s="116"/>
      <c r="BW20" s="16">
        <f t="shared" si="14"/>
        <v>0</v>
      </c>
      <c r="BX20" s="90"/>
      <c r="BY20" s="90"/>
      <c r="BZ20" s="90"/>
      <c r="CA20" s="116"/>
      <c r="CB20" s="16">
        <f t="shared" si="15"/>
        <v>0</v>
      </c>
      <c r="CC20" s="90"/>
      <c r="CD20" s="90"/>
      <c r="CE20" s="90"/>
      <c r="CF20" s="116"/>
      <c r="CG20" s="16">
        <f t="shared" si="16"/>
        <v>0</v>
      </c>
      <c r="CH20" s="90"/>
      <c r="CI20" s="90"/>
      <c r="CJ20" s="90"/>
      <c r="CK20" s="116"/>
      <c r="CL20" s="16">
        <f t="shared" si="17"/>
        <v>0</v>
      </c>
      <c r="CM20" s="90"/>
      <c r="CN20" s="90"/>
      <c r="CO20" s="90"/>
      <c r="CP20" s="116"/>
      <c r="CQ20" s="16">
        <f t="shared" si="18"/>
        <v>0</v>
      </c>
      <c r="CR20" s="90"/>
      <c r="CS20" s="90"/>
      <c r="CT20" s="90"/>
      <c r="CU20" s="116"/>
      <c r="CV20" s="16">
        <f t="shared" si="19"/>
        <v>0</v>
      </c>
      <c r="CW20" s="90"/>
      <c r="CX20" s="90"/>
      <c r="CY20" s="90"/>
      <c r="CZ20" s="116"/>
      <c r="DA20" s="16">
        <f t="shared" si="20"/>
        <v>0</v>
      </c>
      <c r="DB20" s="90"/>
      <c r="DC20" s="90"/>
      <c r="DD20" s="90"/>
      <c r="DE20" s="116"/>
      <c r="DF20" s="16">
        <f t="shared" si="21"/>
        <v>0</v>
      </c>
      <c r="DG20" s="90"/>
      <c r="DH20" s="90"/>
      <c r="DI20" s="90"/>
      <c r="DJ20" s="116"/>
      <c r="DK20" s="16">
        <f t="shared" si="22"/>
        <v>0</v>
      </c>
      <c r="DL20" s="90"/>
      <c r="DM20" s="90"/>
      <c r="DN20" s="90"/>
      <c r="DO20" s="116"/>
      <c r="DP20" s="16">
        <f t="shared" si="23"/>
        <v>0</v>
      </c>
      <c r="DQ20" s="90"/>
      <c r="DR20" s="90"/>
      <c r="DS20" s="90">
        <v>336</v>
      </c>
      <c r="DT20" s="90"/>
      <c r="DU20" s="16">
        <f t="shared" si="24"/>
        <v>336</v>
      </c>
      <c r="DV20" s="90"/>
      <c r="DW20" s="90"/>
      <c r="DX20" s="90"/>
      <c r="DY20" s="116"/>
      <c r="DZ20" s="16">
        <f t="shared" si="25"/>
        <v>0</v>
      </c>
      <c r="EA20" s="90"/>
      <c r="EB20" s="90"/>
      <c r="EC20" s="90"/>
      <c r="ED20" s="116"/>
      <c r="EE20" s="16">
        <f t="shared" si="26"/>
        <v>0</v>
      </c>
      <c r="EF20" s="90"/>
      <c r="EG20" s="90"/>
      <c r="EH20" s="90"/>
      <c r="EI20" s="116"/>
      <c r="EJ20" s="16">
        <f t="shared" si="27"/>
        <v>0</v>
      </c>
      <c r="EK20" s="90"/>
      <c r="EL20" s="90"/>
      <c r="EM20" s="90"/>
      <c r="EN20" s="116"/>
      <c r="EO20" s="16">
        <f t="shared" si="28"/>
        <v>0</v>
      </c>
      <c r="EP20" s="90"/>
      <c r="EQ20" s="90"/>
      <c r="ER20" s="90"/>
      <c r="ES20" s="116"/>
      <c r="ET20" s="16">
        <f t="shared" si="29"/>
        <v>0</v>
      </c>
      <c r="EU20" s="90"/>
      <c r="EV20" s="90"/>
      <c r="EW20" s="90"/>
      <c r="EX20" s="116"/>
      <c r="EY20" s="16">
        <f t="shared" si="30"/>
        <v>0</v>
      </c>
      <c r="EZ20" s="90"/>
      <c r="FA20" s="90"/>
      <c r="FB20" s="90"/>
      <c r="FC20" s="116"/>
      <c r="FD20" s="16">
        <f t="shared" si="31"/>
        <v>0</v>
      </c>
      <c r="FE20" s="90"/>
      <c r="FF20" s="90"/>
      <c r="FG20" s="90"/>
      <c r="FH20" s="116"/>
      <c r="FI20" s="16">
        <f t="shared" si="0"/>
        <v>0</v>
      </c>
      <c r="FJ20" s="90"/>
      <c r="FK20" s="90"/>
      <c r="FL20" s="90"/>
      <c r="FM20" s="116"/>
      <c r="FN20" s="16">
        <f t="shared" si="32"/>
        <v>0</v>
      </c>
      <c r="FO20" s="90"/>
      <c r="FP20" s="90"/>
      <c r="FQ20" s="90"/>
      <c r="FR20" s="116"/>
      <c r="FS20" s="16">
        <f t="shared" si="33"/>
        <v>0</v>
      </c>
      <c r="FT20" s="90"/>
      <c r="FU20" s="90"/>
      <c r="FV20" s="90"/>
      <c r="FW20" s="116"/>
      <c r="FX20" s="16">
        <f t="shared" si="34"/>
        <v>0</v>
      </c>
      <c r="FY20" s="90"/>
      <c r="FZ20" s="90"/>
      <c r="GA20" s="90"/>
      <c r="GB20" s="116"/>
      <c r="GC20" s="16">
        <f t="shared" si="35"/>
        <v>0</v>
      </c>
      <c r="GD20" s="90"/>
      <c r="GE20" s="90"/>
      <c r="GF20" s="90"/>
      <c r="GG20" s="116"/>
      <c r="GH20" s="16">
        <f t="shared" si="36"/>
        <v>0</v>
      </c>
      <c r="GI20" s="90"/>
      <c r="GJ20" s="90"/>
      <c r="GK20" s="90"/>
      <c r="GL20" s="116"/>
      <c r="GM20" s="16">
        <f t="shared" si="37"/>
        <v>0</v>
      </c>
      <c r="GN20" s="90"/>
      <c r="GO20" s="90"/>
      <c r="GP20" s="90"/>
      <c r="GQ20" s="116"/>
      <c r="GR20" s="16">
        <f t="shared" si="38"/>
        <v>0</v>
      </c>
      <c r="GS20" s="90"/>
      <c r="GT20" s="90"/>
      <c r="GU20" s="90"/>
      <c r="GV20" s="116"/>
      <c r="GW20" s="16">
        <f t="shared" si="39"/>
        <v>0</v>
      </c>
      <c r="GX20" s="90"/>
      <c r="GY20" s="90"/>
      <c r="GZ20" s="90"/>
      <c r="HA20" s="116"/>
      <c r="HB20" s="16">
        <f t="shared" si="40"/>
        <v>0</v>
      </c>
      <c r="HC20" s="90"/>
      <c r="HD20" s="90"/>
      <c r="HE20" s="90"/>
      <c r="HF20" s="116"/>
      <c r="HG20" s="16">
        <f t="shared" si="41"/>
        <v>0</v>
      </c>
      <c r="HH20" s="90"/>
      <c r="HI20" s="90"/>
      <c r="HJ20" s="90"/>
      <c r="HK20" s="116"/>
      <c r="HL20" s="16">
        <f t="shared" si="42"/>
        <v>0</v>
      </c>
      <c r="HM20" s="90"/>
      <c r="HN20" s="90"/>
      <c r="HO20" s="90"/>
      <c r="HP20" s="116"/>
      <c r="HQ20" s="16">
        <f t="shared" si="43"/>
        <v>0</v>
      </c>
      <c r="HR20" s="90"/>
      <c r="HS20" s="90"/>
      <c r="HT20" s="90"/>
      <c r="HU20" s="116"/>
      <c r="HV20" s="16">
        <f t="shared" si="44"/>
        <v>0</v>
      </c>
      <c r="HW20" s="90"/>
      <c r="HX20" s="90"/>
      <c r="HY20" s="90"/>
      <c r="HZ20" s="116"/>
      <c r="IA20" s="16">
        <f t="shared" si="45"/>
        <v>0</v>
      </c>
      <c r="IB20" s="90"/>
      <c r="IC20" s="90"/>
      <c r="ID20" s="90"/>
      <c r="IE20" s="116"/>
      <c r="IF20" s="16">
        <f t="shared" si="46"/>
        <v>0</v>
      </c>
      <c r="IG20" s="90"/>
      <c r="IH20" s="90"/>
      <c r="II20" s="90"/>
      <c r="IJ20" s="116"/>
      <c r="IK20" s="16">
        <f t="shared" si="47"/>
        <v>0</v>
      </c>
      <c r="IL20" s="90"/>
      <c r="IM20" s="90"/>
      <c r="IN20" s="90"/>
      <c r="IO20" s="116"/>
      <c r="IP20" s="16">
        <f t="shared" si="48"/>
        <v>0</v>
      </c>
    </row>
    <row r="21" spans="1:250" x14ac:dyDescent="0.25">
      <c r="A21" s="90"/>
      <c r="B21" s="90"/>
      <c r="C21" s="90"/>
      <c r="D21" s="116"/>
      <c r="E21" s="16">
        <f t="shared" si="1"/>
        <v>0</v>
      </c>
      <c r="F21" s="90"/>
      <c r="G21" s="90"/>
      <c r="H21" s="90"/>
      <c r="I21" s="116"/>
      <c r="J21" s="16">
        <f t="shared" si="2"/>
        <v>0</v>
      </c>
      <c r="K21" s="90"/>
      <c r="L21" s="90"/>
      <c r="M21" s="90"/>
      <c r="N21" s="116"/>
      <c r="O21" s="16">
        <f t="shared" si="3"/>
        <v>0</v>
      </c>
      <c r="P21" s="90"/>
      <c r="Q21" s="90"/>
      <c r="R21" s="90"/>
      <c r="S21" s="116"/>
      <c r="T21" s="16">
        <f t="shared" si="4"/>
        <v>0</v>
      </c>
      <c r="U21" s="90"/>
      <c r="V21" s="90"/>
      <c r="W21" s="90"/>
      <c r="X21" s="116"/>
      <c r="Y21" s="16">
        <f t="shared" si="5"/>
        <v>0</v>
      </c>
      <c r="Z21" s="90"/>
      <c r="AA21" s="90"/>
      <c r="AB21" s="90"/>
      <c r="AC21" s="116"/>
      <c r="AD21" s="16">
        <f t="shared" si="6"/>
        <v>0</v>
      </c>
      <c r="AE21" s="90"/>
      <c r="AF21" s="90"/>
      <c r="AG21" s="90">
        <v>236</v>
      </c>
      <c r="AH21" s="116"/>
      <c r="AI21" s="16">
        <f t="shared" si="7"/>
        <v>236</v>
      </c>
      <c r="AJ21" s="90"/>
      <c r="AK21" s="90"/>
      <c r="AL21" s="90"/>
      <c r="AM21" s="116"/>
      <c r="AN21" s="16">
        <f t="shared" si="8"/>
        <v>0</v>
      </c>
      <c r="AO21" s="90"/>
      <c r="AP21" s="90"/>
      <c r="AQ21" s="90"/>
      <c r="AR21" s="116"/>
      <c r="AS21" s="16">
        <f t="shared" si="9"/>
        <v>0</v>
      </c>
      <c r="AT21" s="90">
        <v>163</v>
      </c>
      <c r="AU21" s="90"/>
      <c r="AV21" s="90"/>
      <c r="AW21" s="116"/>
      <c r="AX21" s="16">
        <f t="shared" si="10"/>
        <v>163</v>
      </c>
      <c r="AY21" s="90"/>
      <c r="AZ21" s="90"/>
      <c r="BA21" s="90"/>
      <c r="BB21" s="116"/>
      <c r="BC21" s="16">
        <f t="shared" si="49"/>
        <v>0</v>
      </c>
      <c r="BD21" s="90"/>
      <c r="BE21" s="90"/>
      <c r="BF21" s="90"/>
      <c r="BG21" s="116"/>
      <c r="BH21" s="16">
        <f t="shared" si="11"/>
        <v>0</v>
      </c>
      <c r="BI21" s="90"/>
      <c r="BJ21" s="90"/>
      <c r="BK21" s="90"/>
      <c r="BL21" s="116"/>
      <c r="BM21" s="16">
        <f t="shared" si="12"/>
        <v>0</v>
      </c>
      <c r="BN21" s="90"/>
      <c r="BO21" s="90"/>
      <c r="BP21" s="90"/>
      <c r="BQ21" s="116"/>
      <c r="BR21" s="16">
        <f t="shared" si="13"/>
        <v>0</v>
      </c>
      <c r="BS21" s="90"/>
      <c r="BT21" s="90"/>
      <c r="BU21" s="90"/>
      <c r="BV21" s="116"/>
      <c r="BW21" s="16">
        <f t="shared" si="14"/>
        <v>0</v>
      </c>
      <c r="BX21" s="90"/>
      <c r="BY21" s="90"/>
      <c r="BZ21" s="90"/>
      <c r="CA21" s="116"/>
      <c r="CB21" s="16">
        <f t="shared" si="15"/>
        <v>0</v>
      </c>
      <c r="CC21" s="90"/>
      <c r="CD21" s="90"/>
      <c r="CE21" s="90"/>
      <c r="CF21" s="116"/>
      <c r="CG21" s="16">
        <f t="shared" si="16"/>
        <v>0</v>
      </c>
      <c r="CH21" s="90"/>
      <c r="CI21" s="90"/>
      <c r="CJ21" s="90"/>
      <c r="CK21" s="116"/>
      <c r="CL21" s="16">
        <f t="shared" si="17"/>
        <v>0</v>
      </c>
      <c r="CM21" s="90"/>
      <c r="CN21" s="90"/>
      <c r="CO21" s="90"/>
      <c r="CP21" s="116"/>
      <c r="CQ21" s="16">
        <f t="shared" si="18"/>
        <v>0</v>
      </c>
      <c r="CR21" s="90"/>
      <c r="CS21" s="90"/>
      <c r="CT21" s="90"/>
      <c r="CU21" s="116"/>
      <c r="CV21" s="16">
        <f t="shared" si="19"/>
        <v>0</v>
      </c>
      <c r="CW21" s="90"/>
      <c r="CX21" s="90"/>
      <c r="CY21" s="90"/>
      <c r="CZ21" s="116"/>
      <c r="DA21" s="16">
        <f t="shared" si="20"/>
        <v>0</v>
      </c>
      <c r="DB21" s="90"/>
      <c r="DC21" s="90"/>
      <c r="DD21" s="90"/>
      <c r="DE21" s="116"/>
      <c r="DF21" s="16">
        <f t="shared" si="21"/>
        <v>0</v>
      </c>
      <c r="DG21" s="90"/>
      <c r="DH21" s="90"/>
      <c r="DI21" s="90"/>
      <c r="DJ21" s="116"/>
      <c r="DK21" s="16">
        <f t="shared" si="22"/>
        <v>0</v>
      </c>
      <c r="DL21" s="90"/>
      <c r="DM21" s="90"/>
      <c r="DN21" s="90"/>
      <c r="DO21" s="116"/>
      <c r="DP21" s="16">
        <f t="shared" si="23"/>
        <v>0</v>
      </c>
      <c r="DQ21" s="90"/>
      <c r="DR21" s="90"/>
      <c r="DS21" s="90">
        <v>280</v>
      </c>
      <c r="DT21" s="90"/>
      <c r="DU21" s="16">
        <f t="shared" si="24"/>
        <v>280</v>
      </c>
      <c r="DV21" s="90"/>
      <c r="DW21" s="90"/>
      <c r="DX21" s="90"/>
      <c r="DY21" s="116"/>
      <c r="DZ21" s="16">
        <f t="shared" si="25"/>
        <v>0</v>
      </c>
      <c r="EA21" s="90"/>
      <c r="EB21" s="90"/>
      <c r="EC21" s="90"/>
      <c r="ED21" s="116"/>
      <c r="EE21" s="16">
        <f t="shared" si="26"/>
        <v>0</v>
      </c>
      <c r="EF21" s="90"/>
      <c r="EG21" s="90"/>
      <c r="EH21" s="90"/>
      <c r="EI21" s="116"/>
      <c r="EJ21" s="16">
        <f t="shared" si="27"/>
        <v>0</v>
      </c>
      <c r="EK21" s="90"/>
      <c r="EL21" s="90"/>
      <c r="EM21" s="90"/>
      <c r="EN21" s="116"/>
      <c r="EO21" s="16">
        <f t="shared" si="28"/>
        <v>0</v>
      </c>
      <c r="EP21" s="90"/>
      <c r="EQ21" s="90"/>
      <c r="ER21" s="90"/>
      <c r="ES21" s="116"/>
      <c r="ET21" s="16">
        <f t="shared" si="29"/>
        <v>0</v>
      </c>
      <c r="EU21" s="90"/>
      <c r="EV21" s="90"/>
      <c r="EW21" s="90"/>
      <c r="EX21" s="116"/>
      <c r="EY21" s="16">
        <f t="shared" si="30"/>
        <v>0</v>
      </c>
      <c r="EZ21" s="90"/>
      <c r="FA21" s="90"/>
      <c r="FB21" s="90"/>
      <c r="FC21" s="116"/>
      <c r="FD21" s="16">
        <f t="shared" si="31"/>
        <v>0</v>
      </c>
      <c r="FE21" s="90"/>
      <c r="FF21" s="90"/>
      <c r="FG21" s="90"/>
      <c r="FH21" s="116"/>
      <c r="FI21" s="16">
        <f t="shared" si="0"/>
        <v>0</v>
      </c>
      <c r="FJ21" s="90"/>
      <c r="FK21" s="90"/>
      <c r="FL21" s="90"/>
      <c r="FM21" s="116"/>
      <c r="FN21" s="16">
        <f t="shared" si="32"/>
        <v>0</v>
      </c>
      <c r="FO21" s="90"/>
      <c r="FP21" s="90"/>
      <c r="FQ21" s="90"/>
      <c r="FR21" s="116"/>
      <c r="FS21" s="16">
        <f t="shared" si="33"/>
        <v>0</v>
      </c>
      <c r="FT21" s="90"/>
      <c r="FU21" s="90"/>
      <c r="FV21" s="90"/>
      <c r="FW21" s="116"/>
      <c r="FX21" s="16">
        <f t="shared" si="34"/>
        <v>0</v>
      </c>
      <c r="FY21" s="90"/>
      <c r="FZ21" s="90"/>
      <c r="GA21" s="90"/>
      <c r="GB21" s="116"/>
      <c r="GC21" s="16">
        <f t="shared" si="35"/>
        <v>0</v>
      </c>
      <c r="GD21" s="90"/>
      <c r="GE21" s="90"/>
      <c r="GF21" s="90"/>
      <c r="GG21" s="116"/>
      <c r="GH21" s="16">
        <f t="shared" si="36"/>
        <v>0</v>
      </c>
      <c r="GI21" s="90"/>
      <c r="GJ21" s="90"/>
      <c r="GK21" s="90"/>
      <c r="GL21" s="116"/>
      <c r="GM21" s="16">
        <f t="shared" si="37"/>
        <v>0</v>
      </c>
      <c r="GN21" s="90"/>
      <c r="GO21" s="90"/>
      <c r="GP21" s="90"/>
      <c r="GQ21" s="116"/>
      <c r="GR21" s="16">
        <f t="shared" si="38"/>
        <v>0</v>
      </c>
      <c r="GS21" s="90"/>
      <c r="GT21" s="90"/>
      <c r="GU21" s="90"/>
      <c r="GV21" s="116"/>
      <c r="GW21" s="16">
        <f t="shared" si="39"/>
        <v>0</v>
      </c>
      <c r="GX21" s="90"/>
      <c r="GY21" s="90"/>
      <c r="GZ21" s="90"/>
      <c r="HA21" s="116"/>
      <c r="HB21" s="16">
        <f t="shared" si="40"/>
        <v>0</v>
      </c>
      <c r="HC21" s="90"/>
      <c r="HD21" s="90"/>
      <c r="HE21" s="90"/>
      <c r="HF21" s="116"/>
      <c r="HG21" s="16">
        <f t="shared" si="41"/>
        <v>0</v>
      </c>
      <c r="HH21" s="90"/>
      <c r="HI21" s="90"/>
      <c r="HJ21" s="90"/>
      <c r="HK21" s="116"/>
      <c r="HL21" s="16">
        <f t="shared" si="42"/>
        <v>0</v>
      </c>
      <c r="HM21" s="90"/>
      <c r="HN21" s="90"/>
      <c r="HO21" s="90"/>
      <c r="HP21" s="116"/>
      <c r="HQ21" s="16">
        <f t="shared" si="43"/>
        <v>0</v>
      </c>
      <c r="HR21" s="90"/>
      <c r="HS21" s="90"/>
      <c r="HT21" s="90"/>
      <c r="HU21" s="116"/>
      <c r="HV21" s="16">
        <f t="shared" si="44"/>
        <v>0</v>
      </c>
      <c r="HW21" s="90"/>
      <c r="HX21" s="90"/>
      <c r="HY21" s="90"/>
      <c r="HZ21" s="116"/>
      <c r="IA21" s="16">
        <f t="shared" si="45"/>
        <v>0</v>
      </c>
      <c r="IB21" s="90"/>
      <c r="IC21" s="90"/>
      <c r="ID21" s="90"/>
      <c r="IE21" s="116"/>
      <c r="IF21" s="16">
        <f t="shared" si="46"/>
        <v>0</v>
      </c>
      <c r="IG21" s="90"/>
      <c r="IH21" s="90"/>
      <c r="II21" s="90"/>
      <c r="IJ21" s="116"/>
      <c r="IK21" s="16">
        <f t="shared" si="47"/>
        <v>0</v>
      </c>
      <c r="IL21" s="90"/>
      <c r="IM21" s="90"/>
      <c r="IN21" s="90"/>
      <c r="IO21" s="116"/>
      <c r="IP21" s="16">
        <f t="shared" si="48"/>
        <v>0</v>
      </c>
    </row>
    <row r="22" spans="1:250" x14ac:dyDescent="0.25">
      <c r="A22" s="90"/>
      <c r="B22" s="90"/>
      <c r="C22" s="90"/>
      <c r="D22" s="116"/>
      <c r="E22" s="16">
        <f t="shared" si="1"/>
        <v>0</v>
      </c>
      <c r="F22" s="90"/>
      <c r="G22" s="90"/>
      <c r="H22" s="90"/>
      <c r="I22" s="116"/>
      <c r="J22" s="16">
        <f t="shared" si="2"/>
        <v>0</v>
      </c>
      <c r="K22" s="90"/>
      <c r="L22" s="90"/>
      <c r="M22" s="90"/>
      <c r="N22" s="116"/>
      <c r="O22" s="16">
        <f t="shared" si="3"/>
        <v>0</v>
      </c>
      <c r="P22" s="90"/>
      <c r="Q22" s="90"/>
      <c r="R22" s="90"/>
      <c r="S22" s="116"/>
      <c r="T22" s="16">
        <f t="shared" si="4"/>
        <v>0</v>
      </c>
      <c r="U22" s="90"/>
      <c r="V22" s="90"/>
      <c r="W22" s="90"/>
      <c r="X22" s="116"/>
      <c r="Y22" s="16">
        <f t="shared" si="5"/>
        <v>0</v>
      </c>
      <c r="Z22" s="90"/>
      <c r="AA22" s="90"/>
      <c r="AB22" s="90"/>
      <c r="AC22" s="116"/>
      <c r="AD22" s="16">
        <f t="shared" si="6"/>
        <v>0</v>
      </c>
      <c r="AE22" s="90"/>
      <c r="AF22" s="90"/>
      <c r="AG22" s="90">
        <v>376</v>
      </c>
      <c r="AH22" s="116"/>
      <c r="AI22" s="16">
        <f t="shared" si="7"/>
        <v>376</v>
      </c>
      <c r="AJ22" s="90"/>
      <c r="AK22" s="90"/>
      <c r="AL22" s="90"/>
      <c r="AM22" s="116"/>
      <c r="AN22" s="16">
        <f t="shared" si="8"/>
        <v>0</v>
      </c>
      <c r="AO22" s="90"/>
      <c r="AP22" s="90"/>
      <c r="AQ22" s="90"/>
      <c r="AR22" s="116"/>
      <c r="AS22" s="16">
        <f t="shared" si="9"/>
        <v>0</v>
      </c>
      <c r="AT22" s="90">
        <v>138</v>
      </c>
      <c r="AU22" s="90"/>
      <c r="AV22" s="90"/>
      <c r="AW22" s="116"/>
      <c r="AX22" s="16">
        <f t="shared" si="10"/>
        <v>138</v>
      </c>
      <c r="AY22" s="90"/>
      <c r="AZ22" s="90"/>
      <c r="BA22" s="90"/>
      <c r="BB22" s="116"/>
      <c r="BC22" s="16">
        <f t="shared" si="49"/>
        <v>0</v>
      </c>
      <c r="BD22" s="90"/>
      <c r="BE22" s="90"/>
      <c r="BF22" s="90"/>
      <c r="BG22" s="116"/>
      <c r="BH22" s="16">
        <f t="shared" si="11"/>
        <v>0</v>
      </c>
      <c r="BI22" s="90"/>
      <c r="BJ22" s="90"/>
      <c r="BK22" s="90"/>
      <c r="BL22" s="116"/>
      <c r="BM22" s="16">
        <f t="shared" si="12"/>
        <v>0</v>
      </c>
      <c r="BN22" s="90"/>
      <c r="BO22" s="90"/>
      <c r="BP22" s="90"/>
      <c r="BQ22" s="116"/>
      <c r="BR22" s="16">
        <f t="shared" si="13"/>
        <v>0</v>
      </c>
      <c r="BS22" s="90"/>
      <c r="BT22" s="90"/>
      <c r="BU22" s="90"/>
      <c r="BV22" s="116"/>
      <c r="BW22" s="16">
        <f t="shared" si="14"/>
        <v>0</v>
      </c>
      <c r="BX22" s="90"/>
      <c r="BY22" s="90"/>
      <c r="BZ22" s="90"/>
      <c r="CA22" s="116"/>
      <c r="CB22" s="16">
        <f t="shared" si="15"/>
        <v>0</v>
      </c>
      <c r="CC22" s="90"/>
      <c r="CD22" s="90"/>
      <c r="CE22" s="90"/>
      <c r="CF22" s="116"/>
      <c r="CG22" s="16">
        <f t="shared" si="16"/>
        <v>0</v>
      </c>
      <c r="CH22" s="90"/>
      <c r="CI22" s="90"/>
      <c r="CJ22" s="90"/>
      <c r="CK22" s="116"/>
      <c r="CL22" s="16">
        <f t="shared" si="17"/>
        <v>0</v>
      </c>
      <c r="CM22" s="90"/>
      <c r="CN22" s="90"/>
      <c r="CO22" s="90"/>
      <c r="CP22" s="116"/>
      <c r="CQ22" s="16">
        <f t="shared" si="18"/>
        <v>0</v>
      </c>
      <c r="CR22" s="90"/>
      <c r="CS22" s="90"/>
      <c r="CT22" s="90"/>
      <c r="CU22" s="116"/>
      <c r="CV22" s="16">
        <f t="shared" si="19"/>
        <v>0</v>
      </c>
      <c r="CW22" s="90"/>
      <c r="CX22" s="90"/>
      <c r="CY22" s="90"/>
      <c r="CZ22" s="116"/>
      <c r="DA22" s="16">
        <f t="shared" si="20"/>
        <v>0</v>
      </c>
      <c r="DB22" s="90"/>
      <c r="DC22" s="90"/>
      <c r="DD22" s="90"/>
      <c r="DE22" s="116"/>
      <c r="DF22" s="16">
        <f t="shared" si="21"/>
        <v>0</v>
      </c>
      <c r="DG22" s="90"/>
      <c r="DH22" s="90"/>
      <c r="DI22" s="90"/>
      <c r="DJ22" s="116"/>
      <c r="DK22" s="16">
        <f t="shared" si="22"/>
        <v>0</v>
      </c>
      <c r="DL22" s="90"/>
      <c r="DM22" s="90"/>
      <c r="DN22" s="90"/>
      <c r="DO22" s="116"/>
      <c r="DP22" s="16">
        <f t="shared" si="23"/>
        <v>0</v>
      </c>
      <c r="DQ22" s="90"/>
      <c r="DR22" s="90"/>
      <c r="DS22" s="90">
        <v>210</v>
      </c>
      <c r="DT22" s="116"/>
      <c r="DU22" s="16">
        <f t="shared" si="24"/>
        <v>210</v>
      </c>
      <c r="DV22" s="90"/>
      <c r="DW22" s="90"/>
      <c r="DX22" s="90"/>
      <c r="DY22" s="116"/>
      <c r="DZ22" s="16">
        <f t="shared" si="25"/>
        <v>0</v>
      </c>
      <c r="EA22" s="90"/>
      <c r="EB22" s="90"/>
      <c r="EC22" s="90"/>
      <c r="ED22" s="116"/>
      <c r="EE22" s="16">
        <f t="shared" si="26"/>
        <v>0</v>
      </c>
      <c r="EF22" s="90"/>
      <c r="EG22" s="90"/>
      <c r="EH22" s="90"/>
      <c r="EI22" s="116"/>
      <c r="EJ22" s="16">
        <f t="shared" si="27"/>
        <v>0</v>
      </c>
      <c r="EK22" s="90"/>
      <c r="EL22" s="90"/>
      <c r="EM22" s="90"/>
      <c r="EN22" s="116"/>
      <c r="EO22" s="16">
        <f t="shared" si="28"/>
        <v>0</v>
      </c>
      <c r="EP22" s="90"/>
      <c r="EQ22" s="90"/>
      <c r="ER22" s="90"/>
      <c r="ES22" s="116"/>
      <c r="ET22" s="16">
        <f t="shared" si="29"/>
        <v>0</v>
      </c>
      <c r="EU22" s="90"/>
      <c r="EV22" s="90"/>
      <c r="EW22" s="90"/>
      <c r="EX22" s="116"/>
      <c r="EY22" s="16">
        <f t="shared" si="30"/>
        <v>0</v>
      </c>
      <c r="EZ22" s="90"/>
      <c r="FA22" s="90"/>
      <c r="FB22" s="90"/>
      <c r="FC22" s="116"/>
      <c r="FD22" s="16">
        <f t="shared" si="31"/>
        <v>0</v>
      </c>
      <c r="FE22" s="90"/>
      <c r="FF22" s="90"/>
      <c r="FG22" s="90"/>
      <c r="FH22" s="116"/>
      <c r="FI22" s="16">
        <f t="shared" si="0"/>
        <v>0</v>
      </c>
      <c r="FJ22" s="90"/>
      <c r="FK22" s="90"/>
      <c r="FL22" s="90"/>
      <c r="FM22" s="116"/>
      <c r="FN22" s="16">
        <f t="shared" si="32"/>
        <v>0</v>
      </c>
      <c r="FO22" s="90"/>
      <c r="FP22" s="90"/>
      <c r="FQ22" s="90"/>
      <c r="FR22" s="116"/>
      <c r="FS22" s="16">
        <f t="shared" si="33"/>
        <v>0</v>
      </c>
      <c r="FT22" s="90"/>
      <c r="FU22" s="90"/>
      <c r="FV22" s="90"/>
      <c r="FW22" s="116"/>
      <c r="FX22" s="16">
        <f t="shared" si="34"/>
        <v>0</v>
      </c>
      <c r="FY22" s="90"/>
      <c r="FZ22" s="90"/>
      <c r="GA22" s="90"/>
      <c r="GB22" s="116"/>
      <c r="GC22" s="16">
        <f t="shared" si="35"/>
        <v>0</v>
      </c>
      <c r="GD22" s="90"/>
      <c r="GE22" s="90"/>
      <c r="GF22" s="90"/>
      <c r="GG22" s="116"/>
      <c r="GH22" s="16">
        <f t="shared" si="36"/>
        <v>0</v>
      </c>
      <c r="GI22" s="90"/>
      <c r="GJ22" s="90"/>
      <c r="GK22" s="90"/>
      <c r="GL22" s="116"/>
      <c r="GM22" s="16">
        <f t="shared" si="37"/>
        <v>0</v>
      </c>
      <c r="GN22" s="90"/>
      <c r="GO22" s="90"/>
      <c r="GP22" s="90"/>
      <c r="GQ22" s="116"/>
      <c r="GR22" s="16">
        <f t="shared" si="38"/>
        <v>0</v>
      </c>
      <c r="GS22" s="90"/>
      <c r="GT22" s="90"/>
      <c r="GU22" s="90"/>
      <c r="GV22" s="116"/>
      <c r="GW22" s="16">
        <f t="shared" si="39"/>
        <v>0</v>
      </c>
      <c r="GX22" s="90"/>
      <c r="GY22" s="90"/>
      <c r="GZ22" s="90"/>
      <c r="HA22" s="116"/>
      <c r="HB22" s="16">
        <f t="shared" si="40"/>
        <v>0</v>
      </c>
      <c r="HC22" s="90"/>
      <c r="HD22" s="90"/>
      <c r="HE22" s="90"/>
      <c r="HF22" s="116"/>
      <c r="HG22" s="16">
        <f t="shared" si="41"/>
        <v>0</v>
      </c>
      <c r="HH22" s="90"/>
      <c r="HI22" s="90"/>
      <c r="HJ22" s="90"/>
      <c r="HK22" s="116"/>
      <c r="HL22" s="16">
        <f t="shared" si="42"/>
        <v>0</v>
      </c>
      <c r="HM22" s="90"/>
      <c r="HN22" s="90"/>
      <c r="HO22" s="90"/>
      <c r="HP22" s="116"/>
      <c r="HQ22" s="16">
        <f t="shared" si="43"/>
        <v>0</v>
      </c>
      <c r="HR22" s="90"/>
      <c r="HS22" s="90"/>
      <c r="HT22" s="90"/>
      <c r="HU22" s="116"/>
      <c r="HV22" s="16">
        <f t="shared" si="44"/>
        <v>0</v>
      </c>
      <c r="HW22" s="90"/>
      <c r="HX22" s="90"/>
      <c r="HY22" s="90"/>
      <c r="HZ22" s="116"/>
      <c r="IA22" s="16">
        <f t="shared" si="45"/>
        <v>0</v>
      </c>
      <c r="IB22" s="90"/>
      <c r="IC22" s="90"/>
      <c r="ID22" s="90"/>
      <c r="IE22" s="116"/>
      <c r="IF22" s="16">
        <f t="shared" si="46"/>
        <v>0</v>
      </c>
      <c r="IG22" s="90"/>
      <c r="IH22" s="90"/>
      <c r="II22" s="90"/>
      <c r="IJ22" s="116"/>
      <c r="IK22" s="16">
        <f t="shared" si="47"/>
        <v>0</v>
      </c>
      <c r="IL22" s="90"/>
      <c r="IM22" s="90"/>
      <c r="IN22" s="90"/>
      <c r="IO22" s="116"/>
      <c r="IP22" s="16">
        <f t="shared" si="48"/>
        <v>0</v>
      </c>
    </row>
    <row r="23" spans="1:250" x14ac:dyDescent="0.25">
      <c r="A23" s="90"/>
      <c r="B23" s="90"/>
      <c r="C23" s="90"/>
      <c r="D23" s="116"/>
      <c r="E23" s="16">
        <f t="shared" si="1"/>
        <v>0</v>
      </c>
      <c r="F23" s="90"/>
      <c r="G23" s="90"/>
      <c r="H23" s="90"/>
      <c r="I23" s="116"/>
      <c r="J23" s="16">
        <f t="shared" si="2"/>
        <v>0</v>
      </c>
      <c r="K23" s="90"/>
      <c r="L23" s="90"/>
      <c r="M23" s="90"/>
      <c r="N23" s="116"/>
      <c r="O23" s="16">
        <f t="shared" si="3"/>
        <v>0</v>
      </c>
      <c r="P23" s="90"/>
      <c r="Q23" s="90"/>
      <c r="R23" s="90"/>
      <c r="S23" s="116"/>
      <c r="T23" s="16">
        <f t="shared" si="4"/>
        <v>0</v>
      </c>
      <c r="U23" s="90"/>
      <c r="V23" s="90"/>
      <c r="W23" s="90"/>
      <c r="X23" s="116"/>
      <c r="Y23" s="16">
        <f t="shared" si="5"/>
        <v>0</v>
      </c>
      <c r="Z23" s="90"/>
      <c r="AA23" s="90"/>
      <c r="AB23" s="90"/>
      <c r="AC23" s="116"/>
      <c r="AD23" s="16">
        <f t="shared" si="6"/>
        <v>0</v>
      </c>
      <c r="AE23" s="90"/>
      <c r="AF23" s="90"/>
      <c r="AG23" s="90">
        <v>242</v>
      </c>
      <c r="AH23" s="116"/>
      <c r="AI23" s="16">
        <f t="shared" si="7"/>
        <v>242</v>
      </c>
      <c r="AJ23" s="90"/>
      <c r="AK23" s="90"/>
      <c r="AL23" s="90"/>
      <c r="AM23" s="116"/>
      <c r="AN23" s="16">
        <f t="shared" si="8"/>
        <v>0</v>
      </c>
      <c r="AO23" s="90"/>
      <c r="AP23" s="90"/>
      <c r="AQ23" s="90"/>
      <c r="AR23" s="116"/>
      <c r="AS23" s="16">
        <f t="shared" si="9"/>
        <v>0</v>
      </c>
      <c r="AT23" s="90">
        <v>134</v>
      </c>
      <c r="AU23" s="90"/>
      <c r="AV23" s="90"/>
      <c r="AW23" s="116"/>
      <c r="AX23" s="16">
        <f t="shared" si="10"/>
        <v>134</v>
      </c>
      <c r="AY23" s="90"/>
      <c r="AZ23" s="90"/>
      <c r="BA23" s="90"/>
      <c r="BB23" s="116"/>
      <c r="BC23" s="16">
        <f t="shared" si="49"/>
        <v>0</v>
      </c>
      <c r="BD23" s="90"/>
      <c r="BE23" s="90"/>
      <c r="BF23" s="90"/>
      <c r="BG23" s="116"/>
      <c r="BH23" s="16">
        <f t="shared" si="11"/>
        <v>0</v>
      </c>
      <c r="BI23" s="90"/>
      <c r="BJ23" s="90"/>
      <c r="BK23" s="90"/>
      <c r="BL23" s="116"/>
      <c r="BM23" s="16">
        <f t="shared" si="12"/>
        <v>0</v>
      </c>
      <c r="BN23" s="90"/>
      <c r="BO23" s="90"/>
      <c r="BP23" s="90"/>
      <c r="BQ23" s="116"/>
      <c r="BR23" s="16">
        <f t="shared" si="13"/>
        <v>0</v>
      </c>
      <c r="BS23" s="90"/>
      <c r="BT23" s="90"/>
      <c r="BU23" s="90"/>
      <c r="BV23" s="116"/>
      <c r="BW23" s="16">
        <f t="shared" si="14"/>
        <v>0</v>
      </c>
      <c r="BX23" s="90"/>
      <c r="BY23" s="90"/>
      <c r="BZ23" s="90"/>
      <c r="CA23" s="116"/>
      <c r="CB23" s="16">
        <f t="shared" si="15"/>
        <v>0</v>
      </c>
      <c r="CC23" s="90"/>
      <c r="CD23" s="90"/>
      <c r="CE23" s="90"/>
      <c r="CF23" s="116"/>
      <c r="CG23" s="16">
        <f t="shared" si="16"/>
        <v>0</v>
      </c>
      <c r="CH23" s="90"/>
      <c r="CI23" s="90"/>
      <c r="CJ23" s="90"/>
      <c r="CK23" s="116"/>
      <c r="CL23" s="16">
        <f t="shared" si="17"/>
        <v>0</v>
      </c>
      <c r="CM23" s="90"/>
      <c r="CN23" s="90"/>
      <c r="CO23" s="90"/>
      <c r="CP23" s="116"/>
      <c r="CQ23" s="16">
        <f t="shared" si="18"/>
        <v>0</v>
      </c>
      <c r="CR23" s="90"/>
      <c r="CS23" s="90"/>
      <c r="CT23" s="90"/>
      <c r="CU23" s="116"/>
      <c r="CV23" s="16">
        <f t="shared" si="19"/>
        <v>0</v>
      </c>
      <c r="CW23" s="90"/>
      <c r="CX23" s="90"/>
      <c r="CY23" s="90"/>
      <c r="CZ23" s="116"/>
      <c r="DA23" s="16">
        <f t="shared" si="20"/>
        <v>0</v>
      </c>
      <c r="DB23" s="90"/>
      <c r="DC23" s="90"/>
      <c r="DD23" s="90"/>
      <c r="DE23" s="116"/>
      <c r="DF23" s="16">
        <f t="shared" si="21"/>
        <v>0</v>
      </c>
      <c r="DG23" s="90"/>
      <c r="DH23" s="90"/>
      <c r="DI23" s="90"/>
      <c r="DJ23" s="116"/>
      <c r="DK23" s="16">
        <f t="shared" si="22"/>
        <v>0</v>
      </c>
      <c r="DL23" s="90"/>
      <c r="DM23" s="90"/>
      <c r="DN23" s="90"/>
      <c r="DO23" s="116"/>
      <c r="DP23" s="16">
        <f t="shared" si="23"/>
        <v>0</v>
      </c>
      <c r="DQ23" s="90"/>
      <c r="DR23" s="90"/>
      <c r="DS23" s="90"/>
      <c r="DT23" s="116">
        <v>50</v>
      </c>
      <c r="DU23" s="16">
        <f t="shared" si="24"/>
        <v>0</v>
      </c>
      <c r="DV23" s="90"/>
      <c r="DW23" s="90"/>
      <c r="DX23" s="90"/>
      <c r="DY23" s="116"/>
      <c r="DZ23" s="16">
        <f t="shared" si="25"/>
        <v>0</v>
      </c>
      <c r="EA23" s="90"/>
      <c r="EB23" s="90"/>
      <c r="EC23" s="90"/>
      <c r="ED23" s="116"/>
      <c r="EE23" s="16">
        <f t="shared" si="26"/>
        <v>0</v>
      </c>
      <c r="EF23" s="90"/>
      <c r="EG23" s="90"/>
      <c r="EH23" s="90"/>
      <c r="EI23" s="116"/>
      <c r="EJ23" s="16">
        <f t="shared" si="27"/>
        <v>0</v>
      </c>
      <c r="EK23" s="90"/>
      <c r="EL23" s="90"/>
      <c r="EM23" s="90"/>
      <c r="EN23" s="116"/>
      <c r="EO23" s="16">
        <f t="shared" si="28"/>
        <v>0</v>
      </c>
      <c r="EP23" s="90"/>
      <c r="EQ23" s="90"/>
      <c r="ER23" s="90"/>
      <c r="ES23" s="116"/>
      <c r="ET23" s="16">
        <f t="shared" si="29"/>
        <v>0</v>
      </c>
      <c r="EU23" s="90"/>
      <c r="EV23" s="90"/>
      <c r="EW23" s="90"/>
      <c r="EX23" s="116"/>
      <c r="EY23" s="16">
        <f t="shared" si="30"/>
        <v>0</v>
      </c>
      <c r="EZ23" s="90"/>
      <c r="FA23" s="90"/>
      <c r="FB23" s="90"/>
      <c r="FC23" s="116"/>
      <c r="FD23" s="16">
        <f t="shared" si="31"/>
        <v>0</v>
      </c>
      <c r="FE23" s="90"/>
      <c r="FF23" s="90"/>
      <c r="FG23" s="90"/>
      <c r="FH23" s="116"/>
      <c r="FI23" s="16">
        <f t="shared" si="0"/>
        <v>0</v>
      </c>
      <c r="FJ23" s="90"/>
      <c r="FK23" s="90"/>
      <c r="FL23" s="90"/>
      <c r="FM23" s="116"/>
      <c r="FN23" s="16">
        <f t="shared" si="32"/>
        <v>0</v>
      </c>
      <c r="FO23" s="90"/>
      <c r="FP23" s="90"/>
      <c r="FQ23" s="90"/>
      <c r="FR23" s="116"/>
      <c r="FS23" s="16">
        <f t="shared" si="33"/>
        <v>0</v>
      </c>
      <c r="FT23" s="90"/>
      <c r="FU23" s="90"/>
      <c r="FV23" s="90"/>
      <c r="FW23" s="116"/>
      <c r="FX23" s="16">
        <f t="shared" si="34"/>
        <v>0</v>
      </c>
      <c r="FY23" s="90"/>
      <c r="FZ23" s="90"/>
      <c r="GA23" s="90"/>
      <c r="GB23" s="116"/>
      <c r="GC23" s="16">
        <f t="shared" si="35"/>
        <v>0</v>
      </c>
      <c r="GD23" s="90"/>
      <c r="GE23" s="90"/>
      <c r="GF23" s="90"/>
      <c r="GG23" s="116"/>
      <c r="GH23" s="16">
        <f t="shared" si="36"/>
        <v>0</v>
      </c>
      <c r="GI23" s="90"/>
      <c r="GJ23" s="90"/>
      <c r="GK23" s="90"/>
      <c r="GL23" s="116"/>
      <c r="GM23" s="16">
        <f t="shared" si="37"/>
        <v>0</v>
      </c>
      <c r="GN23" s="90"/>
      <c r="GO23" s="90"/>
      <c r="GP23" s="90"/>
      <c r="GQ23" s="116"/>
      <c r="GR23" s="16">
        <f t="shared" si="38"/>
        <v>0</v>
      </c>
      <c r="GS23" s="90"/>
      <c r="GT23" s="90"/>
      <c r="GU23" s="90"/>
      <c r="GV23" s="116"/>
      <c r="GW23" s="16">
        <f t="shared" si="39"/>
        <v>0</v>
      </c>
      <c r="GX23" s="90"/>
      <c r="GY23" s="90"/>
      <c r="GZ23" s="90"/>
      <c r="HA23" s="116"/>
      <c r="HB23" s="16">
        <f t="shared" si="40"/>
        <v>0</v>
      </c>
      <c r="HC23" s="90"/>
      <c r="HD23" s="90"/>
      <c r="HE23" s="90"/>
      <c r="HF23" s="116"/>
      <c r="HG23" s="16">
        <f t="shared" si="41"/>
        <v>0</v>
      </c>
      <c r="HH23" s="90"/>
      <c r="HI23" s="90"/>
      <c r="HJ23" s="90"/>
      <c r="HK23" s="116"/>
      <c r="HL23" s="16">
        <f t="shared" si="42"/>
        <v>0</v>
      </c>
      <c r="HM23" s="90"/>
      <c r="HN23" s="90"/>
      <c r="HO23" s="90"/>
      <c r="HP23" s="116"/>
      <c r="HQ23" s="16">
        <f t="shared" si="43"/>
        <v>0</v>
      </c>
      <c r="HR23" s="90"/>
      <c r="HS23" s="90"/>
      <c r="HT23" s="90"/>
      <c r="HU23" s="116"/>
      <c r="HV23" s="16">
        <f t="shared" si="44"/>
        <v>0</v>
      </c>
      <c r="HW23" s="90"/>
      <c r="HX23" s="90"/>
      <c r="HY23" s="90"/>
      <c r="HZ23" s="116"/>
      <c r="IA23" s="16">
        <f t="shared" si="45"/>
        <v>0</v>
      </c>
      <c r="IB23" s="90"/>
      <c r="IC23" s="90"/>
      <c r="ID23" s="90"/>
      <c r="IE23" s="116"/>
      <c r="IF23" s="16">
        <f t="shared" si="46"/>
        <v>0</v>
      </c>
      <c r="IG23" s="90"/>
      <c r="IH23" s="90"/>
      <c r="II23" s="90"/>
      <c r="IJ23" s="116"/>
      <c r="IK23" s="16">
        <f t="shared" si="47"/>
        <v>0</v>
      </c>
      <c r="IL23" s="90"/>
      <c r="IM23" s="90"/>
      <c r="IN23" s="90"/>
      <c r="IO23" s="116"/>
      <c r="IP23" s="16">
        <f t="shared" si="48"/>
        <v>0</v>
      </c>
    </row>
    <row r="24" spans="1:250" x14ac:dyDescent="0.25">
      <c r="A24" s="90"/>
      <c r="B24" s="90"/>
      <c r="C24" s="90"/>
      <c r="D24" s="116"/>
      <c r="E24" s="16">
        <f t="shared" si="1"/>
        <v>0</v>
      </c>
      <c r="F24" s="90"/>
      <c r="G24" s="90"/>
      <c r="H24" s="90"/>
      <c r="I24" s="116"/>
      <c r="J24" s="16">
        <f t="shared" si="2"/>
        <v>0</v>
      </c>
      <c r="K24" s="90"/>
      <c r="L24" s="90"/>
      <c r="M24" s="90"/>
      <c r="N24" s="116"/>
      <c r="O24" s="16">
        <f t="shared" si="3"/>
        <v>0</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v>50</v>
      </c>
      <c r="AI24" s="16">
        <f t="shared" si="7"/>
        <v>0</v>
      </c>
      <c r="AJ24" s="90"/>
      <c r="AK24" s="90"/>
      <c r="AL24" s="90"/>
      <c r="AM24" s="116"/>
      <c r="AN24" s="16">
        <f t="shared" si="8"/>
        <v>0</v>
      </c>
      <c r="AO24" s="90"/>
      <c r="AP24" s="90"/>
      <c r="AQ24" s="90"/>
      <c r="AR24" s="116"/>
      <c r="AS24" s="16">
        <f t="shared" si="9"/>
        <v>0</v>
      </c>
      <c r="AT24" s="90"/>
      <c r="AU24" s="90">
        <v>50</v>
      </c>
      <c r="AV24" s="90"/>
      <c r="AW24" s="116"/>
      <c r="AX24" s="16">
        <f t="shared" si="10"/>
        <v>0</v>
      </c>
      <c r="AY24" s="90"/>
      <c r="AZ24" s="90"/>
      <c r="BA24" s="90"/>
      <c r="BB24" s="116"/>
      <c r="BC24" s="16">
        <f t="shared" si="49"/>
        <v>0</v>
      </c>
      <c r="BD24" s="90"/>
      <c r="BE24" s="90"/>
      <c r="BF24" s="90"/>
      <c r="BG24" s="116"/>
      <c r="BH24" s="16">
        <f t="shared" si="11"/>
        <v>0</v>
      </c>
      <c r="BI24" s="90"/>
      <c r="BJ24" s="90"/>
      <c r="BK24" s="90"/>
      <c r="BL24" s="116"/>
      <c r="BM24" s="16">
        <f t="shared" si="12"/>
        <v>0</v>
      </c>
      <c r="BN24" s="90"/>
      <c r="BO24" s="90"/>
      <c r="BP24" s="90"/>
      <c r="BQ24" s="116"/>
      <c r="BR24" s="16">
        <f t="shared" si="13"/>
        <v>0</v>
      </c>
      <c r="BS24" s="90"/>
      <c r="BT24" s="90"/>
      <c r="BU24" s="90"/>
      <c r="BV24" s="116"/>
      <c r="BW24" s="16">
        <f t="shared" si="14"/>
        <v>0</v>
      </c>
      <c r="BX24" s="90"/>
      <c r="BY24" s="90"/>
      <c r="BZ24" s="90"/>
      <c r="CA24" s="116"/>
      <c r="CB24" s="16">
        <f t="shared" si="15"/>
        <v>0</v>
      </c>
      <c r="CC24" s="90"/>
      <c r="CD24" s="90"/>
      <c r="CE24" s="90"/>
      <c r="CF24" s="116"/>
      <c r="CG24" s="16">
        <f t="shared" si="16"/>
        <v>0</v>
      </c>
      <c r="CH24" s="90"/>
      <c r="CI24" s="90"/>
      <c r="CJ24" s="90"/>
      <c r="CK24" s="116"/>
      <c r="CL24" s="16">
        <f t="shared" si="17"/>
        <v>0</v>
      </c>
      <c r="CM24" s="90"/>
      <c r="CN24" s="90"/>
      <c r="CO24" s="90"/>
      <c r="CP24" s="116"/>
      <c r="CQ24" s="16">
        <f t="shared" si="18"/>
        <v>0</v>
      </c>
      <c r="CR24" s="90"/>
      <c r="CS24" s="90"/>
      <c r="CT24" s="90"/>
      <c r="CU24" s="116"/>
      <c r="CV24" s="16">
        <f t="shared" si="19"/>
        <v>0</v>
      </c>
      <c r="CW24" s="90"/>
      <c r="CX24" s="90"/>
      <c r="CY24" s="90"/>
      <c r="CZ24" s="116"/>
      <c r="DA24" s="16">
        <f t="shared" si="20"/>
        <v>0</v>
      </c>
      <c r="DB24" s="90"/>
      <c r="DC24" s="90"/>
      <c r="DD24" s="90"/>
      <c r="DE24" s="116"/>
      <c r="DF24" s="16">
        <f t="shared" si="21"/>
        <v>0</v>
      </c>
      <c r="DG24" s="90"/>
      <c r="DH24" s="90"/>
      <c r="DI24" s="90"/>
      <c r="DJ24" s="116"/>
      <c r="DK24" s="16">
        <f t="shared" si="22"/>
        <v>0</v>
      </c>
      <c r="DL24" s="90"/>
      <c r="DM24" s="90"/>
      <c r="DN24" s="90"/>
      <c r="DO24" s="116"/>
      <c r="DP24" s="16">
        <f t="shared" si="23"/>
        <v>0</v>
      </c>
      <c r="DQ24" s="90"/>
      <c r="DR24" s="90"/>
      <c r="DS24" s="90"/>
      <c r="DT24" s="116"/>
      <c r="DU24" s="16">
        <f t="shared" si="24"/>
        <v>0</v>
      </c>
      <c r="DV24" s="90"/>
      <c r="DW24" s="90"/>
      <c r="DX24" s="90"/>
      <c r="DY24" s="116"/>
      <c r="DZ24" s="16">
        <f t="shared" si="25"/>
        <v>0</v>
      </c>
      <c r="EA24" s="90"/>
      <c r="EB24" s="90"/>
      <c r="EC24" s="90"/>
      <c r="ED24" s="116"/>
      <c r="EE24" s="16">
        <f t="shared" si="26"/>
        <v>0</v>
      </c>
      <c r="EF24" s="90"/>
      <c r="EG24" s="90"/>
      <c r="EH24" s="90"/>
      <c r="EI24" s="116"/>
      <c r="EJ24" s="16">
        <f t="shared" si="27"/>
        <v>0</v>
      </c>
      <c r="EK24" s="90"/>
      <c r="EL24" s="90"/>
      <c r="EM24" s="90"/>
      <c r="EN24" s="116"/>
      <c r="EO24" s="16">
        <f t="shared" si="28"/>
        <v>0</v>
      </c>
      <c r="EP24" s="90"/>
      <c r="EQ24" s="90"/>
      <c r="ER24" s="90"/>
      <c r="ES24" s="116"/>
      <c r="ET24" s="16">
        <f t="shared" si="29"/>
        <v>0</v>
      </c>
      <c r="EU24" s="90"/>
      <c r="EV24" s="90"/>
      <c r="EW24" s="90"/>
      <c r="EX24" s="116"/>
      <c r="EY24" s="16">
        <f t="shared" si="30"/>
        <v>0</v>
      </c>
      <c r="EZ24" s="90"/>
      <c r="FA24" s="90"/>
      <c r="FB24" s="90"/>
      <c r="FC24" s="116"/>
      <c r="FD24" s="16">
        <f t="shared" si="31"/>
        <v>0</v>
      </c>
      <c r="FE24" s="90"/>
      <c r="FF24" s="90"/>
      <c r="FG24" s="90"/>
      <c r="FH24" s="116"/>
      <c r="FI24" s="16">
        <f t="shared" si="0"/>
        <v>0</v>
      </c>
      <c r="FJ24" s="90"/>
      <c r="FK24" s="90"/>
      <c r="FL24" s="90"/>
      <c r="FM24" s="116"/>
      <c r="FN24" s="16">
        <f t="shared" si="32"/>
        <v>0</v>
      </c>
      <c r="FO24" s="90"/>
      <c r="FP24" s="90"/>
      <c r="FQ24" s="90"/>
      <c r="FR24" s="116"/>
      <c r="FS24" s="16">
        <f t="shared" si="33"/>
        <v>0</v>
      </c>
      <c r="FT24" s="90"/>
      <c r="FU24" s="90"/>
      <c r="FV24" s="90"/>
      <c r="FW24" s="116"/>
      <c r="FX24" s="16">
        <f t="shared" si="34"/>
        <v>0</v>
      </c>
      <c r="FY24" s="90"/>
      <c r="FZ24" s="90"/>
      <c r="GA24" s="90"/>
      <c r="GB24" s="116"/>
      <c r="GC24" s="16">
        <f t="shared" si="35"/>
        <v>0</v>
      </c>
      <c r="GD24" s="90"/>
      <c r="GE24" s="90"/>
      <c r="GF24" s="90"/>
      <c r="GG24" s="116"/>
      <c r="GH24" s="16">
        <f t="shared" si="36"/>
        <v>0</v>
      </c>
      <c r="GI24" s="90"/>
      <c r="GJ24" s="90"/>
      <c r="GK24" s="90"/>
      <c r="GL24" s="116"/>
      <c r="GM24" s="16">
        <f t="shared" si="37"/>
        <v>0</v>
      </c>
      <c r="GN24" s="90"/>
      <c r="GO24" s="90"/>
      <c r="GP24" s="90"/>
      <c r="GQ24" s="116"/>
      <c r="GR24" s="16">
        <f t="shared" si="38"/>
        <v>0</v>
      </c>
      <c r="GS24" s="90"/>
      <c r="GT24" s="90"/>
      <c r="GU24" s="90"/>
      <c r="GV24" s="116"/>
      <c r="GW24" s="16">
        <f t="shared" si="39"/>
        <v>0</v>
      </c>
      <c r="GX24" s="90"/>
      <c r="GY24" s="90"/>
      <c r="GZ24" s="90"/>
      <c r="HA24" s="116"/>
      <c r="HB24" s="16">
        <f t="shared" si="40"/>
        <v>0</v>
      </c>
      <c r="HC24" s="90"/>
      <c r="HD24" s="90"/>
      <c r="HE24" s="90"/>
      <c r="HF24" s="116"/>
      <c r="HG24" s="16">
        <f t="shared" si="41"/>
        <v>0</v>
      </c>
      <c r="HH24" s="90"/>
      <c r="HI24" s="90"/>
      <c r="HJ24" s="90"/>
      <c r="HK24" s="116"/>
      <c r="HL24" s="16">
        <f t="shared" si="42"/>
        <v>0</v>
      </c>
      <c r="HM24" s="90"/>
      <c r="HN24" s="90"/>
      <c r="HO24" s="90"/>
      <c r="HP24" s="116"/>
      <c r="HQ24" s="16">
        <f t="shared" si="43"/>
        <v>0</v>
      </c>
      <c r="HR24" s="90"/>
      <c r="HS24" s="90"/>
      <c r="HT24" s="90"/>
      <c r="HU24" s="116"/>
      <c r="HV24" s="16">
        <f t="shared" si="44"/>
        <v>0</v>
      </c>
      <c r="HW24" s="90"/>
      <c r="HX24" s="90"/>
      <c r="HY24" s="90"/>
      <c r="HZ24" s="116"/>
      <c r="IA24" s="16">
        <f t="shared" si="45"/>
        <v>0</v>
      </c>
      <c r="IB24" s="90"/>
      <c r="IC24" s="90"/>
      <c r="ID24" s="90"/>
      <c r="IE24" s="116"/>
      <c r="IF24" s="16">
        <f t="shared" si="46"/>
        <v>0</v>
      </c>
      <c r="IG24" s="90"/>
      <c r="IH24" s="90"/>
      <c r="II24" s="90"/>
      <c r="IJ24" s="116"/>
      <c r="IK24" s="16">
        <f t="shared" si="47"/>
        <v>0</v>
      </c>
      <c r="IL24" s="90"/>
      <c r="IM24" s="90"/>
      <c r="IN24" s="90"/>
      <c r="IO24" s="116"/>
      <c r="IP24" s="16">
        <f t="shared" si="48"/>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49"/>
        <v>0</v>
      </c>
      <c r="BD25" s="90"/>
      <c r="BE25" s="90"/>
      <c r="BF25" s="90"/>
      <c r="BG25" s="116"/>
      <c r="BH25" s="16">
        <f t="shared" si="11"/>
        <v>0</v>
      </c>
      <c r="BI25" s="90"/>
      <c r="BJ25" s="90"/>
      <c r="BK25" s="90"/>
      <c r="BL25" s="116"/>
      <c r="BM25" s="16">
        <f t="shared" si="12"/>
        <v>0</v>
      </c>
      <c r="BN25" s="90"/>
      <c r="BO25" s="90"/>
      <c r="BP25" s="90"/>
      <c r="BQ25" s="116"/>
      <c r="BR25" s="16">
        <f t="shared" si="13"/>
        <v>0</v>
      </c>
      <c r="BS25" s="90"/>
      <c r="BT25" s="90"/>
      <c r="BU25" s="90"/>
      <c r="BV25" s="116"/>
      <c r="BW25" s="16">
        <f t="shared" si="14"/>
        <v>0</v>
      </c>
      <c r="BX25" s="90"/>
      <c r="BY25" s="90"/>
      <c r="BZ25" s="90"/>
      <c r="CA25" s="116"/>
      <c r="CB25" s="16">
        <f t="shared" si="15"/>
        <v>0</v>
      </c>
      <c r="CC25" s="90"/>
      <c r="CD25" s="90"/>
      <c r="CE25" s="90"/>
      <c r="CF25" s="116"/>
      <c r="CG25" s="16">
        <f t="shared" si="16"/>
        <v>0</v>
      </c>
      <c r="CH25" s="90"/>
      <c r="CI25" s="90"/>
      <c r="CJ25" s="90"/>
      <c r="CK25" s="116"/>
      <c r="CL25" s="16">
        <f t="shared" si="17"/>
        <v>0</v>
      </c>
      <c r="CM25" s="90"/>
      <c r="CN25" s="90"/>
      <c r="CO25" s="90"/>
      <c r="CP25" s="116"/>
      <c r="CQ25" s="16">
        <f t="shared" si="18"/>
        <v>0</v>
      </c>
      <c r="CR25" s="90"/>
      <c r="CS25" s="90"/>
      <c r="CT25" s="90"/>
      <c r="CU25" s="116"/>
      <c r="CV25" s="16">
        <f t="shared" si="19"/>
        <v>0</v>
      </c>
      <c r="CW25" s="90"/>
      <c r="CX25" s="90"/>
      <c r="CY25" s="90"/>
      <c r="CZ25" s="116"/>
      <c r="DA25" s="16">
        <f t="shared" si="20"/>
        <v>0</v>
      </c>
      <c r="DB25" s="90"/>
      <c r="DC25" s="90"/>
      <c r="DD25" s="90"/>
      <c r="DE25" s="116"/>
      <c r="DF25" s="16">
        <f t="shared" si="21"/>
        <v>0</v>
      </c>
      <c r="DG25" s="90"/>
      <c r="DH25" s="90"/>
      <c r="DI25" s="90"/>
      <c r="DJ25" s="116"/>
      <c r="DK25" s="16">
        <f t="shared" si="22"/>
        <v>0</v>
      </c>
      <c r="DL25" s="90"/>
      <c r="DM25" s="90"/>
      <c r="DN25" s="90"/>
      <c r="DO25" s="116"/>
      <c r="DP25" s="16">
        <f t="shared" si="23"/>
        <v>0</v>
      </c>
      <c r="DQ25" s="90"/>
      <c r="DR25" s="90"/>
      <c r="DS25" s="90"/>
      <c r="DT25" s="116"/>
      <c r="DU25" s="16">
        <f t="shared" si="24"/>
        <v>0</v>
      </c>
      <c r="DV25" s="90"/>
      <c r="DW25" s="90"/>
      <c r="DX25" s="90"/>
      <c r="DY25" s="116"/>
      <c r="DZ25" s="16">
        <f t="shared" si="25"/>
        <v>0</v>
      </c>
      <c r="EA25" s="90"/>
      <c r="EB25" s="90"/>
      <c r="EC25" s="90"/>
      <c r="ED25" s="116"/>
      <c r="EE25" s="16">
        <f t="shared" si="26"/>
        <v>0</v>
      </c>
      <c r="EF25" s="90"/>
      <c r="EG25" s="90"/>
      <c r="EH25" s="90"/>
      <c r="EI25" s="116"/>
      <c r="EJ25" s="16">
        <f t="shared" si="27"/>
        <v>0</v>
      </c>
      <c r="EK25" s="90"/>
      <c r="EL25" s="90"/>
      <c r="EM25" s="90"/>
      <c r="EN25" s="116"/>
      <c r="EO25" s="16">
        <f t="shared" si="28"/>
        <v>0</v>
      </c>
      <c r="EP25" s="90"/>
      <c r="EQ25" s="90"/>
      <c r="ER25" s="90"/>
      <c r="ES25" s="116"/>
      <c r="ET25" s="16">
        <f t="shared" si="29"/>
        <v>0</v>
      </c>
      <c r="EU25" s="90"/>
      <c r="EV25" s="90"/>
      <c r="EW25" s="90"/>
      <c r="EX25" s="116"/>
      <c r="EY25" s="16">
        <f t="shared" si="30"/>
        <v>0</v>
      </c>
      <c r="EZ25" s="90"/>
      <c r="FA25" s="90"/>
      <c r="FB25" s="90"/>
      <c r="FC25" s="116"/>
      <c r="FD25" s="16">
        <f t="shared" si="31"/>
        <v>0</v>
      </c>
      <c r="FE25" s="90"/>
      <c r="FF25" s="90"/>
      <c r="FG25" s="90"/>
      <c r="FH25" s="116"/>
      <c r="FI25" s="16">
        <f t="shared" si="0"/>
        <v>0</v>
      </c>
      <c r="FJ25" s="90"/>
      <c r="FK25" s="90"/>
      <c r="FL25" s="90"/>
      <c r="FM25" s="116"/>
      <c r="FN25" s="16">
        <f t="shared" si="32"/>
        <v>0</v>
      </c>
      <c r="FO25" s="90"/>
      <c r="FP25" s="90"/>
      <c r="FQ25" s="90"/>
      <c r="FR25" s="116"/>
      <c r="FS25" s="16">
        <f t="shared" si="33"/>
        <v>0</v>
      </c>
      <c r="FT25" s="90"/>
      <c r="FU25" s="90"/>
      <c r="FV25" s="90"/>
      <c r="FW25" s="116"/>
      <c r="FX25" s="16">
        <f t="shared" si="34"/>
        <v>0</v>
      </c>
      <c r="FY25" s="90"/>
      <c r="FZ25" s="90"/>
      <c r="GA25" s="90"/>
      <c r="GB25" s="116"/>
      <c r="GC25" s="16">
        <f t="shared" si="35"/>
        <v>0</v>
      </c>
      <c r="GD25" s="90"/>
      <c r="GE25" s="90"/>
      <c r="GF25" s="90"/>
      <c r="GG25" s="116"/>
      <c r="GH25" s="16">
        <f t="shared" si="36"/>
        <v>0</v>
      </c>
      <c r="GI25" s="90"/>
      <c r="GJ25" s="90"/>
      <c r="GK25" s="90"/>
      <c r="GL25" s="116"/>
      <c r="GM25" s="16">
        <f t="shared" si="37"/>
        <v>0</v>
      </c>
      <c r="GN25" s="90"/>
      <c r="GO25" s="90"/>
      <c r="GP25" s="90"/>
      <c r="GQ25" s="116"/>
      <c r="GR25" s="16">
        <f t="shared" si="38"/>
        <v>0</v>
      </c>
      <c r="GS25" s="90"/>
      <c r="GT25" s="90"/>
      <c r="GU25" s="90"/>
      <c r="GV25" s="116"/>
      <c r="GW25" s="16">
        <f t="shared" si="39"/>
        <v>0</v>
      </c>
      <c r="GX25" s="90"/>
      <c r="GY25" s="90"/>
      <c r="GZ25" s="90"/>
      <c r="HA25" s="116"/>
      <c r="HB25" s="16">
        <f t="shared" si="40"/>
        <v>0</v>
      </c>
      <c r="HC25" s="90"/>
      <c r="HD25" s="90"/>
      <c r="HE25" s="90"/>
      <c r="HF25" s="116"/>
      <c r="HG25" s="16">
        <f t="shared" si="41"/>
        <v>0</v>
      </c>
      <c r="HH25" s="90"/>
      <c r="HI25" s="90"/>
      <c r="HJ25" s="90"/>
      <c r="HK25" s="116"/>
      <c r="HL25" s="16">
        <f t="shared" si="42"/>
        <v>0</v>
      </c>
      <c r="HM25" s="90"/>
      <c r="HN25" s="90"/>
      <c r="HO25" s="90"/>
      <c r="HP25" s="116"/>
      <c r="HQ25" s="16">
        <f t="shared" si="43"/>
        <v>0</v>
      </c>
      <c r="HR25" s="90"/>
      <c r="HS25" s="90"/>
      <c r="HT25" s="90"/>
      <c r="HU25" s="116"/>
      <c r="HV25" s="16">
        <f t="shared" si="44"/>
        <v>0</v>
      </c>
      <c r="HW25" s="90"/>
      <c r="HX25" s="90"/>
      <c r="HY25" s="90"/>
      <c r="HZ25" s="116"/>
      <c r="IA25" s="16">
        <f t="shared" si="45"/>
        <v>0</v>
      </c>
      <c r="IB25" s="90"/>
      <c r="IC25" s="90"/>
      <c r="ID25" s="90"/>
      <c r="IE25" s="116"/>
      <c r="IF25" s="16">
        <f t="shared" si="46"/>
        <v>0</v>
      </c>
      <c r="IG25" s="90"/>
      <c r="IH25" s="90"/>
      <c r="II25" s="90"/>
      <c r="IJ25" s="116"/>
      <c r="IK25" s="16">
        <f t="shared" si="47"/>
        <v>0</v>
      </c>
      <c r="IL25" s="90"/>
      <c r="IM25" s="90"/>
      <c r="IN25" s="90"/>
      <c r="IO25" s="116"/>
      <c r="IP25" s="16">
        <f t="shared" si="48"/>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49"/>
        <v>0</v>
      </c>
      <c r="BD26" s="90"/>
      <c r="BE26" s="90"/>
      <c r="BF26" s="90"/>
      <c r="BG26" s="116"/>
      <c r="BH26" s="16">
        <f t="shared" si="11"/>
        <v>0</v>
      </c>
      <c r="BI26" s="90"/>
      <c r="BJ26" s="90"/>
      <c r="BK26" s="90"/>
      <c r="BL26" s="116"/>
      <c r="BM26" s="16">
        <f t="shared" si="12"/>
        <v>0</v>
      </c>
      <c r="BN26" s="90"/>
      <c r="BO26" s="90"/>
      <c r="BP26" s="90"/>
      <c r="BQ26" s="116"/>
      <c r="BR26" s="16">
        <f t="shared" si="13"/>
        <v>0</v>
      </c>
      <c r="BS26" s="90"/>
      <c r="BT26" s="90"/>
      <c r="BU26" s="90"/>
      <c r="BV26" s="116"/>
      <c r="BW26" s="16">
        <f t="shared" si="14"/>
        <v>0</v>
      </c>
      <c r="BX26" s="90"/>
      <c r="BY26" s="90"/>
      <c r="BZ26" s="90"/>
      <c r="CA26" s="116"/>
      <c r="CB26" s="16">
        <f t="shared" si="15"/>
        <v>0</v>
      </c>
      <c r="CC26" s="90"/>
      <c r="CD26" s="90"/>
      <c r="CE26" s="90"/>
      <c r="CF26" s="116"/>
      <c r="CG26" s="16">
        <f t="shared" si="16"/>
        <v>0</v>
      </c>
      <c r="CH26" s="90"/>
      <c r="CI26" s="90"/>
      <c r="CJ26" s="90"/>
      <c r="CK26" s="116"/>
      <c r="CL26" s="16">
        <f t="shared" si="17"/>
        <v>0</v>
      </c>
      <c r="CM26" s="90"/>
      <c r="CN26" s="90"/>
      <c r="CO26" s="90"/>
      <c r="CP26" s="116"/>
      <c r="CQ26" s="16">
        <f t="shared" si="18"/>
        <v>0</v>
      </c>
      <c r="CR26" s="90"/>
      <c r="CS26" s="90"/>
      <c r="CT26" s="90"/>
      <c r="CU26" s="116"/>
      <c r="CV26" s="16">
        <f t="shared" si="19"/>
        <v>0</v>
      </c>
      <c r="CW26" s="90"/>
      <c r="CX26" s="90"/>
      <c r="CY26" s="90"/>
      <c r="CZ26" s="116"/>
      <c r="DA26" s="16">
        <f t="shared" si="20"/>
        <v>0</v>
      </c>
      <c r="DB26" s="90"/>
      <c r="DC26" s="90"/>
      <c r="DD26" s="90"/>
      <c r="DE26" s="116"/>
      <c r="DF26" s="16">
        <f t="shared" si="21"/>
        <v>0</v>
      </c>
      <c r="DG26" s="90"/>
      <c r="DH26" s="90"/>
      <c r="DI26" s="90"/>
      <c r="DJ26" s="116"/>
      <c r="DK26" s="16">
        <f t="shared" si="22"/>
        <v>0</v>
      </c>
      <c r="DL26" s="90"/>
      <c r="DM26" s="90"/>
      <c r="DN26" s="90"/>
      <c r="DO26" s="116"/>
      <c r="DP26" s="16">
        <f t="shared" si="23"/>
        <v>0</v>
      </c>
      <c r="DQ26" s="90"/>
      <c r="DR26" s="90"/>
      <c r="DS26" s="90"/>
      <c r="DT26" s="116"/>
      <c r="DU26" s="16">
        <f t="shared" si="24"/>
        <v>0</v>
      </c>
      <c r="DV26" s="90"/>
      <c r="DW26" s="90"/>
      <c r="DX26" s="90"/>
      <c r="DY26" s="116"/>
      <c r="DZ26" s="16">
        <f t="shared" si="25"/>
        <v>0</v>
      </c>
      <c r="EA26" s="90"/>
      <c r="EB26" s="90"/>
      <c r="EC26" s="90"/>
      <c r="ED26" s="116"/>
      <c r="EE26" s="16">
        <f t="shared" si="26"/>
        <v>0</v>
      </c>
      <c r="EF26" s="90"/>
      <c r="EG26" s="90"/>
      <c r="EH26" s="90"/>
      <c r="EI26" s="116"/>
      <c r="EJ26" s="16">
        <f t="shared" si="27"/>
        <v>0</v>
      </c>
      <c r="EK26" s="90"/>
      <c r="EL26" s="90"/>
      <c r="EM26" s="90"/>
      <c r="EN26" s="116"/>
      <c r="EO26" s="16">
        <f t="shared" si="28"/>
        <v>0</v>
      </c>
      <c r="EP26" s="90"/>
      <c r="EQ26" s="90"/>
      <c r="ER26" s="90"/>
      <c r="ES26" s="116"/>
      <c r="ET26" s="16">
        <f t="shared" si="29"/>
        <v>0</v>
      </c>
      <c r="EU26" s="90"/>
      <c r="EV26" s="90"/>
      <c r="EW26" s="90"/>
      <c r="EX26" s="116"/>
      <c r="EY26" s="16">
        <f t="shared" si="30"/>
        <v>0</v>
      </c>
      <c r="EZ26" s="90"/>
      <c r="FA26" s="90"/>
      <c r="FB26" s="90"/>
      <c r="FC26" s="116"/>
      <c r="FD26" s="16">
        <f t="shared" si="31"/>
        <v>0</v>
      </c>
      <c r="FE26" s="90"/>
      <c r="FF26" s="90"/>
      <c r="FG26" s="90"/>
      <c r="FH26" s="116"/>
      <c r="FI26" s="16">
        <f t="shared" si="0"/>
        <v>0</v>
      </c>
      <c r="FJ26" s="90"/>
      <c r="FK26" s="90"/>
      <c r="FL26" s="90"/>
      <c r="FM26" s="116"/>
      <c r="FN26" s="16">
        <f t="shared" si="32"/>
        <v>0</v>
      </c>
      <c r="FO26" s="90"/>
      <c r="FP26" s="90"/>
      <c r="FQ26" s="90"/>
      <c r="FR26" s="116"/>
      <c r="FS26" s="16">
        <f t="shared" si="33"/>
        <v>0</v>
      </c>
      <c r="FT26" s="90"/>
      <c r="FU26" s="90"/>
      <c r="FV26" s="90"/>
      <c r="FW26" s="116"/>
      <c r="FX26" s="16">
        <f t="shared" si="34"/>
        <v>0</v>
      </c>
      <c r="FY26" s="90"/>
      <c r="FZ26" s="90"/>
      <c r="GA26" s="90"/>
      <c r="GB26" s="116"/>
      <c r="GC26" s="16">
        <f t="shared" si="35"/>
        <v>0</v>
      </c>
      <c r="GD26" s="90"/>
      <c r="GE26" s="90"/>
      <c r="GF26" s="90"/>
      <c r="GG26" s="116"/>
      <c r="GH26" s="16">
        <f t="shared" si="36"/>
        <v>0</v>
      </c>
      <c r="GI26" s="90"/>
      <c r="GJ26" s="90"/>
      <c r="GK26" s="90"/>
      <c r="GL26" s="116"/>
      <c r="GM26" s="16">
        <f t="shared" si="37"/>
        <v>0</v>
      </c>
      <c r="GN26" s="90"/>
      <c r="GO26" s="90"/>
      <c r="GP26" s="90"/>
      <c r="GQ26" s="116"/>
      <c r="GR26" s="16">
        <f t="shared" si="38"/>
        <v>0</v>
      </c>
      <c r="GS26" s="90"/>
      <c r="GT26" s="90"/>
      <c r="GU26" s="90"/>
      <c r="GV26" s="116"/>
      <c r="GW26" s="16">
        <f t="shared" si="39"/>
        <v>0</v>
      </c>
      <c r="GX26" s="90"/>
      <c r="GY26" s="90"/>
      <c r="GZ26" s="90"/>
      <c r="HA26" s="116"/>
      <c r="HB26" s="16">
        <f t="shared" si="40"/>
        <v>0</v>
      </c>
      <c r="HC26" s="90"/>
      <c r="HD26" s="90"/>
      <c r="HE26" s="90"/>
      <c r="HF26" s="116"/>
      <c r="HG26" s="16">
        <f t="shared" si="41"/>
        <v>0</v>
      </c>
      <c r="HH26" s="90"/>
      <c r="HI26" s="90"/>
      <c r="HJ26" s="90"/>
      <c r="HK26" s="116"/>
      <c r="HL26" s="16">
        <f t="shared" si="42"/>
        <v>0</v>
      </c>
      <c r="HM26" s="90"/>
      <c r="HN26" s="90"/>
      <c r="HO26" s="90"/>
      <c r="HP26" s="116"/>
      <c r="HQ26" s="16">
        <f t="shared" si="43"/>
        <v>0</v>
      </c>
      <c r="HR26" s="90"/>
      <c r="HS26" s="90"/>
      <c r="HT26" s="90"/>
      <c r="HU26" s="116"/>
      <c r="HV26" s="16">
        <f t="shared" si="44"/>
        <v>0</v>
      </c>
      <c r="HW26" s="90"/>
      <c r="HX26" s="90"/>
      <c r="HY26" s="90"/>
      <c r="HZ26" s="116"/>
      <c r="IA26" s="16">
        <f t="shared" si="45"/>
        <v>0</v>
      </c>
      <c r="IB26" s="90"/>
      <c r="IC26" s="90"/>
      <c r="ID26" s="90"/>
      <c r="IE26" s="116"/>
      <c r="IF26" s="16">
        <f t="shared" si="46"/>
        <v>0</v>
      </c>
      <c r="IG26" s="90"/>
      <c r="IH26" s="90"/>
      <c r="II26" s="90"/>
      <c r="IJ26" s="116"/>
      <c r="IK26" s="16">
        <f t="shared" si="47"/>
        <v>0</v>
      </c>
      <c r="IL26" s="90"/>
      <c r="IM26" s="90"/>
      <c r="IN26" s="90"/>
      <c r="IO26" s="116"/>
      <c r="IP26" s="16">
        <f t="shared" si="48"/>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49"/>
        <v>0</v>
      </c>
      <c r="BD27" s="90"/>
      <c r="BE27" s="90"/>
      <c r="BF27" s="90"/>
      <c r="BG27" s="116"/>
      <c r="BH27" s="16">
        <f t="shared" si="11"/>
        <v>0</v>
      </c>
      <c r="BI27" s="90"/>
      <c r="BJ27" s="90"/>
      <c r="BK27" s="90"/>
      <c r="BL27" s="116"/>
      <c r="BM27" s="16">
        <f t="shared" si="12"/>
        <v>0</v>
      </c>
      <c r="BN27" s="90"/>
      <c r="BO27" s="90"/>
      <c r="BP27" s="90"/>
      <c r="BQ27" s="116"/>
      <c r="BR27" s="16">
        <f t="shared" si="13"/>
        <v>0</v>
      </c>
      <c r="BS27" s="90"/>
      <c r="BT27" s="90"/>
      <c r="BU27" s="90"/>
      <c r="BV27" s="116"/>
      <c r="BW27" s="16">
        <f t="shared" si="14"/>
        <v>0</v>
      </c>
      <c r="BX27" s="90"/>
      <c r="BY27" s="90"/>
      <c r="BZ27" s="90"/>
      <c r="CA27" s="116"/>
      <c r="CB27" s="16">
        <f t="shared" si="15"/>
        <v>0</v>
      </c>
      <c r="CC27" s="90"/>
      <c r="CD27" s="90"/>
      <c r="CE27" s="90"/>
      <c r="CF27" s="116"/>
      <c r="CG27" s="16">
        <f t="shared" si="16"/>
        <v>0</v>
      </c>
      <c r="CH27" s="90"/>
      <c r="CI27" s="90"/>
      <c r="CJ27" s="90"/>
      <c r="CK27" s="116"/>
      <c r="CL27" s="16">
        <f t="shared" si="17"/>
        <v>0</v>
      </c>
      <c r="CM27" s="90"/>
      <c r="CN27" s="90"/>
      <c r="CO27" s="90"/>
      <c r="CP27" s="116"/>
      <c r="CQ27" s="16">
        <f t="shared" si="18"/>
        <v>0</v>
      </c>
      <c r="CR27" s="90"/>
      <c r="CS27" s="90"/>
      <c r="CT27" s="90"/>
      <c r="CU27" s="116"/>
      <c r="CV27" s="16">
        <f t="shared" si="19"/>
        <v>0</v>
      </c>
      <c r="CW27" s="90"/>
      <c r="CX27" s="90"/>
      <c r="CY27" s="90"/>
      <c r="CZ27" s="116"/>
      <c r="DA27" s="16">
        <f t="shared" si="20"/>
        <v>0</v>
      </c>
      <c r="DB27" s="90"/>
      <c r="DC27" s="90"/>
      <c r="DD27" s="90"/>
      <c r="DE27" s="116"/>
      <c r="DF27" s="16">
        <f t="shared" si="21"/>
        <v>0</v>
      </c>
      <c r="DG27" s="90"/>
      <c r="DH27" s="90"/>
      <c r="DI27" s="90"/>
      <c r="DJ27" s="116"/>
      <c r="DK27" s="16">
        <f t="shared" si="22"/>
        <v>0</v>
      </c>
      <c r="DL27" s="90"/>
      <c r="DM27" s="90"/>
      <c r="DN27" s="90"/>
      <c r="DO27" s="116"/>
      <c r="DP27" s="16">
        <f t="shared" si="23"/>
        <v>0</v>
      </c>
      <c r="DQ27" s="90"/>
      <c r="DR27" s="90"/>
      <c r="DS27" s="90"/>
      <c r="DT27" s="116"/>
      <c r="DU27" s="16">
        <f t="shared" si="24"/>
        <v>0</v>
      </c>
      <c r="DV27" s="90"/>
      <c r="DW27" s="90"/>
      <c r="DX27" s="90"/>
      <c r="DY27" s="116"/>
      <c r="DZ27" s="16">
        <f t="shared" si="25"/>
        <v>0</v>
      </c>
      <c r="EA27" s="90"/>
      <c r="EB27" s="90"/>
      <c r="EC27" s="90"/>
      <c r="ED27" s="116"/>
      <c r="EE27" s="16">
        <f t="shared" si="26"/>
        <v>0</v>
      </c>
      <c r="EF27" s="90"/>
      <c r="EG27" s="90"/>
      <c r="EH27" s="90"/>
      <c r="EI27" s="116"/>
      <c r="EJ27" s="16">
        <f t="shared" si="27"/>
        <v>0</v>
      </c>
      <c r="EK27" s="90"/>
      <c r="EL27" s="90"/>
      <c r="EM27" s="90"/>
      <c r="EN27" s="116"/>
      <c r="EO27" s="16">
        <f t="shared" si="28"/>
        <v>0</v>
      </c>
      <c r="EP27" s="90"/>
      <c r="EQ27" s="90"/>
      <c r="ER27" s="90"/>
      <c r="ES27" s="116"/>
      <c r="ET27" s="16">
        <f t="shared" si="29"/>
        <v>0</v>
      </c>
      <c r="EU27" s="90"/>
      <c r="EV27" s="90"/>
      <c r="EW27" s="90"/>
      <c r="EX27" s="116"/>
      <c r="EY27" s="16">
        <f t="shared" si="30"/>
        <v>0</v>
      </c>
      <c r="EZ27" s="90"/>
      <c r="FA27" s="90"/>
      <c r="FB27" s="90"/>
      <c r="FC27" s="116"/>
      <c r="FD27" s="16">
        <f t="shared" si="31"/>
        <v>0</v>
      </c>
      <c r="FE27" s="90"/>
      <c r="FF27" s="90"/>
      <c r="FG27" s="90"/>
      <c r="FH27" s="116"/>
      <c r="FI27" s="16">
        <f t="shared" si="0"/>
        <v>0</v>
      </c>
      <c r="FJ27" s="90"/>
      <c r="FK27" s="90"/>
      <c r="FL27" s="90"/>
      <c r="FM27" s="116"/>
      <c r="FN27" s="16">
        <f t="shared" si="32"/>
        <v>0</v>
      </c>
      <c r="FO27" s="90"/>
      <c r="FP27" s="90"/>
      <c r="FQ27" s="90"/>
      <c r="FR27" s="116"/>
      <c r="FS27" s="16">
        <f t="shared" si="33"/>
        <v>0</v>
      </c>
      <c r="FT27" s="90"/>
      <c r="FU27" s="90"/>
      <c r="FV27" s="90"/>
      <c r="FW27" s="116"/>
      <c r="FX27" s="16">
        <f t="shared" si="34"/>
        <v>0</v>
      </c>
      <c r="FY27" s="90"/>
      <c r="FZ27" s="90"/>
      <c r="GA27" s="90"/>
      <c r="GB27" s="116"/>
      <c r="GC27" s="16">
        <f t="shared" si="35"/>
        <v>0</v>
      </c>
      <c r="GD27" s="90"/>
      <c r="GE27" s="90"/>
      <c r="GF27" s="90"/>
      <c r="GG27" s="116"/>
      <c r="GH27" s="16">
        <f t="shared" si="36"/>
        <v>0</v>
      </c>
      <c r="GI27" s="90"/>
      <c r="GJ27" s="90"/>
      <c r="GK27" s="90"/>
      <c r="GL27" s="116"/>
      <c r="GM27" s="16">
        <f t="shared" si="37"/>
        <v>0</v>
      </c>
      <c r="GN27" s="90"/>
      <c r="GO27" s="90"/>
      <c r="GP27" s="90"/>
      <c r="GQ27" s="116"/>
      <c r="GR27" s="16">
        <f t="shared" si="38"/>
        <v>0</v>
      </c>
      <c r="GS27" s="90"/>
      <c r="GT27" s="90"/>
      <c r="GU27" s="90"/>
      <c r="GV27" s="116"/>
      <c r="GW27" s="16">
        <f t="shared" si="39"/>
        <v>0</v>
      </c>
      <c r="GX27" s="90"/>
      <c r="GY27" s="90"/>
      <c r="GZ27" s="90"/>
      <c r="HA27" s="116"/>
      <c r="HB27" s="16">
        <f t="shared" si="40"/>
        <v>0</v>
      </c>
      <c r="HC27" s="90"/>
      <c r="HD27" s="90"/>
      <c r="HE27" s="90"/>
      <c r="HF27" s="116"/>
      <c r="HG27" s="16">
        <f t="shared" si="41"/>
        <v>0</v>
      </c>
      <c r="HH27" s="90"/>
      <c r="HI27" s="90"/>
      <c r="HJ27" s="90"/>
      <c r="HK27" s="116"/>
      <c r="HL27" s="16">
        <f t="shared" si="42"/>
        <v>0</v>
      </c>
      <c r="HM27" s="90"/>
      <c r="HN27" s="90"/>
      <c r="HO27" s="90"/>
      <c r="HP27" s="116"/>
      <c r="HQ27" s="16">
        <f t="shared" si="43"/>
        <v>0</v>
      </c>
      <c r="HR27" s="90"/>
      <c r="HS27" s="90"/>
      <c r="HT27" s="90"/>
      <c r="HU27" s="116"/>
      <c r="HV27" s="16">
        <f t="shared" si="44"/>
        <v>0</v>
      </c>
      <c r="HW27" s="90"/>
      <c r="HX27" s="90"/>
      <c r="HY27" s="90"/>
      <c r="HZ27" s="116"/>
      <c r="IA27" s="16">
        <f t="shared" si="45"/>
        <v>0</v>
      </c>
      <c r="IB27" s="90"/>
      <c r="IC27" s="90"/>
      <c r="ID27" s="90"/>
      <c r="IE27" s="116"/>
      <c r="IF27" s="16">
        <f t="shared" si="46"/>
        <v>0</v>
      </c>
      <c r="IG27" s="90"/>
      <c r="IH27" s="90"/>
      <c r="II27" s="90"/>
      <c r="IJ27" s="116"/>
      <c r="IK27" s="16">
        <f t="shared" si="47"/>
        <v>0</v>
      </c>
      <c r="IL27" s="90"/>
      <c r="IM27" s="90"/>
      <c r="IN27" s="90"/>
      <c r="IO27" s="116"/>
      <c r="IP27" s="16">
        <f t="shared" si="48"/>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49"/>
        <v>0</v>
      </c>
      <c r="BD28" s="90"/>
      <c r="BE28" s="90"/>
      <c r="BF28" s="90"/>
      <c r="BG28" s="116"/>
      <c r="BH28" s="16">
        <f t="shared" si="11"/>
        <v>0</v>
      </c>
      <c r="BI28" s="90"/>
      <c r="BJ28" s="90"/>
      <c r="BK28" s="90"/>
      <c r="BL28" s="116"/>
      <c r="BM28" s="16">
        <f t="shared" si="12"/>
        <v>0</v>
      </c>
      <c r="BN28" s="90"/>
      <c r="BO28" s="90"/>
      <c r="BP28" s="90"/>
      <c r="BQ28" s="116"/>
      <c r="BR28" s="16">
        <f t="shared" si="13"/>
        <v>0</v>
      </c>
      <c r="BS28" s="90"/>
      <c r="BT28" s="90"/>
      <c r="BU28" s="90"/>
      <c r="BV28" s="116"/>
      <c r="BW28" s="16">
        <f t="shared" si="14"/>
        <v>0</v>
      </c>
      <c r="BX28" s="90"/>
      <c r="BY28" s="90"/>
      <c r="BZ28" s="90"/>
      <c r="CA28" s="116"/>
      <c r="CB28" s="16">
        <f t="shared" si="15"/>
        <v>0</v>
      </c>
      <c r="CC28" s="90"/>
      <c r="CD28" s="90"/>
      <c r="CE28" s="90"/>
      <c r="CF28" s="116"/>
      <c r="CG28" s="16">
        <f t="shared" si="16"/>
        <v>0</v>
      </c>
      <c r="CH28" s="90"/>
      <c r="CI28" s="90"/>
      <c r="CJ28" s="90"/>
      <c r="CK28" s="116"/>
      <c r="CL28" s="16">
        <f t="shared" si="17"/>
        <v>0</v>
      </c>
      <c r="CM28" s="90"/>
      <c r="CN28" s="90"/>
      <c r="CO28" s="90"/>
      <c r="CP28" s="116"/>
      <c r="CQ28" s="16">
        <f t="shared" si="18"/>
        <v>0</v>
      </c>
      <c r="CR28" s="90"/>
      <c r="CS28" s="90"/>
      <c r="CT28" s="90"/>
      <c r="CU28" s="116"/>
      <c r="CV28" s="16">
        <f t="shared" si="19"/>
        <v>0</v>
      </c>
      <c r="CW28" s="90"/>
      <c r="CX28" s="90"/>
      <c r="CY28" s="90"/>
      <c r="CZ28" s="116"/>
      <c r="DA28" s="16">
        <f t="shared" si="20"/>
        <v>0</v>
      </c>
      <c r="DB28" s="90"/>
      <c r="DC28" s="90"/>
      <c r="DD28" s="90"/>
      <c r="DE28" s="116"/>
      <c r="DF28" s="16">
        <f t="shared" si="21"/>
        <v>0</v>
      </c>
      <c r="DG28" s="90"/>
      <c r="DH28" s="90"/>
      <c r="DI28" s="90"/>
      <c r="DJ28" s="116"/>
      <c r="DK28" s="16">
        <f t="shared" si="22"/>
        <v>0</v>
      </c>
      <c r="DL28" s="90"/>
      <c r="DM28" s="90"/>
      <c r="DN28" s="90"/>
      <c r="DO28" s="116"/>
      <c r="DP28" s="16">
        <f t="shared" si="23"/>
        <v>0</v>
      </c>
      <c r="DQ28" s="90"/>
      <c r="DR28" s="90"/>
      <c r="DS28" s="90"/>
      <c r="DT28" s="116"/>
      <c r="DU28" s="16">
        <f t="shared" si="24"/>
        <v>0</v>
      </c>
      <c r="DV28" s="90"/>
      <c r="DW28" s="90"/>
      <c r="DX28" s="90"/>
      <c r="DY28" s="116"/>
      <c r="DZ28" s="16">
        <f t="shared" si="25"/>
        <v>0</v>
      </c>
      <c r="EA28" s="90"/>
      <c r="EB28" s="90"/>
      <c r="EC28" s="90"/>
      <c r="ED28" s="116"/>
      <c r="EE28" s="16">
        <f t="shared" si="26"/>
        <v>0</v>
      </c>
      <c r="EF28" s="90"/>
      <c r="EG28" s="90"/>
      <c r="EH28" s="90"/>
      <c r="EI28" s="116"/>
      <c r="EJ28" s="16">
        <f t="shared" si="27"/>
        <v>0</v>
      </c>
      <c r="EK28" s="90"/>
      <c r="EL28" s="90"/>
      <c r="EM28" s="90"/>
      <c r="EN28" s="116"/>
      <c r="EO28" s="16">
        <f t="shared" si="28"/>
        <v>0</v>
      </c>
      <c r="EP28" s="90"/>
      <c r="EQ28" s="90"/>
      <c r="ER28" s="90"/>
      <c r="ES28" s="116"/>
      <c r="ET28" s="16">
        <f t="shared" si="29"/>
        <v>0</v>
      </c>
      <c r="EU28" s="90"/>
      <c r="EV28" s="90"/>
      <c r="EW28" s="90"/>
      <c r="EX28" s="116"/>
      <c r="EY28" s="16">
        <f t="shared" si="30"/>
        <v>0</v>
      </c>
      <c r="EZ28" s="90"/>
      <c r="FA28" s="90"/>
      <c r="FB28" s="90"/>
      <c r="FC28" s="116"/>
      <c r="FD28" s="16">
        <f t="shared" si="31"/>
        <v>0</v>
      </c>
      <c r="FE28" s="90"/>
      <c r="FF28" s="90"/>
      <c r="FG28" s="90"/>
      <c r="FH28" s="116"/>
      <c r="FI28" s="16">
        <f t="shared" si="0"/>
        <v>0</v>
      </c>
      <c r="FJ28" s="90"/>
      <c r="FK28" s="90"/>
      <c r="FL28" s="90"/>
      <c r="FM28" s="116"/>
      <c r="FN28" s="16">
        <f t="shared" si="32"/>
        <v>0</v>
      </c>
      <c r="FO28" s="90"/>
      <c r="FP28" s="90"/>
      <c r="FQ28" s="90"/>
      <c r="FR28" s="116"/>
      <c r="FS28" s="16">
        <f t="shared" si="33"/>
        <v>0</v>
      </c>
      <c r="FT28" s="90"/>
      <c r="FU28" s="90"/>
      <c r="FV28" s="90"/>
      <c r="FW28" s="116"/>
      <c r="FX28" s="16">
        <f t="shared" si="34"/>
        <v>0</v>
      </c>
      <c r="FY28" s="90"/>
      <c r="FZ28" s="90"/>
      <c r="GA28" s="90"/>
      <c r="GB28" s="116"/>
      <c r="GC28" s="16">
        <f t="shared" si="35"/>
        <v>0</v>
      </c>
      <c r="GD28" s="90"/>
      <c r="GE28" s="90"/>
      <c r="GF28" s="90"/>
      <c r="GG28" s="116"/>
      <c r="GH28" s="16">
        <f t="shared" si="36"/>
        <v>0</v>
      </c>
      <c r="GI28" s="90"/>
      <c r="GJ28" s="90"/>
      <c r="GK28" s="90"/>
      <c r="GL28" s="116"/>
      <c r="GM28" s="16">
        <f t="shared" si="37"/>
        <v>0</v>
      </c>
      <c r="GN28" s="90"/>
      <c r="GO28" s="90"/>
      <c r="GP28" s="90"/>
      <c r="GQ28" s="116"/>
      <c r="GR28" s="16">
        <f t="shared" si="38"/>
        <v>0</v>
      </c>
      <c r="GS28" s="90"/>
      <c r="GT28" s="90"/>
      <c r="GU28" s="90"/>
      <c r="GV28" s="116"/>
      <c r="GW28" s="16">
        <f t="shared" si="39"/>
        <v>0</v>
      </c>
      <c r="GX28" s="90"/>
      <c r="GY28" s="90"/>
      <c r="GZ28" s="90"/>
      <c r="HA28" s="116"/>
      <c r="HB28" s="16">
        <f t="shared" si="40"/>
        <v>0</v>
      </c>
      <c r="HC28" s="90"/>
      <c r="HD28" s="90"/>
      <c r="HE28" s="90"/>
      <c r="HF28" s="116"/>
      <c r="HG28" s="16">
        <f t="shared" si="41"/>
        <v>0</v>
      </c>
      <c r="HH28" s="90"/>
      <c r="HI28" s="90"/>
      <c r="HJ28" s="90"/>
      <c r="HK28" s="116"/>
      <c r="HL28" s="16">
        <f t="shared" si="42"/>
        <v>0</v>
      </c>
      <c r="HM28" s="90"/>
      <c r="HN28" s="90"/>
      <c r="HO28" s="90"/>
      <c r="HP28" s="116"/>
      <c r="HQ28" s="16">
        <f t="shared" si="43"/>
        <v>0</v>
      </c>
      <c r="HR28" s="90"/>
      <c r="HS28" s="90"/>
      <c r="HT28" s="90"/>
      <c r="HU28" s="116"/>
      <c r="HV28" s="16">
        <f t="shared" si="44"/>
        <v>0</v>
      </c>
      <c r="HW28" s="90"/>
      <c r="HX28" s="90"/>
      <c r="HY28" s="90"/>
      <c r="HZ28" s="116"/>
      <c r="IA28" s="16">
        <f t="shared" si="45"/>
        <v>0</v>
      </c>
      <c r="IB28" s="90"/>
      <c r="IC28" s="90"/>
      <c r="ID28" s="90"/>
      <c r="IE28" s="116"/>
      <c r="IF28" s="16">
        <f t="shared" si="46"/>
        <v>0</v>
      </c>
      <c r="IG28" s="90"/>
      <c r="IH28" s="90"/>
      <c r="II28" s="90"/>
      <c r="IJ28" s="116"/>
      <c r="IK28" s="16">
        <f t="shared" si="47"/>
        <v>0</v>
      </c>
      <c r="IL28" s="90"/>
      <c r="IM28" s="90"/>
      <c r="IN28" s="90"/>
      <c r="IO28" s="116"/>
      <c r="IP28" s="16">
        <f t="shared" si="48"/>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49"/>
        <v>0</v>
      </c>
      <c r="BD29" s="90"/>
      <c r="BE29" s="90"/>
      <c r="BF29" s="90"/>
      <c r="BG29" s="116"/>
      <c r="BH29" s="16">
        <f t="shared" si="11"/>
        <v>0</v>
      </c>
      <c r="BI29" s="90"/>
      <c r="BJ29" s="90"/>
      <c r="BK29" s="90"/>
      <c r="BL29" s="116"/>
      <c r="BM29" s="16">
        <f t="shared" si="12"/>
        <v>0</v>
      </c>
      <c r="BN29" s="90"/>
      <c r="BO29" s="90"/>
      <c r="BP29" s="90"/>
      <c r="BQ29" s="116"/>
      <c r="BR29" s="16">
        <f t="shared" si="13"/>
        <v>0</v>
      </c>
      <c r="BS29" s="90"/>
      <c r="BT29" s="90"/>
      <c r="BU29" s="90"/>
      <c r="BV29" s="116"/>
      <c r="BW29" s="16">
        <f t="shared" si="14"/>
        <v>0</v>
      </c>
      <c r="BX29" s="90"/>
      <c r="BY29" s="90"/>
      <c r="BZ29" s="90"/>
      <c r="CA29" s="116"/>
      <c r="CB29" s="16">
        <f t="shared" si="15"/>
        <v>0</v>
      </c>
      <c r="CC29" s="90"/>
      <c r="CD29" s="90"/>
      <c r="CE29" s="90"/>
      <c r="CF29" s="116"/>
      <c r="CG29" s="16">
        <f t="shared" si="16"/>
        <v>0</v>
      </c>
      <c r="CH29" s="90"/>
      <c r="CI29" s="90"/>
      <c r="CJ29" s="90"/>
      <c r="CK29" s="116"/>
      <c r="CL29" s="16">
        <f t="shared" si="17"/>
        <v>0</v>
      </c>
      <c r="CM29" s="90"/>
      <c r="CN29" s="90"/>
      <c r="CO29" s="90"/>
      <c r="CP29" s="116"/>
      <c r="CQ29" s="16">
        <f t="shared" si="18"/>
        <v>0</v>
      </c>
      <c r="CR29" s="90"/>
      <c r="CS29" s="90"/>
      <c r="CT29" s="90"/>
      <c r="CU29" s="116"/>
      <c r="CV29" s="16">
        <f t="shared" si="19"/>
        <v>0</v>
      </c>
      <c r="CW29" s="90"/>
      <c r="CX29" s="90"/>
      <c r="CY29" s="90"/>
      <c r="CZ29" s="116"/>
      <c r="DA29" s="16">
        <f t="shared" si="20"/>
        <v>0</v>
      </c>
      <c r="DB29" s="90"/>
      <c r="DC29" s="90"/>
      <c r="DD29" s="90"/>
      <c r="DE29" s="116"/>
      <c r="DF29" s="16">
        <f t="shared" si="21"/>
        <v>0</v>
      </c>
      <c r="DG29" s="90"/>
      <c r="DH29" s="90"/>
      <c r="DI29" s="90"/>
      <c r="DJ29" s="116"/>
      <c r="DK29" s="16">
        <f t="shared" si="22"/>
        <v>0</v>
      </c>
      <c r="DL29" s="90"/>
      <c r="DM29" s="90"/>
      <c r="DN29" s="90"/>
      <c r="DO29" s="116"/>
      <c r="DP29" s="16">
        <f t="shared" si="23"/>
        <v>0</v>
      </c>
      <c r="DQ29" s="90"/>
      <c r="DR29" s="90"/>
      <c r="DS29" s="90"/>
      <c r="DT29" s="116"/>
      <c r="DU29" s="16">
        <f t="shared" si="24"/>
        <v>0</v>
      </c>
      <c r="DV29" s="90"/>
      <c r="DW29" s="90"/>
      <c r="DX29" s="90"/>
      <c r="DY29" s="116"/>
      <c r="DZ29" s="16">
        <f t="shared" si="25"/>
        <v>0</v>
      </c>
      <c r="EA29" s="90"/>
      <c r="EB29" s="90"/>
      <c r="EC29" s="90"/>
      <c r="ED29" s="116"/>
      <c r="EE29" s="16">
        <f t="shared" si="26"/>
        <v>0</v>
      </c>
      <c r="EF29" s="90"/>
      <c r="EG29" s="90"/>
      <c r="EH29" s="90"/>
      <c r="EI29" s="116"/>
      <c r="EJ29" s="16">
        <f t="shared" si="27"/>
        <v>0</v>
      </c>
      <c r="EK29" s="90"/>
      <c r="EL29" s="90"/>
      <c r="EM29" s="90"/>
      <c r="EN29" s="116"/>
      <c r="EO29" s="16">
        <f t="shared" si="28"/>
        <v>0</v>
      </c>
      <c r="EP29" s="90"/>
      <c r="EQ29" s="90"/>
      <c r="ER29" s="90"/>
      <c r="ES29" s="116"/>
      <c r="ET29" s="16">
        <f t="shared" si="29"/>
        <v>0</v>
      </c>
      <c r="EU29" s="90"/>
      <c r="EV29" s="90"/>
      <c r="EW29" s="90"/>
      <c r="EX29" s="116"/>
      <c r="EY29" s="16">
        <f t="shared" si="30"/>
        <v>0</v>
      </c>
      <c r="EZ29" s="90"/>
      <c r="FA29" s="90"/>
      <c r="FB29" s="90"/>
      <c r="FC29" s="116"/>
      <c r="FD29" s="16">
        <f t="shared" si="31"/>
        <v>0</v>
      </c>
      <c r="FE29" s="90"/>
      <c r="FF29" s="90"/>
      <c r="FG29" s="90"/>
      <c r="FH29" s="116"/>
      <c r="FI29" s="16">
        <f t="shared" si="0"/>
        <v>0</v>
      </c>
      <c r="FJ29" s="90"/>
      <c r="FK29" s="90"/>
      <c r="FL29" s="90"/>
      <c r="FM29" s="116"/>
      <c r="FN29" s="16">
        <f t="shared" si="32"/>
        <v>0</v>
      </c>
      <c r="FO29" s="90"/>
      <c r="FP29" s="90"/>
      <c r="FQ29" s="90"/>
      <c r="FR29" s="116"/>
      <c r="FS29" s="16">
        <f t="shared" si="33"/>
        <v>0</v>
      </c>
      <c r="FT29" s="90"/>
      <c r="FU29" s="90"/>
      <c r="FV29" s="90"/>
      <c r="FW29" s="116"/>
      <c r="FX29" s="16">
        <f t="shared" si="34"/>
        <v>0</v>
      </c>
      <c r="FY29" s="90"/>
      <c r="FZ29" s="90"/>
      <c r="GA29" s="90"/>
      <c r="GB29" s="116"/>
      <c r="GC29" s="16">
        <f t="shared" si="35"/>
        <v>0</v>
      </c>
      <c r="GD29" s="90"/>
      <c r="GE29" s="90"/>
      <c r="GF29" s="90"/>
      <c r="GG29" s="116"/>
      <c r="GH29" s="16">
        <f t="shared" si="36"/>
        <v>0</v>
      </c>
      <c r="GI29" s="90"/>
      <c r="GJ29" s="90"/>
      <c r="GK29" s="90"/>
      <c r="GL29" s="116"/>
      <c r="GM29" s="16">
        <f t="shared" si="37"/>
        <v>0</v>
      </c>
      <c r="GN29" s="90"/>
      <c r="GO29" s="90"/>
      <c r="GP29" s="90"/>
      <c r="GQ29" s="116"/>
      <c r="GR29" s="16">
        <f t="shared" si="38"/>
        <v>0</v>
      </c>
      <c r="GS29" s="90"/>
      <c r="GT29" s="90"/>
      <c r="GU29" s="90"/>
      <c r="GV29" s="116"/>
      <c r="GW29" s="16">
        <f t="shared" si="39"/>
        <v>0</v>
      </c>
      <c r="GX29" s="90"/>
      <c r="GY29" s="90"/>
      <c r="GZ29" s="90"/>
      <c r="HA29" s="116"/>
      <c r="HB29" s="16">
        <f t="shared" si="40"/>
        <v>0</v>
      </c>
      <c r="HC29" s="90"/>
      <c r="HD29" s="90"/>
      <c r="HE29" s="90"/>
      <c r="HF29" s="116"/>
      <c r="HG29" s="16">
        <f t="shared" si="41"/>
        <v>0</v>
      </c>
      <c r="HH29" s="90"/>
      <c r="HI29" s="90"/>
      <c r="HJ29" s="90"/>
      <c r="HK29" s="116"/>
      <c r="HL29" s="16">
        <f t="shared" si="42"/>
        <v>0</v>
      </c>
      <c r="HM29" s="90"/>
      <c r="HN29" s="90"/>
      <c r="HO29" s="90"/>
      <c r="HP29" s="116"/>
      <c r="HQ29" s="16">
        <f t="shared" si="43"/>
        <v>0</v>
      </c>
      <c r="HR29" s="90"/>
      <c r="HS29" s="90"/>
      <c r="HT29" s="90"/>
      <c r="HU29" s="116"/>
      <c r="HV29" s="16">
        <f t="shared" si="44"/>
        <v>0</v>
      </c>
      <c r="HW29" s="90"/>
      <c r="HX29" s="90"/>
      <c r="HY29" s="90"/>
      <c r="HZ29" s="116"/>
      <c r="IA29" s="16">
        <f t="shared" si="45"/>
        <v>0</v>
      </c>
      <c r="IB29" s="90"/>
      <c r="IC29" s="90"/>
      <c r="ID29" s="90"/>
      <c r="IE29" s="116"/>
      <c r="IF29" s="16">
        <f t="shared" si="46"/>
        <v>0</v>
      </c>
      <c r="IG29" s="90"/>
      <c r="IH29" s="90"/>
      <c r="II29" s="90"/>
      <c r="IJ29" s="116"/>
      <c r="IK29" s="16">
        <f t="shared" si="47"/>
        <v>0</v>
      </c>
      <c r="IL29" s="90"/>
      <c r="IM29" s="90"/>
      <c r="IN29" s="90"/>
      <c r="IO29" s="116"/>
      <c r="IP29" s="16">
        <f t="shared" si="48"/>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49"/>
        <v>0</v>
      </c>
      <c r="BD30" s="90"/>
      <c r="BE30" s="90"/>
      <c r="BF30" s="90"/>
      <c r="BG30" s="116"/>
      <c r="BH30" s="16">
        <f t="shared" si="11"/>
        <v>0</v>
      </c>
      <c r="BI30" s="90"/>
      <c r="BJ30" s="90"/>
      <c r="BK30" s="90"/>
      <c r="BL30" s="116"/>
      <c r="BM30" s="16">
        <f t="shared" si="12"/>
        <v>0</v>
      </c>
      <c r="BN30" s="90"/>
      <c r="BO30" s="90"/>
      <c r="BP30" s="90"/>
      <c r="BQ30" s="116"/>
      <c r="BR30" s="16">
        <f t="shared" si="13"/>
        <v>0</v>
      </c>
      <c r="BS30" s="90"/>
      <c r="BT30" s="90"/>
      <c r="BU30" s="90"/>
      <c r="BV30" s="116"/>
      <c r="BW30" s="16">
        <f t="shared" si="14"/>
        <v>0</v>
      </c>
      <c r="BX30" s="90"/>
      <c r="BY30" s="90"/>
      <c r="BZ30" s="90"/>
      <c r="CA30" s="116"/>
      <c r="CB30" s="16">
        <f t="shared" si="15"/>
        <v>0</v>
      </c>
      <c r="CC30" s="90"/>
      <c r="CD30" s="90"/>
      <c r="CE30" s="90"/>
      <c r="CF30" s="116"/>
      <c r="CG30" s="16">
        <f t="shared" si="16"/>
        <v>0</v>
      </c>
      <c r="CH30" s="90"/>
      <c r="CI30" s="90"/>
      <c r="CJ30" s="90"/>
      <c r="CK30" s="116"/>
      <c r="CL30" s="16">
        <f t="shared" si="17"/>
        <v>0</v>
      </c>
      <c r="CM30" s="90"/>
      <c r="CN30" s="90"/>
      <c r="CO30" s="90"/>
      <c r="CP30" s="116"/>
      <c r="CQ30" s="16">
        <f t="shared" si="18"/>
        <v>0</v>
      </c>
      <c r="CR30" s="90"/>
      <c r="CS30" s="90"/>
      <c r="CT30" s="90"/>
      <c r="CU30" s="116"/>
      <c r="CV30" s="16">
        <f t="shared" si="19"/>
        <v>0</v>
      </c>
      <c r="CW30" s="90"/>
      <c r="CX30" s="90"/>
      <c r="CY30" s="90"/>
      <c r="CZ30" s="116"/>
      <c r="DA30" s="16">
        <f t="shared" si="20"/>
        <v>0</v>
      </c>
      <c r="DB30" s="90"/>
      <c r="DC30" s="90"/>
      <c r="DD30" s="90"/>
      <c r="DE30" s="116"/>
      <c r="DF30" s="16">
        <f t="shared" si="21"/>
        <v>0</v>
      </c>
      <c r="DG30" s="90"/>
      <c r="DH30" s="90"/>
      <c r="DI30" s="90"/>
      <c r="DJ30" s="116"/>
      <c r="DK30" s="16">
        <f t="shared" si="22"/>
        <v>0</v>
      </c>
      <c r="DL30" s="90"/>
      <c r="DM30" s="90"/>
      <c r="DN30" s="90"/>
      <c r="DO30" s="116"/>
      <c r="DP30" s="16">
        <f t="shared" si="23"/>
        <v>0</v>
      </c>
      <c r="DQ30" s="90"/>
      <c r="DR30" s="90"/>
      <c r="DS30" s="90"/>
      <c r="DT30" s="116"/>
      <c r="DU30" s="16">
        <f t="shared" si="24"/>
        <v>0</v>
      </c>
      <c r="DV30" s="90"/>
      <c r="DW30" s="90"/>
      <c r="DX30" s="90"/>
      <c r="DY30" s="116"/>
      <c r="DZ30" s="16">
        <f t="shared" si="25"/>
        <v>0</v>
      </c>
      <c r="EA30" s="90"/>
      <c r="EB30" s="90"/>
      <c r="EC30" s="90"/>
      <c r="ED30" s="116"/>
      <c r="EE30" s="16">
        <f t="shared" si="26"/>
        <v>0</v>
      </c>
      <c r="EF30" s="90"/>
      <c r="EG30" s="90"/>
      <c r="EH30" s="90"/>
      <c r="EI30" s="116"/>
      <c r="EJ30" s="16">
        <f t="shared" si="27"/>
        <v>0</v>
      </c>
      <c r="EK30" s="90"/>
      <c r="EL30" s="90"/>
      <c r="EM30" s="90"/>
      <c r="EN30" s="116"/>
      <c r="EO30" s="16">
        <f t="shared" si="28"/>
        <v>0</v>
      </c>
      <c r="EP30" s="90"/>
      <c r="EQ30" s="90"/>
      <c r="ER30" s="90"/>
      <c r="ES30" s="116"/>
      <c r="ET30" s="16">
        <f t="shared" si="29"/>
        <v>0</v>
      </c>
      <c r="EU30" s="90"/>
      <c r="EV30" s="90"/>
      <c r="EW30" s="90"/>
      <c r="EX30" s="116"/>
      <c r="EY30" s="16">
        <f t="shared" si="30"/>
        <v>0</v>
      </c>
      <c r="EZ30" s="90"/>
      <c r="FA30" s="90"/>
      <c r="FB30" s="90"/>
      <c r="FC30" s="116"/>
      <c r="FD30" s="16">
        <f t="shared" si="31"/>
        <v>0</v>
      </c>
      <c r="FE30" s="90"/>
      <c r="FF30" s="90"/>
      <c r="FG30" s="90"/>
      <c r="FH30" s="116"/>
      <c r="FI30" s="16">
        <f t="shared" si="0"/>
        <v>0</v>
      </c>
      <c r="FJ30" s="90"/>
      <c r="FK30" s="90"/>
      <c r="FL30" s="90"/>
      <c r="FM30" s="116"/>
      <c r="FN30" s="16">
        <f t="shared" si="32"/>
        <v>0</v>
      </c>
      <c r="FO30" s="90"/>
      <c r="FP30" s="90"/>
      <c r="FQ30" s="90"/>
      <c r="FR30" s="116"/>
      <c r="FS30" s="16">
        <f t="shared" si="33"/>
        <v>0</v>
      </c>
      <c r="FT30" s="90"/>
      <c r="FU30" s="90"/>
      <c r="FV30" s="90"/>
      <c r="FW30" s="116"/>
      <c r="FX30" s="16">
        <f t="shared" si="34"/>
        <v>0</v>
      </c>
      <c r="FY30" s="90"/>
      <c r="FZ30" s="90"/>
      <c r="GA30" s="90"/>
      <c r="GB30" s="116"/>
      <c r="GC30" s="16">
        <f t="shared" si="35"/>
        <v>0</v>
      </c>
      <c r="GD30" s="90"/>
      <c r="GE30" s="90"/>
      <c r="GF30" s="90"/>
      <c r="GG30" s="116"/>
      <c r="GH30" s="16">
        <f t="shared" si="36"/>
        <v>0</v>
      </c>
      <c r="GI30" s="90"/>
      <c r="GJ30" s="90"/>
      <c r="GK30" s="90"/>
      <c r="GL30" s="116"/>
      <c r="GM30" s="16">
        <f t="shared" si="37"/>
        <v>0</v>
      </c>
      <c r="GN30" s="90"/>
      <c r="GO30" s="90"/>
      <c r="GP30" s="90"/>
      <c r="GQ30" s="116"/>
      <c r="GR30" s="16">
        <f t="shared" si="38"/>
        <v>0</v>
      </c>
      <c r="GS30" s="90"/>
      <c r="GT30" s="90"/>
      <c r="GU30" s="90"/>
      <c r="GV30" s="116"/>
      <c r="GW30" s="16">
        <f t="shared" si="39"/>
        <v>0</v>
      </c>
      <c r="GX30" s="90"/>
      <c r="GY30" s="90"/>
      <c r="GZ30" s="90"/>
      <c r="HA30" s="116"/>
      <c r="HB30" s="16">
        <f t="shared" si="40"/>
        <v>0</v>
      </c>
      <c r="HC30" s="90"/>
      <c r="HD30" s="90"/>
      <c r="HE30" s="90"/>
      <c r="HF30" s="116"/>
      <c r="HG30" s="16">
        <f t="shared" si="41"/>
        <v>0</v>
      </c>
      <c r="HH30" s="90"/>
      <c r="HI30" s="90"/>
      <c r="HJ30" s="90"/>
      <c r="HK30" s="116"/>
      <c r="HL30" s="16">
        <f t="shared" si="42"/>
        <v>0</v>
      </c>
      <c r="HM30" s="90"/>
      <c r="HN30" s="90"/>
      <c r="HO30" s="90"/>
      <c r="HP30" s="116"/>
      <c r="HQ30" s="16">
        <f t="shared" si="43"/>
        <v>0</v>
      </c>
      <c r="HR30" s="90"/>
      <c r="HS30" s="90"/>
      <c r="HT30" s="90"/>
      <c r="HU30" s="116"/>
      <c r="HV30" s="16">
        <f t="shared" si="44"/>
        <v>0</v>
      </c>
      <c r="HW30" s="90"/>
      <c r="HX30" s="90"/>
      <c r="HY30" s="90"/>
      <c r="HZ30" s="116"/>
      <c r="IA30" s="16">
        <f t="shared" si="45"/>
        <v>0</v>
      </c>
      <c r="IB30" s="90"/>
      <c r="IC30" s="90"/>
      <c r="ID30" s="90"/>
      <c r="IE30" s="116"/>
      <c r="IF30" s="16">
        <f t="shared" si="46"/>
        <v>0</v>
      </c>
      <c r="IG30" s="90"/>
      <c r="IH30" s="90"/>
      <c r="II30" s="90"/>
      <c r="IJ30" s="116"/>
      <c r="IK30" s="16">
        <f t="shared" si="47"/>
        <v>0</v>
      </c>
      <c r="IL30" s="90"/>
      <c r="IM30" s="90"/>
      <c r="IN30" s="90"/>
      <c r="IO30" s="116"/>
      <c r="IP30" s="16">
        <f t="shared" si="48"/>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49"/>
        <v>0</v>
      </c>
      <c r="BD31" s="90"/>
      <c r="BE31" s="90"/>
      <c r="BF31" s="90"/>
      <c r="BG31" s="116"/>
      <c r="BH31" s="16">
        <f t="shared" si="11"/>
        <v>0</v>
      </c>
      <c r="BI31" s="90"/>
      <c r="BJ31" s="90"/>
      <c r="BK31" s="90"/>
      <c r="BL31" s="116"/>
      <c r="BM31" s="16">
        <f t="shared" si="12"/>
        <v>0</v>
      </c>
      <c r="BN31" s="90"/>
      <c r="BO31" s="90"/>
      <c r="BP31" s="90"/>
      <c r="BQ31" s="116"/>
      <c r="BR31" s="16">
        <f t="shared" si="13"/>
        <v>0</v>
      </c>
      <c r="BS31" s="90"/>
      <c r="BT31" s="90"/>
      <c r="BU31" s="90"/>
      <c r="BV31" s="116"/>
      <c r="BW31" s="16">
        <f t="shared" si="14"/>
        <v>0</v>
      </c>
      <c r="BX31" s="90"/>
      <c r="BY31" s="90"/>
      <c r="BZ31" s="90"/>
      <c r="CA31" s="116"/>
      <c r="CB31" s="16">
        <f t="shared" si="15"/>
        <v>0</v>
      </c>
      <c r="CC31" s="90"/>
      <c r="CD31" s="90"/>
      <c r="CE31" s="90"/>
      <c r="CF31" s="116"/>
      <c r="CG31" s="16">
        <f t="shared" si="16"/>
        <v>0</v>
      </c>
      <c r="CH31" s="90"/>
      <c r="CI31" s="90"/>
      <c r="CJ31" s="90"/>
      <c r="CK31" s="116"/>
      <c r="CL31" s="16">
        <f t="shared" si="17"/>
        <v>0</v>
      </c>
      <c r="CM31" s="90"/>
      <c r="CN31" s="90"/>
      <c r="CO31" s="90"/>
      <c r="CP31" s="116"/>
      <c r="CQ31" s="16">
        <f t="shared" si="18"/>
        <v>0</v>
      </c>
      <c r="CR31" s="90"/>
      <c r="CS31" s="90"/>
      <c r="CT31" s="90"/>
      <c r="CU31" s="116"/>
      <c r="CV31" s="16">
        <f t="shared" si="19"/>
        <v>0</v>
      </c>
      <c r="CW31" s="90"/>
      <c r="CX31" s="90"/>
      <c r="CY31" s="90"/>
      <c r="CZ31" s="116"/>
      <c r="DA31" s="16">
        <f t="shared" si="20"/>
        <v>0</v>
      </c>
      <c r="DB31" s="90"/>
      <c r="DC31" s="90"/>
      <c r="DD31" s="90"/>
      <c r="DE31" s="116"/>
      <c r="DF31" s="16">
        <f t="shared" si="21"/>
        <v>0</v>
      </c>
      <c r="DG31" s="90"/>
      <c r="DH31" s="90"/>
      <c r="DI31" s="90"/>
      <c r="DJ31" s="116"/>
      <c r="DK31" s="16">
        <f t="shared" si="22"/>
        <v>0</v>
      </c>
      <c r="DL31" s="90"/>
      <c r="DM31" s="90"/>
      <c r="DN31" s="90"/>
      <c r="DO31" s="116"/>
      <c r="DP31" s="16">
        <f t="shared" si="23"/>
        <v>0</v>
      </c>
      <c r="DQ31" s="90"/>
      <c r="DR31" s="90"/>
      <c r="DS31" s="90"/>
      <c r="DT31" s="116"/>
      <c r="DU31" s="16">
        <f t="shared" si="24"/>
        <v>0</v>
      </c>
      <c r="DV31" s="90"/>
      <c r="DW31" s="90"/>
      <c r="DX31" s="90"/>
      <c r="DY31" s="116"/>
      <c r="DZ31" s="16">
        <f t="shared" si="25"/>
        <v>0</v>
      </c>
      <c r="EA31" s="90"/>
      <c r="EB31" s="90"/>
      <c r="EC31" s="90"/>
      <c r="ED31" s="116"/>
      <c r="EE31" s="16">
        <f t="shared" si="26"/>
        <v>0</v>
      </c>
      <c r="EF31" s="90"/>
      <c r="EG31" s="90"/>
      <c r="EH31" s="90"/>
      <c r="EI31" s="116"/>
      <c r="EJ31" s="16">
        <f t="shared" si="27"/>
        <v>0</v>
      </c>
      <c r="EK31" s="90"/>
      <c r="EL31" s="90"/>
      <c r="EM31" s="90"/>
      <c r="EN31" s="116"/>
      <c r="EO31" s="16">
        <f t="shared" si="28"/>
        <v>0</v>
      </c>
      <c r="EP31" s="90"/>
      <c r="EQ31" s="90"/>
      <c r="ER31" s="90"/>
      <c r="ES31" s="116"/>
      <c r="ET31" s="16">
        <f t="shared" si="29"/>
        <v>0</v>
      </c>
      <c r="EU31" s="90"/>
      <c r="EV31" s="90"/>
      <c r="EW31" s="90"/>
      <c r="EX31" s="116"/>
      <c r="EY31" s="16">
        <f t="shared" si="30"/>
        <v>0</v>
      </c>
      <c r="EZ31" s="90"/>
      <c r="FA31" s="90"/>
      <c r="FB31" s="90"/>
      <c r="FC31" s="116"/>
      <c r="FD31" s="16">
        <f t="shared" si="31"/>
        <v>0</v>
      </c>
      <c r="FE31" s="90"/>
      <c r="FF31" s="90"/>
      <c r="FG31" s="90"/>
      <c r="FH31" s="116"/>
      <c r="FI31" s="16">
        <f t="shared" si="0"/>
        <v>0</v>
      </c>
      <c r="FJ31" s="90"/>
      <c r="FK31" s="90"/>
      <c r="FL31" s="90"/>
      <c r="FM31" s="116"/>
      <c r="FN31" s="16">
        <f t="shared" si="32"/>
        <v>0</v>
      </c>
      <c r="FO31" s="90"/>
      <c r="FP31" s="90"/>
      <c r="FQ31" s="90"/>
      <c r="FR31" s="116"/>
      <c r="FS31" s="16">
        <f t="shared" si="33"/>
        <v>0</v>
      </c>
      <c r="FT31" s="90"/>
      <c r="FU31" s="90"/>
      <c r="FV31" s="90"/>
      <c r="FW31" s="116"/>
      <c r="FX31" s="16">
        <f t="shared" si="34"/>
        <v>0</v>
      </c>
      <c r="FY31" s="90"/>
      <c r="FZ31" s="90"/>
      <c r="GA31" s="90"/>
      <c r="GB31" s="116"/>
      <c r="GC31" s="16">
        <f t="shared" si="35"/>
        <v>0</v>
      </c>
      <c r="GD31" s="90"/>
      <c r="GE31" s="90"/>
      <c r="GF31" s="90"/>
      <c r="GG31" s="116"/>
      <c r="GH31" s="16">
        <f t="shared" si="36"/>
        <v>0</v>
      </c>
      <c r="GI31" s="90"/>
      <c r="GJ31" s="90"/>
      <c r="GK31" s="90"/>
      <c r="GL31" s="116"/>
      <c r="GM31" s="16">
        <f t="shared" si="37"/>
        <v>0</v>
      </c>
      <c r="GN31" s="90"/>
      <c r="GO31" s="90"/>
      <c r="GP31" s="90"/>
      <c r="GQ31" s="116"/>
      <c r="GR31" s="16">
        <f t="shared" si="38"/>
        <v>0</v>
      </c>
      <c r="GS31" s="90"/>
      <c r="GT31" s="90"/>
      <c r="GU31" s="90"/>
      <c r="GV31" s="116"/>
      <c r="GW31" s="16">
        <f t="shared" si="39"/>
        <v>0</v>
      </c>
      <c r="GX31" s="90"/>
      <c r="GY31" s="90"/>
      <c r="GZ31" s="90"/>
      <c r="HA31" s="116"/>
      <c r="HB31" s="16">
        <f t="shared" si="40"/>
        <v>0</v>
      </c>
      <c r="HC31" s="90"/>
      <c r="HD31" s="90"/>
      <c r="HE31" s="90"/>
      <c r="HF31" s="116"/>
      <c r="HG31" s="16">
        <f t="shared" si="41"/>
        <v>0</v>
      </c>
      <c r="HH31" s="90"/>
      <c r="HI31" s="90"/>
      <c r="HJ31" s="90"/>
      <c r="HK31" s="116"/>
      <c r="HL31" s="16">
        <f t="shared" si="42"/>
        <v>0</v>
      </c>
      <c r="HM31" s="90"/>
      <c r="HN31" s="90"/>
      <c r="HO31" s="90"/>
      <c r="HP31" s="116"/>
      <c r="HQ31" s="16">
        <f t="shared" si="43"/>
        <v>0</v>
      </c>
      <c r="HR31" s="90"/>
      <c r="HS31" s="90"/>
      <c r="HT31" s="90"/>
      <c r="HU31" s="116"/>
      <c r="HV31" s="16">
        <f t="shared" si="44"/>
        <v>0</v>
      </c>
      <c r="HW31" s="90"/>
      <c r="HX31" s="90"/>
      <c r="HY31" s="90"/>
      <c r="HZ31" s="116"/>
      <c r="IA31" s="16">
        <f t="shared" si="45"/>
        <v>0</v>
      </c>
      <c r="IB31" s="90"/>
      <c r="IC31" s="90"/>
      <c r="ID31" s="90"/>
      <c r="IE31" s="116"/>
      <c r="IF31" s="16">
        <f t="shared" si="46"/>
        <v>0</v>
      </c>
      <c r="IG31" s="90"/>
      <c r="IH31" s="90"/>
      <c r="II31" s="90"/>
      <c r="IJ31" s="116"/>
      <c r="IK31" s="16">
        <f t="shared" si="47"/>
        <v>0</v>
      </c>
      <c r="IL31" s="90"/>
      <c r="IM31" s="90"/>
      <c r="IN31" s="90"/>
      <c r="IO31" s="116"/>
      <c r="IP31" s="16">
        <f t="shared" si="48"/>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49"/>
        <v>0</v>
      </c>
      <c r="BD32" s="90"/>
      <c r="BE32" s="90"/>
      <c r="BF32" s="90"/>
      <c r="BG32" s="116"/>
      <c r="BH32" s="16">
        <f t="shared" si="11"/>
        <v>0</v>
      </c>
      <c r="BI32" s="90"/>
      <c r="BJ32" s="90"/>
      <c r="BK32" s="90"/>
      <c r="BL32" s="116"/>
      <c r="BM32" s="16">
        <f t="shared" si="12"/>
        <v>0</v>
      </c>
      <c r="BN32" s="90"/>
      <c r="BO32" s="90"/>
      <c r="BP32" s="90"/>
      <c r="BQ32" s="116"/>
      <c r="BR32" s="16">
        <f t="shared" si="13"/>
        <v>0</v>
      </c>
      <c r="BS32" s="90"/>
      <c r="BT32" s="90"/>
      <c r="BU32" s="90"/>
      <c r="BV32" s="116"/>
      <c r="BW32" s="16">
        <f t="shared" si="14"/>
        <v>0</v>
      </c>
      <c r="BX32" s="90"/>
      <c r="BY32" s="90"/>
      <c r="BZ32" s="90"/>
      <c r="CA32" s="116"/>
      <c r="CB32" s="16">
        <f t="shared" si="15"/>
        <v>0</v>
      </c>
      <c r="CC32" s="90"/>
      <c r="CD32" s="90"/>
      <c r="CE32" s="90"/>
      <c r="CF32" s="116"/>
      <c r="CG32" s="16">
        <f t="shared" si="16"/>
        <v>0</v>
      </c>
      <c r="CH32" s="90"/>
      <c r="CI32" s="90"/>
      <c r="CJ32" s="90"/>
      <c r="CK32" s="116"/>
      <c r="CL32" s="16">
        <f t="shared" si="17"/>
        <v>0</v>
      </c>
      <c r="CM32" s="90"/>
      <c r="CN32" s="90"/>
      <c r="CO32" s="90"/>
      <c r="CP32" s="116"/>
      <c r="CQ32" s="16">
        <f t="shared" si="18"/>
        <v>0</v>
      </c>
      <c r="CR32" s="90"/>
      <c r="CS32" s="90"/>
      <c r="CT32" s="90"/>
      <c r="CU32" s="116"/>
      <c r="CV32" s="16">
        <f t="shared" si="19"/>
        <v>0</v>
      </c>
      <c r="CW32" s="90"/>
      <c r="CX32" s="90"/>
      <c r="CY32" s="90"/>
      <c r="CZ32" s="116"/>
      <c r="DA32" s="16">
        <f t="shared" si="20"/>
        <v>0</v>
      </c>
      <c r="DB32" s="90"/>
      <c r="DC32" s="90"/>
      <c r="DD32" s="90"/>
      <c r="DE32" s="116"/>
      <c r="DF32" s="16">
        <f t="shared" si="21"/>
        <v>0</v>
      </c>
      <c r="DG32" s="90"/>
      <c r="DH32" s="90"/>
      <c r="DI32" s="90"/>
      <c r="DJ32" s="116"/>
      <c r="DK32" s="16">
        <f t="shared" si="22"/>
        <v>0</v>
      </c>
      <c r="DL32" s="90"/>
      <c r="DM32" s="90"/>
      <c r="DN32" s="90"/>
      <c r="DO32" s="116"/>
      <c r="DP32" s="16">
        <f t="shared" si="23"/>
        <v>0</v>
      </c>
      <c r="DQ32" s="90"/>
      <c r="DR32" s="90"/>
      <c r="DS32" s="90"/>
      <c r="DT32" s="116"/>
      <c r="DU32" s="16">
        <f t="shared" si="24"/>
        <v>0</v>
      </c>
      <c r="DV32" s="90"/>
      <c r="DW32" s="90"/>
      <c r="DX32" s="90"/>
      <c r="DY32" s="116"/>
      <c r="DZ32" s="16">
        <f t="shared" si="25"/>
        <v>0</v>
      </c>
      <c r="EA32" s="90"/>
      <c r="EB32" s="90"/>
      <c r="EC32" s="90"/>
      <c r="ED32" s="116"/>
      <c r="EE32" s="16">
        <f t="shared" si="26"/>
        <v>0</v>
      </c>
      <c r="EF32" s="90"/>
      <c r="EG32" s="90"/>
      <c r="EH32" s="90"/>
      <c r="EI32" s="116"/>
      <c r="EJ32" s="16">
        <f t="shared" si="27"/>
        <v>0</v>
      </c>
      <c r="EK32" s="90"/>
      <c r="EL32" s="90"/>
      <c r="EM32" s="90"/>
      <c r="EN32" s="116"/>
      <c r="EO32" s="16">
        <f t="shared" si="28"/>
        <v>0</v>
      </c>
      <c r="EP32" s="90"/>
      <c r="EQ32" s="90"/>
      <c r="ER32" s="90"/>
      <c r="ES32" s="116"/>
      <c r="ET32" s="16">
        <f t="shared" si="29"/>
        <v>0</v>
      </c>
      <c r="EU32" s="90"/>
      <c r="EV32" s="90"/>
      <c r="EW32" s="90"/>
      <c r="EX32" s="116"/>
      <c r="EY32" s="16">
        <f t="shared" si="30"/>
        <v>0</v>
      </c>
      <c r="EZ32" s="90"/>
      <c r="FA32" s="90"/>
      <c r="FB32" s="90"/>
      <c r="FC32" s="116"/>
      <c r="FD32" s="16">
        <f t="shared" si="31"/>
        <v>0</v>
      </c>
      <c r="FE32" s="90"/>
      <c r="FF32" s="90"/>
      <c r="FG32" s="90"/>
      <c r="FH32" s="116"/>
      <c r="FI32" s="16">
        <f t="shared" si="0"/>
        <v>0</v>
      </c>
      <c r="FJ32" s="90"/>
      <c r="FK32" s="90"/>
      <c r="FL32" s="90"/>
      <c r="FM32" s="116"/>
      <c r="FN32" s="16">
        <f t="shared" si="32"/>
        <v>0</v>
      </c>
      <c r="FO32" s="90"/>
      <c r="FP32" s="90"/>
      <c r="FQ32" s="90"/>
      <c r="FR32" s="116"/>
      <c r="FS32" s="16">
        <f t="shared" si="33"/>
        <v>0</v>
      </c>
      <c r="FT32" s="90"/>
      <c r="FU32" s="90"/>
      <c r="FV32" s="90"/>
      <c r="FW32" s="116"/>
      <c r="FX32" s="16">
        <f t="shared" si="34"/>
        <v>0</v>
      </c>
      <c r="FY32" s="90"/>
      <c r="FZ32" s="90"/>
      <c r="GA32" s="90"/>
      <c r="GB32" s="116"/>
      <c r="GC32" s="16">
        <f t="shared" si="35"/>
        <v>0</v>
      </c>
      <c r="GD32" s="90"/>
      <c r="GE32" s="90"/>
      <c r="GF32" s="90"/>
      <c r="GG32" s="116"/>
      <c r="GH32" s="16">
        <f t="shared" si="36"/>
        <v>0</v>
      </c>
      <c r="GI32" s="90"/>
      <c r="GJ32" s="90"/>
      <c r="GK32" s="90"/>
      <c r="GL32" s="116"/>
      <c r="GM32" s="16">
        <f t="shared" si="37"/>
        <v>0</v>
      </c>
      <c r="GN32" s="90"/>
      <c r="GO32" s="90"/>
      <c r="GP32" s="90"/>
      <c r="GQ32" s="116"/>
      <c r="GR32" s="16">
        <f t="shared" si="38"/>
        <v>0</v>
      </c>
      <c r="GS32" s="90"/>
      <c r="GT32" s="90"/>
      <c r="GU32" s="90"/>
      <c r="GV32" s="116"/>
      <c r="GW32" s="16">
        <f t="shared" si="39"/>
        <v>0</v>
      </c>
      <c r="GX32" s="90"/>
      <c r="GY32" s="90"/>
      <c r="GZ32" s="90"/>
      <c r="HA32" s="116"/>
      <c r="HB32" s="16">
        <f t="shared" si="40"/>
        <v>0</v>
      </c>
      <c r="HC32" s="90"/>
      <c r="HD32" s="90"/>
      <c r="HE32" s="90"/>
      <c r="HF32" s="116"/>
      <c r="HG32" s="16">
        <f t="shared" si="41"/>
        <v>0</v>
      </c>
      <c r="HH32" s="90"/>
      <c r="HI32" s="90"/>
      <c r="HJ32" s="90"/>
      <c r="HK32" s="116"/>
      <c r="HL32" s="16">
        <f t="shared" si="42"/>
        <v>0</v>
      </c>
      <c r="HM32" s="90"/>
      <c r="HN32" s="90"/>
      <c r="HO32" s="90"/>
      <c r="HP32" s="116"/>
      <c r="HQ32" s="16">
        <f t="shared" si="43"/>
        <v>0</v>
      </c>
      <c r="HR32" s="90"/>
      <c r="HS32" s="90"/>
      <c r="HT32" s="90"/>
      <c r="HU32" s="116"/>
      <c r="HV32" s="16">
        <f t="shared" si="44"/>
        <v>0</v>
      </c>
      <c r="HW32" s="90"/>
      <c r="HX32" s="90"/>
      <c r="HY32" s="90"/>
      <c r="HZ32" s="116"/>
      <c r="IA32" s="16">
        <f t="shared" si="45"/>
        <v>0</v>
      </c>
      <c r="IB32" s="90"/>
      <c r="IC32" s="90"/>
      <c r="ID32" s="90"/>
      <c r="IE32" s="116"/>
      <c r="IF32" s="16">
        <f t="shared" si="46"/>
        <v>0</v>
      </c>
      <c r="IG32" s="90"/>
      <c r="IH32" s="90"/>
      <c r="II32" s="90"/>
      <c r="IJ32" s="116"/>
      <c r="IK32" s="16">
        <f t="shared" si="47"/>
        <v>0</v>
      </c>
      <c r="IL32" s="90"/>
      <c r="IM32" s="90"/>
      <c r="IN32" s="90"/>
      <c r="IO32" s="116"/>
      <c r="IP32" s="16">
        <f t="shared" si="48"/>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49"/>
        <v>0</v>
      </c>
      <c r="BD33" s="90"/>
      <c r="BE33" s="90"/>
      <c r="BF33" s="90"/>
      <c r="BG33" s="116"/>
      <c r="BH33" s="16">
        <f t="shared" si="11"/>
        <v>0</v>
      </c>
      <c r="BI33" s="90"/>
      <c r="BJ33" s="90"/>
      <c r="BK33" s="90"/>
      <c r="BL33" s="116"/>
      <c r="BM33" s="16">
        <f t="shared" si="12"/>
        <v>0</v>
      </c>
      <c r="BN33" s="90"/>
      <c r="BO33" s="90"/>
      <c r="BP33" s="90"/>
      <c r="BQ33" s="116"/>
      <c r="BR33" s="16">
        <f t="shared" si="13"/>
        <v>0</v>
      </c>
      <c r="BS33" s="90"/>
      <c r="BT33" s="90"/>
      <c r="BU33" s="90"/>
      <c r="BV33" s="116"/>
      <c r="BW33" s="16">
        <f t="shared" si="14"/>
        <v>0</v>
      </c>
      <c r="BX33" s="90"/>
      <c r="BY33" s="90"/>
      <c r="BZ33" s="90"/>
      <c r="CA33" s="116"/>
      <c r="CB33" s="16">
        <f t="shared" si="15"/>
        <v>0</v>
      </c>
      <c r="CC33" s="90"/>
      <c r="CD33" s="90"/>
      <c r="CE33" s="90"/>
      <c r="CF33" s="116"/>
      <c r="CG33" s="16">
        <f t="shared" si="16"/>
        <v>0</v>
      </c>
      <c r="CH33" s="90"/>
      <c r="CI33" s="90"/>
      <c r="CJ33" s="90"/>
      <c r="CK33" s="116"/>
      <c r="CL33" s="16">
        <f t="shared" si="17"/>
        <v>0</v>
      </c>
      <c r="CM33" s="90"/>
      <c r="CN33" s="90"/>
      <c r="CO33" s="90"/>
      <c r="CP33" s="116"/>
      <c r="CQ33" s="16">
        <f t="shared" si="18"/>
        <v>0</v>
      </c>
      <c r="CR33" s="90"/>
      <c r="CS33" s="90"/>
      <c r="CT33" s="90"/>
      <c r="CU33" s="116"/>
      <c r="CV33" s="16">
        <f t="shared" si="19"/>
        <v>0</v>
      </c>
      <c r="CW33" s="90"/>
      <c r="CX33" s="90"/>
      <c r="CY33" s="90"/>
      <c r="CZ33" s="116"/>
      <c r="DA33" s="16">
        <f t="shared" si="20"/>
        <v>0</v>
      </c>
      <c r="DB33" s="90"/>
      <c r="DC33" s="90"/>
      <c r="DD33" s="90"/>
      <c r="DE33" s="116"/>
      <c r="DF33" s="16">
        <f t="shared" si="21"/>
        <v>0</v>
      </c>
      <c r="DG33" s="90"/>
      <c r="DH33" s="90"/>
      <c r="DI33" s="90"/>
      <c r="DJ33" s="116"/>
      <c r="DK33" s="16">
        <f t="shared" si="22"/>
        <v>0</v>
      </c>
      <c r="DL33" s="90"/>
      <c r="DM33" s="90"/>
      <c r="DN33" s="90"/>
      <c r="DO33" s="116"/>
      <c r="DP33" s="16">
        <f t="shared" si="23"/>
        <v>0</v>
      </c>
      <c r="DQ33" s="90"/>
      <c r="DR33" s="90"/>
      <c r="DS33" s="90"/>
      <c r="DT33" s="116"/>
      <c r="DU33" s="16">
        <f t="shared" si="24"/>
        <v>0</v>
      </c>
      <c r="DV33" s="90"/>
      <c r="DW33" s="90"/>
      <c r="DX33" s="90"/>
      <c r="DY33" s="116"/>
      <c r="DZ33" s="16">
        <f t="shared" si="25"/>
        <v>0</v>
      </c>
      <c r="EA33" s="90"/>
      <c r="EB33" s="90"/>
      <c r="EC33" s="90"/>
      <c r="ED33" s="116"/>
      <c r="EE33" s="16">
        <f t="shared" si="26"/>
        <v>0</v>
      </c>
      <c r="EF33" s="90"/>
      <c r="EG33" s="90"/>
      <c r="EH33" s="90"/>
      <c r="EI33" s="116"/>
      <c r="EJ33" s="16">
        <f t="shared" si="27"/>
        <v>0</v>
      </c>
      <c r="EK33" s="90"/>
      <c r="EL33" s="90"/>
      <c r="EM33" s="90"/>
      <c r="EN33" s="116"/>
      <c r="EO33" s="16">
        <f t="shared" si="28"/>
        <v>0</v>
      </c>
      <c r="EP33" s="90"/>
      <c r="EQ33" s="90"/>
      <c r="ER33" s="90"/>
      <c r="ES33" s="116"/>
      <c r="ET33" s="16">
        <f t="shared" si="29"/>
        <v>0</v>
      </c>
      <c r="EU33" s="90"/>
      <c r="EV33" s="90"/>
      <c r="EW33" s="90"/>
      <c r="EX33" s="116"/>
      <c r="EY33" s="16">
        <f t="shared" si="30"/>
        <v>0</v>
      </c>
      <c r="EZ33" s="90"/>
      <c r="FA33" s="90"/>
      <c r="FB33" s="90"/>
      <c r="FC33" s="116"/>
      <c r="FD33" s="16">
        <f t="shared" si="31"/>
        <v>0</v>
      </c>
      <c r="FE33" s="90"/>
      <c r="FF33" s="90"/>
      <c r="FG33" s="90"/>
      <c r="FH33" s="116"/>
      <c r="FI33" s="16">
        <f t="shared" si="0"/>
        <v>0</v>
      </c>
      <c r="FJ33" s="90"/>
      <c r="FK33" s="90"/>
      <c r="FL33" s="90"/>
      <c r="FM33" s="116"/>
      <c r="FN33" s="16">
        <f t="shared" si="32"/>
        <v>0</v>
      </c>
      <c r="FO33" s="90"/>
      <c r="FP33" s="90"/>
      <c r="FQ33" s="90"/>
      <c r="FR33" s="116"/>
      <c r="FS33" s="16">
        <f t="shared" si="33"/>
        <v>0</v>
      </c>
      <c r="FT33" s="90"/>
      <c r="FU33" s="90"/>
      <c r="FV33" s="90"/>
      <c r="FW33" s="116"/>
      <c r="FX33" s="16">
        <f t="shared" si="34"/>
        <v>0</v>
      </c>
      <c r="FY33" s="90"/>
      <c r="FZ33" s="90"/>
      <c r="GA33" s="90"/>
      <c r="GB33" s="116"/>
      <c r="GC33" s="16">
        <f t="shared" si="35"/>
        <v>0</v>
      </c>
      <c r="GD33" s="90"/>
      <c r="GE33" s="90"/>
      <c r="GF33" s="90"/>
      <c r="GG33" s="116"/>
      <c r="GH33" s="16">
        <f t="shared" si="36"/>
        <v>0</v>
      </c>
      <c r="GI33" s="90"/>
      <c r="GJ33" s="90"/>
      <c r="GK33" s="90"/>
      <c r="GL33" s="116"/>
      <c r="GM33" s="16">
        <f t="shared" si="37"/>
        <v>0</v>
      </c>
      <c r="GN33" s="90"/>
      <c r="GO33" s="90"/>
      <c r="GP33" s="90"/>
      <c r="GQ33" s="116"/>
      <c r="GR33" s="16">
        <f t="shared" si="38"/>
        <v>0</v>
      </c>
      <c r="GS33" s="90"/>
      <c r="GT33" s="90"/>
      <c r="GU33" s="90"/>
      <c r="GV33" s="116"/>
      <c r="GW33" s="16">
        <f t="shared" si="39"/>
        <v>0</v>
      </c>
      <c r="GX33" s="90"/>
      <c r="GY33" s="90"/>
      <c r="GZ33" s="90"/>
      <c r="HA33" s="116"/>
      <c r="HB33" s="16">
        <f t="shared" si="40"/>
        <v>0</v>
      </c>
      <c r="HC33" s="90"/>
      <c r="HD33" s="90"/>
      <c r="HE33" s="90"/>
      <c r="HF33" s="116"/>
      <c r="HG33" s="16">
        <f t="shared" si="41"/>
        <v>0</v>
      </c>
      <c r="HH33" s="90"/>
      <c r="HI33" s="90"/>
      <c r="HJ33" s="90"/>
      <c r="HK33" s="116"/>
      <c r="HL33" s="16">
        <f t="shared" si="42"/>
        <v>0</v>
      </c>
      <c r="HM33" s="90"/>
      <c r="HN33" s="90"/>
      <c r="HO33" s="90"/>
      <c r="HP33" s="116"/>
      <c r="HQ33" s="16">
        <f t="shared" si="43"/>
        <v>0</v>
      </c>
      <c r="HR33" s="90"/>
      <c r="HS33" s="90"/>
      <c r="HT33" s="90"/>
      <c r="HU33" s="116"/>
      <c r="HV33" s="16">
        <f t="shared" si="44"/>
        <v>0</v>
      </c>
      <c r="HW33" s="90"/>
      <c r="HX33" s="90"/>
      <c r="HY33" s="90"/>
      <c r="HZ33" s="116"/>
      <c r="IA33" s="16">
        <f t="shared" si="45"/>
        <v>0</v>
      </c>
      <c r="IB33" s="90"/>
      <c r="IC33" s="90"/>
      <c r="ID33" s="90"/>
      <c r="IE33" s="116"/>
      <c r="IF33" s="16">
        <f t="shared" si="46"/>
        <v>0</v>
      </c>
      <c r="IG33" s="90"/>
      <c r="IH33" s="90"/>
      <c r="II33" s="90"/>
      <c r="IJ33" s="116"/>
      <c r="IK33" s="16">
        <f t="shared" si="47"/>
        <v>0</v>
      </c>
      <c r="IL33" s="90"/>
      <c r="IM33" s="90"/>
      <c r="IN33" s="90"/>
      <c r="IO33" s="116"/>
      <c r="IP33" s="16">
        <f t="shared" si="48"/>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49"/>
        <v>0</v>
      </c>
      <c r="BD34" s="90"/>
      <c r="BE34" s="90"/>
      <c r="BF34" s="90"/>
      <c r="BG34" s="116"/>
      <c r="BH34" s="16">
        <f t="shared" si="11"/>
        <v>0</v>
      </c>
      <c r="BI34" s="90"/>
      <c r="BJ34" s="90"/>
      <c r="BK34" s="90"/>
      <c r="BL34" s="116"/>
      <c r="BM34" s="16">
        <f t="shared" si="12"/>
        <v>0</v>
      </c>
      <c r="BN34" s="90"/>
      <c r="BO34" s="90"/>
      <c r="BP34" s="90"/>
      <c r="BQ34" s="116"/>
      <c r="BR34" s="16">
        <f t="shared" si="13"/>
        <v>0</v>
      </c>
      <c r="BS34" s="90"/>
      <c r="BT34" s="90"/>
      <c r="BU34" s="90"/>
      <c r="BV34" s="116"/>
      <c r="BW34" s="16">
        <f t="shared" si="14"/>
        <v>0</v>
      </c>
      <c r="BX34" s="90"/>
      <c r="BY34" s="90"/>
      <c r="BZ34" s="90"/>
      <c r="CA34" s="116"/>
      <c r="CB34" s="16">
        <f t="shared" si="15"/>
        <v>0</v>
      </c>
      <c r="CC34" s="90"/>
      <c r="CD34" s="90"/>
      <c r="CE34" s="90"/>
      <c r="CF34" s="116"/>
      <c r="CG34" s="16">
        <f t="shared" si="16"/>
        <v>0</v>
      </c>
      <c r="CH34" s="90"/>
      <c r="CI34" s="90"/>
      <c r="CJ34" s="90"/>
      <c r="CK34" s="116"/>
      <c r="CL34" s="16">
        <f t="shared" si="17"/>
        <v>0</v>
      </c>
      <c r="CM34" s="90"/>
      <c r="CN34" s="90"/>
      <c r="CO34" s="90"/>
      <c r="CP34" s="116"/>
      <c r="CQ34" s="16">
        <f t="shared" si="18"/>
        <v>0</v>
      </c>
      <c r="CR34" s="90"/>
      <c r="CS34" s="90"/>
      <c r="CT34" s="90"/>
      <c r="CU34" s="116"/>
      <c r="CV34" s="16">
        <f t="shared" si="19"/>
        <v>0</v>
      </c>
      <c r="CW34" s="90"/>
      <c r="CX34" s="90"/>
      <c r="CY34" s="90"/>
      <c r="CZ34" s="116"/>
      <c r="DA34" s="16">
        <f t="shared" si="20"/>
        <v>0</v>
      </c>
      <c r="DB34" s="90"/>
      <c r="DC34" s="90"/>
      <c r="DD34" s="90"/>
      <c r="DE34" s="116"/>
      <c r="DF34" s="16">
        <f t="shared" si="21"/>
        <v>0</v>
      </c>
      <c r="DG34" s="90"/>
      <c r="DH34" s="90"/>
      <c r="DI34" s="90"/>
      <c r="DJ34" s="116"/>
      <c r="DK34" s="16">
        <f t="shared" si="22"/>
        <v>0</v>
      </c>
      <c r="DL34" s="90"/>
      <c r="DM34" s="90"/>
      <c r="DN34" s="90"/>
      <c r="DO34" s="116"/>
      <c r="DP34" s="16">
        <f t="shared" si="23"/>
        <v>0</v>
      </c>
      <c r="DQ34" s="90"/>
      <c r="DR34" s="90"/>
      <c r="DS34" s="90"/>
      <c r="DT34" s="116"/>
      <c r="DU34" s="16">
        <f t="shared" si="24"/>
        <v>0</v>
      </c>
      <c r="DV34" s="90"/>
      <c r="DW34" s="90"/>
      <c r="DX34" s="90"/>
      <c r="DY34" s="116"/>
      <c r="DZ34" s="16">
        <f t="shared" si="25"/>
        <v>0</v>
      </c>
      <c r="EA34" s="90"/>
      <c r="EB34" s="90"/>
      <c r="EC34" s="90"/>
      <c r="ED34" s="116"/>
      <c r="EE34" s="16">
        <f t="shared" si="26"/>
        <v>0</v>
      </c>
      <c r="EF34" s="90"/>
      <c r="EG34" s="90"/>
      <c r="EH34" s="90"/>
      <c r="EI34" s="116"/>
      <c r="EJ34" s="16">
        <f t="shared" si="27"/>
        <v>0</v>
      </c>
      <c r="EK34" s="90"/>
      <c r="EL34" s="90"/>
      <c r="EM34" s="90"/>
      <c r="EN34" s="116"/>
      <c r="EO34" s="16">
        <f t="shared" si="28"/>
        <v>0</v>
      </c>
      <c r="EP34" s="90"/>
      <c r="EQ34" s="90"/>
      <c r="ER34" s="90"/>
      <c r="ES34" s="116"/>
      <c r="ET34" s="16">
        <f t="shared" si="29"/>
        <v>0</v>
      </c>
      <c r="EU34" s="90"/>
      <c r="EV34" s="90"/>
      <c r="EW34" s="90"/>
      <c r="EX34" s="116"/>
      <c r="EY34" s="16">
        <f t="shared" si="30"/>
        <v>0</v>
      </c>
      <c r="EZ34" s="90"/>
      <c r="FA34" s="90"/>
      <c r="FB34" s="90"/>
      <c r="FC34" s="116"/>
      <c r="FD34" s="16">
        <f t="shared" si="31"/>
        <v>0</v>
      </c>
      <c r="FE34" s="90"/>
      <c r="FF34" s="90"/>
      <c r="FG34" s="90"/>
      <c r="FH34" s="116"/>
      <c r="FI34" s="16">
        <f t="shared" si="0"/>
        <v>0</v>
      </c>
      <c r="FJ34" s="90"/>
      <c r="FK34" s="90"/>
      <c r="FL34" s="90"/>
      <c r="FM34" s="116"/>
      <c r="FN34" s="16">
        <f t="shared" si="32"/>
        <v>0</v>
      </c>
      <c r="FO34" s="90"/>
      <c r="FP34" s="90"/>
      <c r="FQ34" s="90"/>
      <c r="FR34" s="116"/>
      <c r="FS34" s="16">
        <f t="shared" si="33"/>
        <v>0</v>
      </c>
      <c r="FT34" s="90"/>
      <c r="FU34" s="90"/>
      <c r="FV34" s="90"/>
      <c r="FW34" s="116"/>
      <c r="FX34" s="16">
        <f t="shared" si="34"/>
        <v>0</v>
      </c>
      <c r="FY34" s="90"/>
      <c r="FZ34" s="90"/>
      <c r="GA34" s="90"/>
      <c r="GB34" s="116"/>
      <c r="GC34" s="16">
        <f t="shared" si="35"/>
        <v>0</v>
      </c>
      <c r="GD34" s="90"/>
      <c r="GE34" s="90"/>
      <c r="GF34" s="90"/>
      <c r="GG34" s="116"/>
      <c r="GH34" s="16">
        <f t="shared" si="36"/>
        <v>0</v>
      </c>
      <c r="GI34" s="90"/>
      <c r="GJ34" s="90"/>
      <c r="GK34" s="90"/>
      <c r="GL34" s="116"/>
      <c r="GM34" s="16">
        <f t="shared" si="37"/>
        <v>0</v>
      </c>
      <c r="GN34" s="90"/>
      <c r="GO34" s="90"/>
      <c r="GP34" s="90"/>
      <c r="GQ34" s="116"/>
      <c r="GR34" s="16">
        <f t="shared" si="38"/>
        <v>0</v>
      </c>
      <c r="GS34" s="90"/>
      <c r="GT34" s="90"/>
      <c r="GU34" s="90"/>
      <c r="GV34" s="116"/>
      <c r="GW34" s="16">
        <f t="shared" si="39"/>
        <v>0</v>
      </c>
      <c r="GX34" s="90"/>
      <c r="GY34" s="90"/>
      <c r="GZ34" s="90"/>
      <c r="HA34" s="116"/>
      <c r="HB34" s="16">
        <f t="shared" si="40"/>
        <v>0</v>
      </c>
      <c r="HC34" s="90"/>
      <c r="HD34" s="90"/>
      <c r="HE34" s="90"/>
      <c r="HF34" s="116"/>
      <c r="HG34" s="16">
        <f t="shared" si="41"/>
        <v>0</v>
      </c>
      <c r="HH34" s="90"/>
      <c r="HI34" s="90"/>
      <c r="HJ34" s="90"/>
      <c r="HK34" s="116"/>
      <c r="HL34" s="16">
        <f t="shared" si="42"/>
        <v>0</v>
      </c>
      <c r="HM34" s="90"/>
      <c r="HN34" s="90"/>
      <c r="HO34" s="90"/>
      <c r="HP34" s="116"/>
      <c r="HQ34" s="16">
        <f t="shared" si="43"/>
        <v>0</v>
      </c>
      <c r="HR34" s="90"/>
      <c r="HS34" s="90"/>
      <c r="HT34" s="90"/>
      <c r="HU34" s="116"/>
      <c r="HV34" s="16">
        <f t="shared" si="44"/>
        <v>0</v>
      </c>
      <c r="HW34" s="90"/>
      <c r="HX34" s="90"/>
      <c r="HY34" s="90"/>
      <c r="HZ34" s="116"/>
      <c r="IA34" s="16">
        <f t="shared" si="45"/>
        <v>0</v>
      </c>
      <c r="IB34" s="90"/>
      <c r="IC34" s="90"/>
      <c r="ID34" s="90"/>
      <c r="IE34" s="116"/>
      <c r="IF34" s="16">
        <f t="shared" si="46"/>
        <v>0</v>
      </c>
      <c r="IG34" s="90"/>
      <c r="IH34" s="90"/>
      <c r="II34" s="90"/>
      <c r="IJ34" s="116"/>
      <c r="IK34" s="16">
        <f t="shared" si="47"/>
        <v>0</v>
      </c>
      <c r="IL34" s="90"/>
      <c r="IM34" s="90"/>
      <c r="IN34" s="90"/>
      <c r="IO34" s="116"/>
      <c r="IP34" s="16">
        <f t="shared" si="48"/>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49"/>
        <v>0</v>
      </c>
      <c r="BD35" s="90"/>
      <c r="BE35" s="90"/>
      <c r="BF35" s="90"/>
      <c r="BG35" s="116"/>
      <c r="BH35" s="16">
        <f t="shared" si="11"/>
        <v>0</v>
      </c>
      <c r="BI35" s="90"/>
      <c r="BJ35" s="90"/>
      <c r="BK35" s="90"/>
      <c r="BL35" s="116"/>
      <c r="BM35" s="16">
        <f t="shared" si="12"/>
        <v>0</v>
      </c>
      <c r="BN35" s="90"/>
      <c r="BO35" s="90"/>
      <c r="BP35" s="90"/>
      <c r="BQ35" s="116"/>
      <c r="BR35" s="16">
        <f t="shared" si="13"/>
        <v>0</v>
      </c>
      <c r="BS35" s="90"/>
      <c r="BT35" s="90"/>
      <c r="BU35" s="90"/>
      <c r="BV35" s="116"/>
      <c r="BW35" s="16">
        <f t="shared" si="14"/>
        <v>0</v>
      </c>
      <c r="BX35" s="90"/>
      <c r="BY35" s="90"/>
      <c r="BZ35" s="90"/>
      <c r="CA35" s="116"/>
      <c r="CB35" s="16">
        <f t="shared" si="15"/>
        <v>0</v>
      </c>
      <c r="CC35" s="90"/>
      <c r="CD35" s="90"/>
      <c r="CE35" s="90"/>
      <c r="CF35" s="116"/>
      <c r="CG35" s="16">
        <f t="shared" si="16"/>
        <v>0</v>
      </c>
      <c r="CH35" s="90"/>
      <c r="CI35" s="90"/>
      <c r="CJ35" s="90"/>
      <c r="CK35" s="116"/>
      <c r="CL35" s="16">
        <f t="shared" si="17"/>
        <v>0</v>
      </c>
      <c r="CM35" s="90"/>
      <c r="CN35" s="90"/>
      <c r="CO35" s="90"/>
      <c r="CP35" s="116"/>
      <c r="CQ35" s="16">
        <f t="shared" si="18"/>
        <v>0</v>
      </c>
      <c r="CR35" s="90"/>
      <c r="CS35" s="90"/>
      <c r="CT35" s="90"/>
      <c r="CU35" s="116"/>
      <c r="CV35" s="16">
        <f t="shared" si="19"/>
        <v>0</v>
      </c>
      <c r="CW35" s="90"/>
      <c r="CX35" s="90"/>
      <c r="CY35" s="90"/>
      <c r="CZ35" s="116"/>
      <c r="DA35" s="16">
        <f t="shared" si="20"/>
        <v>0</v>
      </c>
      <c r="DB35" s="90"/>
      <c r="DC35" s="90"/>
      <c r="DD35" s="90"/>
      <c r="DE35" s="116"/>
      <c r="DF35" s="16">
        <f t="shared" si="21"/>
        <v>0</v>
      </c>
      <c r="DG35" s="90"/>
      <c r="DH35" s="90"/>
      <c r="DI35" s="90"/>
      <c r="DJ35" s="116"/>
      <c r="DK35" s="16">
        <f t="shared" si="22"/>
        <v>0</v>
      </c>
      <c r="DL35" s="90"/>
      <c r="DM35" s="90"/>
      <c r="DN35" s="90"/>
      <c r="DO35" s="116"/>
      <c r="DP35" s="16">
        <f t="shared" si="23"/>
        <v>0</v>
      </c>
      <c r="DQ35" s="90"/>
      <c r="DR35" s="90"/>
      <c r="DS35" s="90"/>
      <c r="DT35" s="116"/>
      <c r="DU35" s="16">
        <f t="shared" si="24"/>
        <v>0</v>
      </c>
      <c r="DV35" s="90"/>
      <c r="DW35" s="90"/>
      <c r="DX35" s="90"/>
      <c r="DY35" s="116"/>
      <c r="DZ35" s="16">
        <f t="shared" si="25"/>
        <v>0</v>
      </c>
      <c r="EA35" s="90"/>
      <c r="EB35" s="90"/>
      <c r="EC35" s="90"/>
      <c r="ED35" s="116"/>
      <c r="EE35" s="16">
        <f t="shared" si="26"/>
        <v>0</v>
      </c>
      <c r="EF35" s="90"/>
      <c r="EG35" s="90"/>
      <c r="EH35" s="90"/>
      <c r="EI35" s="116"/>
      <c r="EJ35" s="16">
        <f t="shared" si="27"/>
        <v>0</v>
      </c>
      <c r="EK35" s="90"/>
      <c r="EL35" s="90"/>
      <c r="EM35" s="90"/>
      <c r="EN35" s="116"/>
      <c r="EO35" s="16">
        <f t="shared" si="28"/>
        <v>0</v>
      </c>
      <c r="EP35" s="90"/>
      <c r="EQ35" s="90"/>
      <c r="ER35" s="90"/>
      <c r="ES35" s="116"/>
      <c r="ET35" s="16">
        <f t="shared" si="29"/>
        <v>0</v>
      </c>
      <c r="EU35" s="90"/>
      <c r="EV35" s="90"/>
      <c r="EW35" s="90"/>
      <c r="EX35" s="116"/>
      <c r="EY35" s="16">
        <f t="shared" si="30"/>
        <v>0</v>
      </c>
      <c r="EZ35" s="90"/>
      <c r="FA35" s="90"/>
      <c r="FB35" s="90"/>
      <c r="FC35" s="116"/>
      <c r="FD35" s="16">
        <f t="shared" si="31"/>
        <v>0</v>
      </c>
      <c r="FE35" s="90"/>
      <c r="FF35" s="90"/>
      <c r="FG35" s="90"/>
      <c r="FH35" s="116"/>
      <c r="FI35" s="16">
        <f t="shared" si="0"/>
        <v>0</v>
      </c>
      <c r="FJ35" s="90"/>
      <c r="FK35" s="90"/>
      <c r="FL35" s="90"/>
      <c r="FM35" s="116"/>
      <c r="FN35" s="16">
        <f t="shared" si="32"/>
        <v>0</v>
      </c>
      <c r="FO35" s="90"/>
      <c r="FP35" s="90"/>
      <c r="FQ35" s="90"/>
      <c r="FR35" s="116"/>
      <c r="FS35" s="16">
        <f t="shared" si="33"/>
        <v>0</v>
      </c>
      <c r="FT35" s="90"/>
      <c r="FU35" s="90"/>
      <c r="FV35" s="90"/>
      <c r="FW35" s="116"/>
      <c r="FX35" s="16">
        <f t="shared" si="34"/>
        <v>0</v>
      </c>
      <c r="FY35" s="90"/>
      <c r="FZ35" s="90"/>
      <c r="GA35" s="90"/>
      <c r="GB35" s="116"/>
      <c r="GC35" s="16">
        <f t="shared" si="35"/>
        <v>0</v>
      </c>
      <c r="GD35" s="90"/>
      <c r="GE35" s="90"/>
      <c r="GF35" s="90"/>
      <c r="GG35" s="116"/>
      <c r="GH35" s="16">
        <f t="shared" si="36"/>
        <v>0</v>
      </c>
      <c r="GI35" s="90"/>
      <c r="GJ35" s="90"/>
      <c r="GK35" s="90"/>
      <c r="GL35" s="116"/>
      <c r="GM35" s="16">
        <f t="shared" si="37"/>
        <v>0</v>
      </c>
      <c r="GN35" s="90"/>
      <c r="GO35" s="90"/>
      <c r="GP35" s="90"/>
      <c r="GQ35" s="116"/>
      <c r="GR35" s="16">
        <f t="shared" si="38"/>
        <v>0</v>
      </c>
      <c r="GS35" s="90"/>
      <c r="GT35" s="90"/>
      <c r="GU35" s="90"/>
      <c r="GV35" s="116"/>
      <c r="GW35" s="16">
        <f t="shared" si="39"/>
        <v>0</v>
      </c>
      <c r="GX35" s="90"/>
      <c r="GY35" s="90"/>
      <c r="GZ35" s="90"/>
      <c r="HA35" s="116"/>
      <c r="HB35" s="16">
        <f t="shared" si="40"/>
        <v>0</v>
      </c>
      <c r="HC35" s="90"/>
      <c r="HD35" s="90"/>
      <c r="HE35" s="90"/>
      <c r="HF35" s="116"/>
      <c r="HG35" s="16">
        <f t="shared" si="41"/>
        <v>0</v>
      </c>
      <c r="HH35" s="90"/>
      <c r="HI35" s="90"/>
      <c r="HJ35" s="90"/>
      <c r="HK35" s="116"/>
      <c r="HL35" s="16">
        <f t="shared" si="42"/>
        <v>0</v>
      </c>
      <c r="HM35" s="90"/>
      <c r="HN35" s="90"/>
      <c r="HO35" s="90"/>
      <c r="HP35" s="116"/>
      <c r="HQ35" s="16">
        <f t="shared" si="43"/>
        <v>0</v>
      </c>
      <c r="HR35" s="90"/>
      <c r="HS35" s="90"/>
      <c r="HT35" s="90"/>
      <c r="HU35" s="116"/>
      <c r="HV35" s="16">
        <f t="shared" si="44"/>
        <v>0</v>
      </c>
      <c r="HW35" s="90"/>
      <c r="HX35" s="90"/>
      <c r="HY35" s="90"/>
      <c r="HZ35" s="116"/>
      <c r="IA35" s="16">
        <f t="shared" si="45"/>
        <v>0</v>
      </c>
      <c r="IB35" s="90"/>
      <c r="IC35" s="90"/>
      <c r="ID35" s="90"/>
      <c r="IE35" s="116"/>
      <c r="IF35" s="16">
        <f t="shared" si="46"/>
        <v>0</v>
      </c>
      <c r="IG35" s="90"/>
      <c r="IH35" s="90"/>
      <c r="II35" s="90"/>
      <c r="IJ35" s="116"/>
      <c r="IK35" s="16">
        <f t="shared" si="47"/>
        <v>0</v>
      </c>
      <c r="IL35" s="90"/>
      <c r="IM35" s="90"/>
      <c r="IN35" s="90"/>
      <c r="IO35" s="116"/>
      <c r="IP35" s="16">
        <f t="shared" si="48"/>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49"/>
        <v>0</v>
      </c>
      <c r="BD36" s="90"/>
      <c r="BE36" s="90"/>
      <c r="BF36" s="90"/>
      <c r="BG36" s="116"/>
      <c r="BH36" s="16">
        <f t="shared" si="11"/>
        <v>0</v>
      </c>
      <c r="BI36" s="90"/>
      <c r="BJ36" s="90"/>
      <c r="BK36" s="90"/>
      <c r="BL36" s="116"/>
      <c r="BM36" s="16">
        <f t="shared" si="12"/>
        <v>0</v>
      </c>
      <c r="BN36" s="90"/>
      <c r="BO36" s="90"/>
      <c r="BP36" s="90"/>
      <c r="BQ36" s="116"/>
      <c r="BR36" s="16">
        <f t="shared" si="13"/>
        <v>0</v>
      </c>
      <c r="BS36" s="90"/>
      <c r="BT36" s="90"/>
      <c r="BU36" s="90"/>
      <c r="BV36" s="116"/>
      <c r="BW36" s="16">
        <f t="shared" si="14"/>
        <v>0</v>
      </c>
      <c r="BX36" s="90"/>
      <c r="BY36" s="90"/>
      <c r="BZ36" s="90"/>
      <c r="CA36" s="116"/>
      <c r="CB36" s="16">
        <f t="shared" si="15"/>
        <v>0</v>
      </c>
      <c r="CC36" s="90"/>
      <c r="CD36" s="90"/>
      <c r="CE36" s="90"/>
      <c r="CF36" s="116"/>
      <c r="CG36" s="16">
        <f t="shared" si="16"/>
        <v>0</v>
      </c>
      <c r="CH36" s="90"/>
      <c r="CI36" s="90"/>
      <c r="CJ36" s="90"/>
      <c r="CK36" s="116"/>
      <c r="CL36" s="16">
        <f t="shared" si="17"/>
        <v>0</v>
      </c>
      <c r="CM36" s="90"/>
      <c r="CN36" s="90"/>
      <c r="CO36" s="90"/>
      <c r="CP36" s="116"/>
      <c r="CQ36" s="16">
        <f t="shared" si="18"/>
        <v>0</v>
      </c>
      <c r="CR36" s="90"/>
      <c r="CS36" s="90"/>
      <c r="CT36" s="90"/>
      <c r="CU36" s="116"/>
      <c r="CV36" s="16">
        <f t="shared" si="19"/>
        <v>0</v>
      </c>
      <c r="CW36" s="90"/>
      <c r="CX36" s="90"/>
      <c r="CY36" s="90"/>
      <c r="CZ36" s="116"/>
      <c r="DA36" s="16">
        <f t="shared" si="20"/>
        <v>0</v>
      </c>
      <c r="DB36" s="90"/>
      <c r="DC36" s="90"/>
      <c r="DD36" s="90"/>
      <c r="DE36" s="116"/>
      <c r="DF36" s="16">
        <f t="shared" si="21"/>
        <v>0</v>
      </c>
      <c r="DG36" s="90"/>
      <c r="DH36" s="90"/>
      <c r="DI36" s="90"/>
      <c r="DJ36" s="116"/>
      <c r="DK36" s="16">
        <f t="shared" si="22"/>
        <v>0</v>
      </c>
      <c r="DL36" s="90"/>
      <c r="DM36" s="90"/>
      <c r="DN36" s="90"/>
      <c r="DO36" s="116"/>
      <c r="DP36" s="16">
        <f t="shared" si="23"/>
        <v>0</v>
      </c>
      <c r="DQ36" s="90"/>
      <c r="DR36" s="90"/>
      <c r="DS36" s="90"/>
      <c r="DT36" s="116"/>
      <c r="DU36" s="16">
        <f t="shared" si="24"/>
        <v>0</v>
      </c>
      <c r="DV36" s="90"/>
      <c r="DW36" s="90"/>
      <c r="DX36" s="90"/>
      <c r="DY36" s="116"/>
      <c r="DZ36" s="16">
        <f t="shared" si="25"/>
        <v>0</v>
      </c>
      <c r="EA36" s="90"/>
      <c r="EB36" s="90"/>
      <c r="EC36" s="90"/>
      <c r="ED36" s="116"/>
      <c r="EE36" s="16">
        <f t="shared" si="26"/>
        <v>0</v>
      </c>
      <c r="EF36" s="90"/>
      <c r="EG36" s="90"/>
      <c r="EH36" s="90"/>
      <c r="EI36" s="116"/>
      <c r="EJ36" s="16">
        <f t="shared" si="27"/>
        <v>0</v>
      </c>
      <c r="EK36" s="90"/>
      <c r="EL36" s="90"/>
      <c r="EM36" s="90"/>
      <c r="EN36" s="116"/>
      <c r="EO36" s="16">
        <f t="shared" si="28"/>
        <v>0</v>
      </c>
      <c r="EP36" s="90"/>
      <c r="EQ36" s="90"/>
      <c r="ER36" s="90"/>
      <c r="ES36" s="116"/>
      <c r="ET36" s="16">
        <f t="shared" si="29"/>
        <v>0</v>
      </c>
      <c r="EU36" s="90"/>
      <c r="EV36" s="90"/>
      <c r="EW36" s="90"/>
      <c r="EX36" s="116"/>
      <c r="EY36" s="16">
        <f t="shared" si="30"/>
        <v>0</v>
      </c>
      <c r="EZ36" s="90"/>
      <c r="FA36" s="90"/>
      <c r="FB36" s="90"/>
      <c r="FC36" s="116"/>
      <c r="FD36" s="16">
        <f t="shared" si="31"/>
        <v>0</v>
      </c>
      <c r="FE36" s="90"/>
      <c r="FF36" s="90"/>
      <c r="FG36" s="90"/>
      <c r="FH36" s="116"/>
      <c r="FI36" s="16">
        <f t="shared" si="0"/>
        <v>0</v>
      </c>
      <c r="FJ36" s="90"/>
      <c r="FK36" s="90"/>
      <c r="FL36" s="90"/>
      <c r="FM36" s="116"/>
      <c r="FN36" s="16">
        <f t="shared" si="32"/>
        <v>0</v>
      </c>
      <c r="FO36" s="90"/>
      <c r="FP36" s="90"/>
      <c r="FQ36" s="90"/>
      <c r="FR36" s="116"/>
      <c r="FS36" s="16">
        <f t="shared" si="33"/>
        <v>0</v>
      </c>
      <c r="FT36" s="90"/>
      <c r="FU36" s="90"/>
      <c r="FV36" s="90"/>
      <c r="FW36" s="116"/>
      <c r="FX36" s="16">
        <f t="shared" si="34"/>
        <v>0</v>
      </c>
      <c r="FY36" s="90"/>
      <c r="FZ36" s="90"/>
      <c r="GA36" s="90"/>
      <c r="GB36" s="116"/>
      <c r="GC36" s="16">
        <f t="shared" si="35"/>
        <v>0</v>
      </c>
      <c r="GD36" s="90"/>
      <c r="GE36" s="90"/>
      <c r="GF36" s="90"/>
      <c r="GG36" s="116"/>
      <c r="GH36" s="16">
        <f t="shared" si="36"/>
        <v>0</v>
      </c>
      <c r="GI36" s="90"/>
      <c r="GJ36" s="90"/>
      <c r="GK36" s="90"/>
      <c r="GL36" s="116"/>
      <c r="GM36" s="16">
        <f t="shared" si="37"/>
        <v>0</v>
      </c>
      <c r="GN36" s="90"/>
      <c r="GO36" s="90"/>
      <c r="GP36" s="90"/>
      <c r="GQ36" s="116"/>
      <c r="GR36" s="16">
        <f t="shared" si="38"/>
        <v>0</v>
      </c>
      <c r="GS36" s="90"/>
      <c r="GT36" s="90"/>
      <c r="GU36" s="90"/>
      <c r="GV36" s="116"/>
      <c r="GW36" s="16">
        <f t="shared" si="39"/>
        <v>0</v>
      </c>
      <c r="GX36" s="90"/>
      <c r="GY36" s="90"/>
      <c r="GZ36" s="90"/>
      <c r="HA36" s="116"/>
      <c r="HB36" s="16">
        <f t="shared" si="40"/>
        <v>0</v>
      </c>
      <c r="HC36" s="90"/>
      <c r="HD36" s="90"/>
      <c r="HE36" s="90"/>
      <c r="HF36" s="116"/>
      <c r="HG36" s="16">
        <f t="shared" si="41"/>
        <v>0</v>
      </c>
      <c r="HH36" s="90"/>
      <c r="HI36" s="90"/>
      <c r="HJ36" s="90"/>
      <c r="HK36" s="116"/>
      <c r="HL36" s="16">
        <f t="shared" si="42"/>
        <v>0</v>
      </c>
      <c r="HM36" s="90"/>
      <c r="HN36" s="90"/>
      <c r="HO36" s="90"/>
      <c r="HP36" s="116"/>
      <c r="HQ36" s="16">
        <f t="shared" si="43"/>
        <v>0</v>
      </c>
      <c r="HR36" s="90"/>
      <c r="HS36" s="90"/>
      <c r="HT36" s="90"/>
      <c r="HU36" s="116"/>
      <c r="HV36" s="16">
        <f t="shared" si="44"/>
        <v>0</v>
      </c>
      <c r="HW36" s="90"/>
      <c r="HX36" s="90"/>
      <c r="HY36" s="90"/>
      <c r="HZ36" s="116"/>
      <c r="IA36" s="16">
        <f t="shared" si="45"/>
        <v>0</v>
      </c>
      <c r="IB36" s="90"/>
      <c r="IC36" s="90"/>
      <c r="ID36" s="90"/>
      <c r="IE36" s="116"/>
      <c r="IF36" s="16">
        <f t="shared" si="46"/>
        <v>0</v>
      </c>
      <c r="IG36" s="90"/>
      <c r="IH36" s="90"/>
      <c r="II36" s="90"/>
      <c r="IJ36" s="116"/>
      <c r="IK36" s="16">
        <f t="shared" si="47"/>
        <v>0</v>
      </c>
      <c r="IL36" s="90"/>
      <c r="IM36" s="90"/>
      <c r="IN36" s="90"/>
      <c r="IO36" s="116"/>
      <c r="IP36" s="16">
        <f t="shared" si="48"/>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49"/>
        <v>0</v>
      </c>
      <c r="BD37" s="90"/>
      <c r="BE37" s="90"/>
      <c r="BF37" s="90"/>
      <c r="BG37" s="116"/>
      <c r="BH37" s="16">
        <f t="shared" si="11"/>
        <v>0</v>
      </c>
      <c r="BI37" s="90"/>
      <c r="BJ37" s="90"/>
      <c r="BK37" s="90"/>
      <c r="BL37" s="116"/>
      <c r="BM37" s="16">
        <f t="shared" si="12"/>
        <v>0</v>
      </c>
      <c r="BN37" s="90"/>
      <c r="BO37" s="90"/>
      <c r="BP37" s="90"/>
      <c r="BQ37" s="116"/>
      <c r="BR37" s="16">
        <f t="shared" si="13"/>
        <v>0</v>
      </c>
      <c r="BS37" s="90"/>
      <c r="BT37" s="90"/>
      <c r="BU37" s="90"/>
      <c r="BV37" s="116"/>
      <c r="BW37" s="16">
        <f t="shared" si="14"/>
        <v>0</v>
      </c>
      <c r="BX37" s="90"/>
      <c r="BY37" s="90"/>
      <c r="BZ37" s="90"/>
      <c r="CA37" s="116"/>
      <c r="CB37" s="16">
        <f t="shared" si="15"/>
        <v>0</v>
      </c>
      <c r="CC37" s="90"/>
      <c r="CD37" s="90"/>
      <c r="CE37" s="90"/>
      <c r="CF37" s="116"/>
      <c r="CG37" s="16">
        <f t="shared" si="16"/>
        <v>0</v>
      </c>
      <c r="CH37" s="90"/>
      <c r="CI37" s="90"/>
      <c r="CJ37" s="90"/>
      <c r="CK37" s="116"/>
      <c r="CL37" s="16">
        <f t="shared" si="17"/>
        <v>0</v>
      </c>
      <c r="CM37" s="90"/>
      <c r="CN37" s="90"/>
      <c r="CO37" s="90"/>
      <c r="CP37" s="116"/>
      <c r="CQ37" s="16">
        <f t="shared" si="18"/>
        <v>0</v>
      </c>
      <c r="CR37" s="90"/>
      <c r="CS37" s="90"/>
      <c r="CT37" s="90"/>
      <c r="CU37" s="116"/>
      <c r="CV37" s="16">
        <f t="shared" si="19"/>
        <v>0</v>
      </c>
      <c r="CW37" s="90"/>
      <c r="CX37" s="90"/>
      <c r="CY37" s="90"/>
      <c r="CZ37" s="116"/>
      <c r="DA37" s="16">
        <f t="shared" si="20"/>
        <v>0</v>
      </c>
      <c r="DB37" s="90"/>
      <c r="DC37" s="90"/>
      <c r="DD37" s="90"/>
      <c r="DE37" s="116"/>
      <c r="DF37" s="16">
        <f t="shared" si="21"/>
        <v>0</v>
      </c>
      <c r="DG37" s="90"/>
      <c r="DH37" s="90"/>
      <c r="DI37" s="90"/>
      <c r="DJ37" s="116"/>
      <c r="DK37" s="16">
        <f t="shared" si="22"/>
        <v>0</v>
      </c>
      <c r="DL37" s="90"/>
      <c r="DM37" s="90"/>
      <c r="DN37" s="90"/>
      <c r="DO37" s="116"/>
      <c r="DP37" s="16">
        <f t="shared" si="23"/>
        <v>0</v>
      </c>
      <c r="DQ37" s="90"/>
      <c r="DR37" s="90"/>
      <c r="DS37" s="90"/>
      <c r="DT37" s="116"/>
      <c r="DU37" s="16">
        <f t="shared" si="24"/>
        <v>0</v>
      </c>
      <c r="DV37" s="90"/>
      <c r="DW37" s="90"/>
      <c r="DX37" s="90"/>
      <c r="DY37" s="116"/>
      <c r="DZ37" s="16">
        <f t="shared" si="25"/>
        <v>0</v>
      </c>
      <c r="EA37" s="90"/>
      <c r="EB37" s="90"/>
      <c r="EC37" s="90"/>
      <c r="ED37" s="116"/>
      <c r="EE37" s="16">
        <f t="shared" si="26"/>
        <v>0</v>
      </c>
      <c r="EF37" s="90"/>
      <c r="EG37" s="90"/>
      <c r="EH37" s="90"/>
      <c r="EI37" s="116"/>
      <c r="EJ37" s="16">
        <f t="shared" si="27"/>
        <v>0</v>
      </c>
      <c r="EK37" s="90"/>
      <c r="EL37" s="90"/>
      <c r="EM37" s="90"/>
      <c r="EN37" s="116"/>
      <c r="EO37" s="16">
        <f t="shared" si="28"/>
        <v>0</v>
      </c>
      <c r="EP37" s="90"/>
      <c r="EQ37" s="90"/>
      <c r="ER37" s="90"/>
      <c r="ES37" s="116"/>
      <c r="ET37" s="16">
        <f t="shared" si="29"/>
        <v>0</v>
      </c>
      <c r="EU37" s="90"/>
      <c r="EV37" s="90"/>
      <c r="EW37" s="90"/>
      <c r="EX37" s="116"/>
      <c r="EY37" s="16">
        <f t="shared" si="30"/>
        <v>0</v>
      </c>
      <c r="EZ37" s="90"/>
      <c r="FA37" s="90"/>
      <c r="FB37" s="90"/>
      <c r="FC37" s="116"/>
      <c r="FD37" s="16">
        <f t="shared" si="31"/>
        <v>0</v>
      </c>
      <c r="FE37" s="90"/>
      <c r="FF37" s="90"/>
      <c r="FG37" s="90"/>
      <c r="FH37" s="116"/>
      <c r="FI37" s="16">
        <f t="shared" si="0"/>
        <v>0</v>
      </c>
      <c r="FJ37" s="90"/>
      <c r="FK37" s="90"/>
      <c r="FL37" s="90"/>
      <c r="FM37" s="116"/>
      <c r="FN37" s="16">
        <f t="shared" si="32"/>
        <v>0</v>
      </c>
      <c r="FO37" s="90"/>
      <c r="FP37" s="90"/>
      <c r="FQ37" s="90"/>
      <c r="FR37" s="116"/>
      <c r="FS37" s="16">
        <f t="shared" si="33"/>
        <v>0</v>
      </c>
      <c r="FT37" s="90"/>
      <c r="FU37" s="90"/>
      <c r="FV37" s="90"/>
      <c r="FW37" s="116"/>
      <c r="FX37" s="16">
        <f t="shared" si="34"/>
        <v>0</v>
      </c>
      <c r="FY37" s="90"/>
      <c r="FZ37" s="90"/>
      <c r="GA37" s="90"/>
      <c r="GB37" s="116"/>
      <c r="GC37" s="16">
        <f t="shared" si="35"/>
        <v>0</v>
      </c>
      <c r="GD37" s="90"/>
      <c r="GE37" s="90"/>
      <c r="GF37" s="90"/>
      <c r="GG37" s="116"/>
      <c r="GH37" s="16">
        <f t="shared" si="36"/>
        <v>0</v>
      </c>
      <c r="GI37" s="90"/>
      <c r="GJ37" s="90"/>
      <c r="GK37" s="90"/>
      <c r="GL37" s="116"/>
      <c r="GM37" s="16">
        <f t="shared" si="37"/>
        <v>0</v>
      </c>
      <c r="GN37" s="90"/>
      <c r="GO37" s="90"/>
      <c r="GP37" s="90"/>
      <c r="GQ37" s="116"/>
      <c r="GR37" s="16">
        <f t="shared" si="38"/>
        <v>0</v>
      </c>
      <c r="GS37" s="90"/>
      <c r="GT37" s="90"/>
      <c r="GU37" s="90"/>
      <c r="GV37" s="116"/>
      <c r="GW37" s="16">
        <f t="shared" si="39"/>
        <v>0</v>
      </c>
      <c r="GX37" s="90"/>
      <c r="GY37" s="90"/>
      <c r="GZ37" s="90"/>
      <c r="HA37" s="116"/>
      <c r="HB37" s="16">
        <f t="shared" si="40"/>
        <v>0</v>
      </c>
      <c r="HC37" s="90"/>
      <c r="HD37" s="90"/>
      <c r="HE37" s="90"/>
      <c r="HF37" s="116"/>
      <c r="HG37" s="16">
        <f t="shared" si="41"/>
        <v>0</v>
      </c>
      <c r="HH37" s="90"/>
      <c r="HI37" s="90"/>
      <c r="HJ37" s="90"/>
      <c r="HK37" s="116"/>
      <c r="HL37" s="16">
        <f t="shared" si="42"/>
        <v>0</v>
      </c>
      <c r="HM37" s="90"/>
      <c r="HN37" s="90"/>
      <c r="HO37" s="90"/>
      <c r="HP37" s="116"/>
      <c r="HQ37" s="16">
        <f t="shared" si="43"/>
        <v>0</v>
      </c>
      <c r="HR37" s="90"/>
      <c r="HS37" s="90"/>
      <c r="HT37" s="90"/>
      <c r="HU37" s="116"/>
      <c r="HV37" s="16">
        <f t="shared" si="44"/>
        <v>0</v>
      </c>
      <c r="HW37" s="90"/>
      <c r="HX37" s="90"/>
      <c r="HY37" s="90"/>
      <c r="HZ37" s="116"/>
      <c r="IA37" s="16">
        <f t="shared" si="45"/>
        <v>0</v>
      </c>
      <c r="IB37" s="90"/>
      <c r="IC37" s="90"/>
      <c r="ID37" s="90"/>
      <c r="IE37" s="116"/>
      <c r="IF37" s="16">
        <f t="shared" si="46"/>
        <v>0</v>
      </c>
      <c r="IG37" s="90"/>
      <c r="IH37" s="90"/>
      <c r="II37" s="90"/>
      <c r="IJ37" s="116"/>
      <c r="IK37" s="16">
        <f t="shared" si="47"/>
        <v>0</v>
      </c>
      <c r="IL37" s="90"/>
      <c r="IM37" s="90"/>
      <c r="IN37" s="90"/>
      <c r="IO37" s="116"/>
      <c r="IP37" s="16">
        <f t="shared" si="48"/>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49"/>
        <v>0</v>
      </c>
      <c r="BD38" s="90"/>
      <c r="BE38" s="90"/>
      <c r="BF38" s="90"/>
      <c r="BG38" s="116"/>
      <c r="BH38" s="16">
        <f t="shared" si="11"/>
        <v>0</v>
      </c>
      <c r="BI38" s="90"/>
      <c r="BJ38" s="90"/>
      <c r="BK38" s="90"/>
      <c r="BL38" s="116"/>
      <c r="BM38" s="16">
        <f t="shared" si="12"/>
        <v>0</v>
      </c>
      <c r="BN38" s="90"/>
      <c r="BO38" s="90"/>
      <c r="BP38" s="90"/>
      <c r="BQ38" s="116"/>
      <c r="BR38" s="16">
        <f t="shared" si="13"/>
        <v>0</v>
      </c>
      <c r="BS38" s="90"/>
      <c r="BT38" s="90"/>
      <c r="BU38" s="90"/>
      <c r="BV38" s="116"/>
      <c r="BW38" s="16">
        <f t="shared" si="14"/>
        <v>0</v>
      </c>
      <c r="BX38" s="90"/>
      <c r="BY38" s="90"/>
      <c r="BZ38" s="90"/>
      <c r="CA38" s="116"/>
      <c r="CB38" s="16">
        <f t="shared" si="15"/>
        <v>0</v>
      </c>
      <c r="CC38" s="90"/>
      <c r="CD38" s="90"/>
      <c r="CE38" s="90"/>
      <c r="CF38" s="116"/>
      <c r="CG38" s="16">
        <f t="shared" si="16"/>
        <v>0</v>
      </c>
      <c r="CH38" s="90"/>
      <c r="CI38" s="90"/>
      <c r="CJ38" s="90"/>
      <c r="CK38" s="116"/>
      <c r="CL38" s="16">
        <f t="shared" si="17"/>
        <v>0</v>
      </c>
      <c r="CM38" s="90"/>
      <c r="CN38" s="90"/>
      <c r="CO38" s="90"/>
      <c r="CP38" s="116"/>
      <c r="CQ38" s="16">
        <f t="shared" si="18"/>
        <v>0</v>
      </c>
      <c r="CR38" s="90"/>
      <c r="CS38" s="90"/>
      <c r="CT38" s="90"/>
      <c r="CU38" s="116"/>
      <c r="CV38" s="16">
        <f t="shared" si="19"/>
        <v>0</v>
      </c>
      <c r="CW38" s="90"/>
      <c r="CX38" s="90"/>
      <c r="CY38" s="90"/>
      <c r="CZ38" s="116"/>
      <c r="DA38" s="16">
        <f t="shared" si="20"/>
        <v>0</v>
      </c>
      <c r="DB38" s="90"/>
      <c r="DC38" s="90"/>
      <c r="DD38" s="90"/>
      <c r="DE38" s="116"/>
      <c r="DF38" s="16">
        <f t="shared" si="21"/>
        <v>0</v>
      </c>
      <c r="DG38" s="90"/>
      <c r="DH38" s="90"/>
      <c r="DI38" s="90"/>
      <c r="DJ38" s="116"/>
      <c r="DK38" s="16">
        <f t="shared" si="22"/>
        <v>0</v>
      </c>
      <c r="DL38" s="90"/>
      <c r="DM38" s="90"/>
      <c r="DN38" s="90"/>
      <c r="DO38" s="116"/>
      <c r="DP38" s="16">
        <f t="shared" si="23"/>
        <v>0</v>
      </c>
      <c r="DQ38" s="90"/>
      <c r="DR38" s="90"/>
      <c r="DS38" s="90"/>
      <c r="DT38" s="116"/>
      <c r="DU38" s="16">
        <f t="shared" si="24"/>
        <v>0</v>
      </c>
      <c r="DV38" s="90"/>
      <c r="DW38" s="90"/>
      <c r="DX38" s="90"/>
      <c r="DY38" s="116"/>
      <c r="DZ38" s="16">
        <f t="shared" si="25"/>
        <v>0</v>
      </c>
      <c r="EA38" s="90"/>
      <c r="EB38" s="90"/>
      <c r="EC38" s="90"/>
      <c r="ED38" s="116"/>
      <c r="EE38" s="16">
        <f t="shared" si="26"/>
        <v>0</v>
      </c>
      <c r="EF38" s="90"/>
      <c r="EG38" s="90"/>
      <c r="EH38" s="90"/>
      <c r="EI38" s="116"/>
      <c r="EJ38" s="16">
        <f t="shared" si="27"/>
        <v>0</v>
      </c>
      <c r="EK38" s="90"/>
      <c r="EL38" s="90"/>
      <c r="EM38" s="90"/>
      <c r="EN38" s="116"/>
      <c r="EO38" s="16">
        <f t="shared" si="28"/>
        <v>0</v>
      </c>
      <c r="EP38" s="90"/>
      <c r="EQ38" s="90"/>
      <c r="ER38" s="90"/>
      <c r="ES38" s="116"/>
      <c r="ET38" s="16">
        <f t="shared" si="29"/>
        <v>0</v>
      </c>
      <c r="EU38" s="90"/>
      <c r="EV38" s="90"/>
      <c r="EW38" s="90"/>
      <c r="EX38" s="116"/>
      <c r="EY38" s="16">
        <f t="shared" si="30"/>
        <v>0</v>
      </c>
      <c r="EZ38" s="90"/>
      <c r="FA38" s="90"/>
      <c r="FB38" s="90"/>
      <c r="FC38" s="116"/>
      <c r="FD38" s="16">
        <f t="shared" si="31"/>
        <v>0</v>
      </c>
      <c r="FE38" s="90"/>
      <c r="FF38" s="90"/>
      <c r="FG38" s="90"/>
      <c r="FH38" s="116"/>
      <c r="FI38" s="16">
        <f t="shared" ref="FI38:FI74" si="50">IF(FE38="",FG38,FE38)</f>
        <v>0</v>
      </c>
      <c r="FJ38" s="90"/>
      <c r="FK38" s="90"/>
      <c r="FL38" s="90"/>
      <c r="FM38" s="116"/>
      <c r="FN38" s="16">
        <f t="shared" si="32"/>
        <v>0</v>
      </c>
      <c r="FO38" s="90"/>
      <c r="FP38" s="90"/>
      <c r="FQ38" s="90"/>
      <c r="FR38" s="116"/>
      <c r="FS38" s="16">
        <f t="shared" si="33"/>
        <v>0</v>
      </c>
      <c r="FT38" s="90"/>
      <c r="FU38" s="90"/>
      <c r="FV38" s="90"/>
      <c r="FW38" s="116"/>
      <c r="FX38" s="16">
        <f t="shared" si="34"/>
        <v>0</v>
      </c>
      <c r="FY38" s="90"/>
      <c r="FZ38" s="90"/>
      <c r="GA38" s="90"/>
      <c r="GB38" s="116"/>
      <c r="GC38" s="16">
        <f t="shared" si="35"/>
        <v>0</v>
      </c>
      <c r="GD38" s="90"/>
      <c r="GE38" s="90"/>
      <c r="GF38" s="90"/>
      <c r="GG38" s="116"/>
      <c r="GH38" s="16">
        <f t="shared" si="36"/>
        <v>0</v>
      </c>
      <c r="GI38" s="90"/>
      <c r="GJ38" s="90"/>
      <c r="GK38" s="90"/>
      <c r="GL38" s="116"/>
      <c r="GM38" s="16">
        <f t="shared" si="37"/>
        <v>0</v>
      </c>
      <c r="GN38" s="90"/>
      <c r="GO38" s="90"/>
      <c r="GP38" s="90"/>
      <c r="GQ38" s="116"/>
      <c r="GR38" s="16">
        <f t="shared" si="38"/>
        <v>0</v>
      </c>
      <c r="GS38" s="90"/>
      <c r="GT38" s="90"/>
      <c r="GU38" s="90"/>
      <c r="GV38" s="116"/>
      <c r="GW38" s="16">
        <f t="shared" si="39"/>
        <v>0</v>
      </c>
      <c r="GX38" s="90"/>
      <c r="GY38" s="90"/>
      <c r="GZ38" s="90"/>
      <c r="HA38" s="116"/>
      <c r="HB38" s="16">
        <f t="shared" si="40"/>
        <v>0</v>
      </c>
      <c r="HC38" s="90"/>
      <c r="HD38" s="90"/>
      <c r="HE38" s="90"/>
      <c r="HF38" s="116"/>
      <c r="HG38" s="16">
        <f t="shared" si="41"/>
        <v>0</v>
      </c>
      <c r="HH38" s="90"/>
      <c r="HI38" s="90"/>
      <c r="HJ38" s="90"/>
      <c r="HK38" s="116"/>
      <c r="HL38" s="16">
        <f t="shared" si="42"/>
        <v>0</v>
      </c>
      <c r="HM38" s="90"/>
      <c r="HN38" s="90"/>
      <c r="HO38" s="90"/>
      <c r="HP38" s="116"/>
      <c r="HQ38" s="16">
        <f t="shared" si="43"/>
        <v>0</v>
      </c>
      <c r="HR38" s="90"/>
      <c r="HS38" s="90"/>
      <c r="HT38" s="90"/>
      <c r="HU38" s="116"/>
      <c r="HV38" s="16">
        <f t="shared" si="44"/>
        <v>0</v>
      </c>
      <c r="HW38" s="90"/>
      <c r="HX38" s="90"/>
      <c r="HY38" s="90"/>
      <c r="HZ38" s="116"/>
      <c r="IA38" s="16">
        <f t="shared" si="45"/>
        <v>0</v>
      </c>
      <c r="IB38" s="90"/>
      <c r="IC38" s="90"/>
      <c r="ID38" s="90"/>
      <c r="IE38" s="116"/>
      <c r="IF38" s="16">
        <f t="shared" si="46"/>
        <v>0</v>
      </c>
      <c r="IG38" s="90"/>
      <c r="IH38" s="90"/>
      <c r="II38" s="90"/>
      <c r="IJ38" s="116"/>
      <c r="IK38" s="16">
        <f t="shared" si="47"/>
        <v>0</v>
      </c>
      <c r="IL38" s="90"/>
      <c r="IM38" s="90"/>
      <c r="IN38" s="90"/>
      <c r="IO38" s="116"/>
      <c r="IP38" s="16">
        <f t="shared" si="48"/>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49"/>
        <v>0</v>
      </c>
      <c r="BD39" s="90"/>
      <c r="BE39" s="90"/>
      <c r="BF39" s="90"/>
      <c r="BG39" s="116"/>
      <c r="BH39" s="16">
        <f t="shared" si="11"/>
        <v>0</v>
      </c>
      <c r="BI39" s="90"/>
      <c r="BJ39" s="90"/>
      <c r="BK39" s="90"/>
      <c r="BL39" s="116"/>
      <c r="BM39" s="16">
        <f t="shared" si="12"/>
        <v>0</v>
      </c>
      <c r="BN39" s="90"/>
      <c r="BO39" s="90"/>
      <c r="BP39" s="90"/>
      <c r="BQ39" s="116"/>
      <c r="BR39" s="16">
        <f t="shared" si="13"/>
        <v>0</v>
      </c>
      <c r="BS39" s="90"/>
      <c r="BT39" s="90"/>
      <c r="BU39" s="90"/>
      <c r="BV39" s="116"/>
      <c r="BW39" s="16">
        <f t="shared" si="14"/>
        <v>0</v>
      </c>
      <c r="BX39" s="90"/>
      <c r="BY39" s="90"/>
      <c r="BZ39" s="90"/>
      <c r="CA39" s="116"/>
      <c r="CB39" s="16">
        <f t="shared" si="15"/>
        <v>0</v>
      </c>
      <c r="CC39" s="90"/>
      <c r="CD39" s="90"/>
      <c r="CE39" s="90"/>
      <c r="CF39" s="116"/>
      <c r="CG39" s="16">
        <f t="shared" si="16"/>
        <v>0</v>
      </c>
      <c r="CH39" s="90"/>
      <c r="CI39" s="90"/>
      <c r="CJ39" s="90"/>
      <c r="CK39" s="116"/>
      <c r="CL39" s="16">
        <f t="shared" si="17"/>
        <v>0</v>
      </c>
      <c r="CM39" s="90"/>
      <c r="CN39" s="90"/>
      <c r="CO39" s="90"/>
      <c r="CP39" s="116"/>
      <c r="CQ39" s="16">
        <f t="shared" si="18"/>
        <v>0</v>
      </c>
      <c r="CR39" s="90"/>
      <c r="CS39" s="90"/>
      <c r="CT39" s="90"/>
      <c r="CU39" s="116"/>
      <c r="CV39" s="16">
        <f t="shared" si="19"/>
        <v>0</v>
      </c>
      <c r="CW39" s="90"/>
      <c r="CX39" s="90"/>
      <c r="CY39" s="90"/>
      <c r="CZ39" s="116"/>
      <c r="DA39" s="16">
        <f t="shared" si="20"/>
        <v>0</v>
      </c>
      <c r="DB39" s="90"/>
      <c r="DC39" s="90"/>
      <c r="DD39" s="90"/>
      <c r="DE39" s="116"/>
      <c r="DF39" s="16">
        <f t="shared" si="21"/>
        <v>0</v>
      </c>
      <c r="DG39" s="90"/>
      <c r="DH39" s="90"/>
      <c r="DI39" s="90"/>
      <c r="DJ39" s="116"/>
      <c r="DK39" s="16">
        <f t="shared" si="22"/>
        <v>0</v>
      </c>
      <c r="DL39" s="90"/>
      <c r="DM39" s="90"/>
      <c r="DN39" s="90"/>
      <c r="DO39" s="116"/>
      <c r="DP39" s="16">
        <f t="shared" si="23"/>
        <v>0</v>
      </c>
      <c r="DQ39" s="90"/>
      <c r="DR39" s="90"/>
      <c r="DS39" s="90"/>
      <c r="DT39" s="116"/>
      <c r="DU39" s="16">
        <f t="shared" si="24"/>
        <v>0</v>
      </c>
      <c r="DV39" s="90"/>
      <c r="DW39" s="90"/>
      <c r="DX39" s="90"/>
      <c r="DY39" s="116"/>
      <c r="DZ39" s="16">
        <f t="shared" si="25"/>
        <v>0</v>
      </c>
      <c r="EA39" s="90"/>
      <c r="EB39" s="90"/>
      <c r="EC39" s="90"/>
      <c r="ED39" s="116"/>
      <c r="EE39" s="16">
        <f t="shared" si="26"/>
        <v>0</v>
      </c>
      <c r="EF39" s="90"/>
      <c r="EG39" s="90"/>
      <c r="EH39" s="90"/>
      <c r="EI39" s="116"/>
      <c r="EJ39" s="16">
        <f t="shared" si="27"/>
        <v>0</v>
      </c>
      <c r="EK39" s="90"/>
      <c r="EL39" s="90"/>
      <c r="EM39" s="90"/>
      <c r="EN39" s="116"/>
      <c r="EO39" s="16">
        <f t="shared" si="28"/>
        <v>0</v>
      </c>
      <c r="EP39" s="90"/>
      <c r="EQ39" s="90"/>
      <c r="ER39" s="90"/>
      <c r="ES39" s="116"/>
      <c r="ET39" s="16">
        <f t="shared" si="29"/>
        <v>0</v>
      </c>
      <c r="EU39" s="90"/>
      <c r="EV39" s="90"/>
      <c r="EW39" s="90"/>
      <c r="EX39" s="116"/>
      <c r="EY39" s="16">
        <f t="shared" si="30"/>
        <v>0</v>
      </c>
      <c r="EZ39" s="90"/>
      <c r="FA39" s="90"/>
      <c r="FB39" s="90"/>
      <c r="FC39" s="116"/>
      <c r="FD39" s="16">
        <f t="shared" si="31"/>
        <v>0</v>
      </c>
      <c r="FE39" s="90"/>
      <c r="FF39" s="90"/>
      <c r="FG39" s="90"/>
      <c r="FH39" s="116"/>
      <c r="FI39" s="16">
        <f t="shared" si="50"/>
        <v>0</v>
      </c>
      <c r="FJ39" s="90"/>
      <c r="FK39" s="90"/>
      <c r="FL39" s="90"/>
      <c r="FM39" s="116"/>
      <c r="FN39" s="16">
        <f t="shared" si="32"/>
        <v>0</v>
      </c>
      <c r="FO39" s="90"/>
      <c r="FP39" s="90"/>
      <c r="FQ39" s="90"/>
      <c r="FR39" s="116"/>
      <c r="FS39" s="16">
        <f t="shared" si="33"/>
        <v>0</v>
      </c>
      <c r="FT39" s="90"/>
      <c r="FU39" s="90"/>
      <c r="FV39" s="90"/>
      <c r="FW39" s="116"/>
      <c r="FX39" s="16">
        <f t="shared" si="34"/>
        <v>0</v>
      </c>
      <c r="FY39" s="90"/>
      <c r="FZ39" s="90"/>
      <c r="GA39" s="90"/>
      <c r="GB39" s="116"/>
      <c r="GC39" s="16">
        <f t="shared" si="35"/>
        <v>0</v>
      </c>
      <c r="GD39" s="90"/>
      <c r="GE39" s="90"/>
      <c r="GF39" s="90"/>
      <c r="GG39" s="116"/>
      <c r="GH39" s="16">
        <f t="shared" si="36"/>
        <v>0</v>
      </c>
      <c r="GI39" s="90"/>
      <c r="GJ39" s="90"/>
      <c r="GK39" s="90"/>
      <c r="GL39" s="116"/>
      <c r="GM39" s="16">
        <f t="shared" si="37"/>
        <v>0</v>
      </c>
      <c r="GN39" s="90"/>
      <c r="GO39" s="90"/>
      <c r="GP39" s="90"/>
      <c r="GQ39" s="116"/>
      <c r="GR39" s="16">
        <f t="shared" si="38"/>
        <v>0</v>
      </c>
      <c r="GS39" s="90"/>
      <c r="GT39" s="90"/>
      <c r="GU39" s="90"/>
      <c r="GV39" s="116"/>
      <c r="GW39" s="16">
        <f t="shared" si="39"/>
        <v>0</v>
      </c>
      <c r="GX39" s="90"/>
      <c r="GY39" s="90"/>
      <c r="GZ39" s="90"/>
      <c r="HA39" s="116"/>
      <c r="HB39" s="16">
        <f t="shared" si="40"/>
        <v>0</v>
      </c>
      <c r="HC39" s="90"/>
      <c r="HD39" s="90"/>
      <c r="HE39" s="90"/>
      <c r="HF39" s="116"/>
      <c r="HG39" s="16">
        <f t="shared" si="41"/>
        <v>0</v>
      </c>
      <c r="HH39" s="90"/>
      <c r="HI39" s="90"/>
      <c r="HJ39" s="90"/>
      <c r="HK39" s="116"/>
      <c r="HL39" s="16">
        <f t="shared" si="42"/>
        <v>0</v>
      </c>
      <c r="HM39" s="90"/>
      <c r="HN39" s="90"/>
      <c r="HO39" s="90"/>
      <c r="HP39" s="116"/>
      <c r="HQ39" s="16">
        <f t="shared" si="43"/>
        <v>0</v>
      </c>
      <c r="HR39" s="90"/>
      <c r="HS39" s="90"/>
      <c r="HT39" s="90"/>
      <c r="HU39" s="116"/>
      <c r="HV39" s="16">
        <f t="shared" si="44"/>
        <v>0</v>
      </c>
      <c r="HW39" s="90"/>
      <c r="HX39" s="90"/>
      <c r="HY39" s="90"/>
      <c r="HZ39" s="116"/>
      <c r="IA39" s="16">
        <f t="shared" si="45"/>
        <v>0</v>
      </c>
      <c r="IB39" s="90"/>
      <c r="IC39" s="90"/>
      <c r="ID39" s="90"/>
      <c r="IE39" s="116"/>
      <c r="IF39" s="16">
        <f t="shared" si="46"/>
        <v>0</v>
      </c>
      <c r="IG39" s="90"/>
      <c r="IH39" s="90"/>
      <c r="II39" s="90"/>
      <c r="IJ39" s="116"/>
      <c r="IK39" s="16">
        <f t="shared" si="47"/>
        <v>0</v>
      </c>
      <c r="IL39" s="90"/>
      <c r="IM39" s="90"/>
      <c r="IN39" s="90"/>
      <c r="IO39" s="116"/>
      <c r="IP39" s="16">
        <f t="shared" si="48"/>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49"/>
        <v>0</v>
      </c>
      <c r="BD40" s="90"/>
      <c r="BE40" s="90"/>
      <c r="BF40" s="90"/>
      <c r="BG40" s="116"/>
      <c r="BH40" s="16">
        <f t="shared" si="11"/>
        <v>0</v>
      </c>
      <c r="BI40" s="90"/>
      <c r="BJ40" s="90"/>
      <c r="BK40" s="90"/>
      <c r="BL40" s="116"/>
      <c r="BM40" s="16">
        <f t="shared" si="12"/>
        <v>0</v>
      </c>
      <c r="BN40" s="90"/>
      <c r="BO40" s="90"/>
      <c r="BP40" s="90"/>
      <c r="BQ40" s="116"/>
      <c r="BR40" s="16">
        <f t="shared" si="13"/>
        <v>0</v>
      </c>
      <c r="BS40" s="90"/>
      <c r="BT40" s="90"/>
      <c r="BU40" s="90"/>
      <c r="BV40" s="116"/>
      <c r="BW40" s="16">
        <f t="shared" si="14"/>
        <v>0</v>
      </c>
      <c r="BX40" s="90"/>
      <c r="BY40" s="90"/>
      <c r="BZ40" s="90"/>
      <c r="CA40" s="116"/>
      <c r="CB40" s="16">
        <f t="shared" si="15"/>
        <v>0</v>
      </c>
      <c r="CC40" s="90"/>
      <c r="CD40" s="90"/>
      <c r="CE40" s="90"/>
      <c r="CF40" s="116"/>
      <c r="CG40" s="16">
        <f t="shared" si="16"/>
        <v>0</v>
      </c>
      <c r="CH40" s="90"/>
      <c r="CI40" s="90"/>
      <c r="CJ40" s="90"/>
      <c r="CK40" s="116"/>
      <c r="CL40" s="16">
        <f t="shared" si="17"/>
        <v>0</v>
      </c>
      <c r="CM40" s="90"/>
      <c r="CN40" s="90"/>
      <c r="CO40" s="90"/>
      <c r="CP40" s="116"/>
      <c r="CQ40" s="16">
        <f t="shared" si="18"/>
        <v>0</v>
      </c>
      <c r="CR40" s="90"/>
      <c r="CS40" s="90"/>
      <c r="CT40" s="90"/>
      <c r="CU40" s="116"/>
      <c r="CV40" s="16">
        <f t="shared" si="19"/>
        <v>0</v>
      </c>
      <c r="CW40" s="90"/>
      <c r="CX40" s="90"/>
      <c r="CY40" s="90"/>
      <c r="CZ40" s="116"/>
      <c r="DA40" s="16">
        <f t="shared" si="20"/>
        <v>0</v>
      </c>
      <c r="DB40" s="90"/>
      <c r="DC40" s="90"/>
      <c r="DD40" s="90"/>
      <c r="DE40" s="116"/>
      <c r="DF40" s="16">
        <f t="shared" si="21"/>
        <v>0</v>
      </c>
      <c r="DG40" s="90"/>
      <c r="DH40" s="90"/>
      <c r="DI40" s="90"/>
      <c r="DJ40" s="116"/>
      <c r="DK40" s="16">
        <f t="shared" si="22"/>
        <v>0</v>
      </c>
      <c r="DL40" s="90"/>
      <c r="DM40" s="90"/>
      <c r="DN40" s="90"/>
      <c r="DO40" s="116"/>
      <c r="DP40" s="16">
        <f t="shared" si="23"/>
        <v>0</v>
      </c>
      <c r="DQ40" s="90"/>
      <c r="DR40" s="90"/>
      <c r="DS40" s="90"/>
      <c r="DT40" s="116"/>
      <c r="DU40" s="16">
        <f t="shared" si="24"/>
        <v>0</v>
      </c>
      <c r="DV40" s="90"/>
      <c r="DW40" s="90"/>
      <c r="DX40" s="90"/>
      <c r="DY40" s="116"/>
      <c r="DZ40" s="16">
        <f t="shared" si="25"/>
        <v>0</v>
      </c>
      <c r="EA40" s="90"/>
      <c r="EB40" s="90"/>
      <c r="EC40" s="90"/>
      <c r="ED40" s="116"/>
      <c r="EE40" s="16">
        <f t="shared" si="26"/>
        <v>0</v>
      </c>
      <c r="EF40" s="90"/>
      <c r="EG40" s="90"/>
      <c r="EH40" s="90"/>
      <c r="EI40" s="116"/>
      <c r="EJ40" s="16">
        <f t="shared" si="27"/>
        <v>0</v>
      </c>
      <c r="EK40" s="90"/>
      <c r="EL40" s="90"/>
      <c r="EM40" s="90"/>
      <c r="EN40" s="116"/>
      <c r="EO40" s="16">
        <f t="shared" si="28"/>
        <v>0</v>
      </c>
      <c r="EP40" s="90"/>
      <c r="EQ40" s="90"/>
      <c r="ER40" s="90"/>
      <c r="ES40" s="116"/>
      <c r="ET40" s="16">
        <f t="shared" si="29"/>
        <v>0</v>
      </c>
      <c r="EU40" s="90"/>
      <c r="EV40" s="90"/>
      <c r="EW40" s="90"/>
      <c r="EX40" s="116"/>
      <c r="EY40" s="16">
        <f t="shared" si="30"/>
        <v>0</v>
      </c>
      <c r="EZ40" s="90"/>
      <c r="FA40" s="90"/>
      <c r="FB40" s="90"/>
      <c r="FC40" s="116"/>
      <c r="FD40" s="16">
        <f t="shared" si="31"/>
        <v>0</v>
      </c>
      <c r="FE40" s="90"/>
      <c r="FF40" s="90"/>
      <c r="FG40" s="90"/>
      <c r="FH40" s="116"/>
      <c r="FI40" s="16">
        <f t="shared" si="50"/>
        <v>0</v>
      </c>
      <c r="FJ40" s="90"/>
      <c r="FK40" s="90"/>
      <c r="FL40" s="90"/>
      <c r="FM40" s="116"/>
      <c r="FN40" s="16">
        <f t="shared" si="32"/>
        <v>0</v>
      </c>
      <c r="FO40" s="90"/>
      <c r="FP40" s="90"/>
      <c r="FQ40" s="90"/>
      <c r="FR40" s="116"/>
      <c r="FS40" s="16">
        <f t="shared" si="33"/>
        <v>0</v>
      </c>
      <c r="FT40" s="90"/>
      <c r="FU40" s="90"/>
      <c r="FV40" s="90"/>
      <c r="FW40" s="116"/>
      <c r="FX40" s="16">
        <f t="shared" si="34"/>
        <v>0</v>
      </c>
      <c r="FY40" s="90"/>
      <c r="FZ40" s="90"/>
      <c r="GA40" s="90"/>
      <c r="GB40" s="116"/>
      <c r="GC40" s="16">
        <f t="shared" si="35"/>
        <v>0</v>
      </c>
      <c r="GD40" s="90"/>
      <c r="GE40" s="90"/>
      <c r="GF40" s="90"/>
      <c r="GG40" s="116"/>
      <c r="GH40" s="16">
        <f t="shared" si="36"/>
        <v>0</v>
      </c>
      <c r="GI40" s="90"/>
      <c r="GJ40" s="90"/>
      <c r="GK40" s="90"/>
      <c r="GL40" s="116"/>
      <c r="GM40" s="16">
        <f t="shared" si="37"/>
        <v>0</v>
      </c>
      <c r="GN40" s="90"/>
      <c r="GO40" s="90"/>
      <c r="GP40" s="90"/>
      <c r="GQ40" s="116"/>
      <c r="GR40" s="16">
        <f t="shared" si="38"/>
        <v>0</v>
      </c>
      <c r="GS40" s="90"/>
      <c r="GT40" s="90"/>
      <c r="GU40" s="90"/>
      <c r="GV40" s="116"/>
      <c r="GW40" s="16">
        <f t="shared" si="39"/>
        <v>0</v>
      </c>
      <c r="GX40" s="90"/>
      <c r="GY40" s="90"/>
      <c r="GZ40" s="90"/>
      <c r="HA40" s="116"/>
      <c r="HB40" s="16">
        <f t="shared" si="40"/>
        <v>0</v>
      </c>
      <c r="HC40" s="90"/>
      <c r="HD40" s="90"/>
      <c r="HE40" s="90"/>
      <c r="HF40" s="116"/>
      <c r="HG40" s="16">
        <f t="shared" si="41"/>
        <v>0</v>
      </c>
      <c r="HH40" s="90"/>
      <c r="HI40" s="90"/>
      <c r="HJ40" s="90"/>
      <c r="HK40" s="116"/>
      <c r="HL40" s="16">
        <f t="shared" si="42"/>
        <v>0</v>
      </c>
      <c r="HM40" s="90"/>
      <c r="HN40" s="90"/>
      <c r="HO40" s="90"/>
      <c r="HP40" s="116"/>
      <c r="HQ40" s="16">
        <f t="shared" si="43"/>
        <v>0</v>
      </c>
      <c r="HR40" s="90"/>
      <c r="HS40" s="90"/>
      <c r="HT40" s="90"/>
      <c r="HU40" s="116"/>
      <c r="HV40" s="16">
        <f t="shared" si="44"/>
        <v>0</v>
      </c>
      <c r="HW40" s="90"/>
      <c r="HX40" s="90"/>
      <c r="HY40" s="90"/>
      <c r="HZ40" s="116"/>
      <c r="IA40" s="16">
        <f t="shared" si="45"/>
        <v>0</v>
      </c>
      <c r="IB40" s="90"/>
      <c r="IC40" s="90"/>
      <c r="ID40" s="90"/>
      <c r="IE40" s="116"/>
      <c r="IF40" s="16">
        <f t="shared" si="46"/>
        <v>0</v>
      </c>
      <c r="IG40" s="90"/>
      <c r="IH40" s="90"/>
      <c r="II40" s="90"/>
      <c r="IJ40" s="116"/>
      <c r="IK40" s="16">
        <f t="shared" si="47"/>
        <v>0</v>
      </c>
      <c r="IL40" s="90"/>
      <c r="IM40" s="90"/>
      <c r="IN40" s="90"/>
      <c r="IO40" s="116"/>
      <c r="IP40" s="16">
        <f t="shared" si="48"/>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49"/>
        <v>0</v>
      </c>
      <c r="BD41" s="90"/>
      <c r="BE41" s="90"/>
      <c r="BF41" s="90"/>
      <c r="BG41" s="116"/>
      <c r="BH41" s="16">
        <f t="shared" si="11"/>
        <v>0</v>
      </c>
      <c r="BI41" s="90"/>
      <c r="BJ41" s="90"/>
      <c r="BK41" s="90"/>
      <c r="BL41" s="116"/>
      <c r="BM41" s="16">
        <f t="shared" si="12"/>
        <v>0</v>
      </c>
      <c r="BN41" s="90"/>
      <c r="BO41" s="90"/>
      <c r="BP41" s="90"/>
      <c r="BQ41" s="116"/>
      <c r="BR41" s="16">
        <f t="shared" si="13"/>
        <v>0</v>
      </c>
      <c r="BS41" s="90"/>
      <c r="BT41" s="90"/>
      <c r="BU41" s="90"/>
      <c r="BV41" s="116"/>
      <c r="BW41" s="16">
        <f t="shared" si="14"/>
        <v>0</v>
      </c>
      <c r="BX41" s="90"/>
      <c r="BY41" s="90"/>
      <c r="BZ41" s="90"/>
      <c r="CA41" s="116"/>
      <c r="CB41" s="16">
        <f t="shared" si="15"/>
        <v>0</v>
      </c>
      <c r="CC41" s="90"/>
      <c r="CD41" s="90"/>
      <c r="CE41" s="90"/>
      <c r="CF41" s="116"/>
      <c r="CG41" s="16">
        <f t="shared" si="16"/>
        <v>0</v>
      </c>
      <c r="CH41" s="90"/>
      <c r="CI41" s="90"/>
      <c r="CJ41" s="90"/>
      <c r="CK41" s="116"/>
      <c r="CL41" s="16">
        <f t="shared" si="17"/>
        <v>0</v>
      </c>
      <c r="CM41" s="90"/>
      <c r="CN41" s="90"/>
      <c r="CO41" s="90"/>
      <c r="CP41" s="116"/>
      <c r="CQ41" s="16">
        <f t="shared" si="18"/>
        <v>0</v>
      </c>
      <c r="CR41" s="90"/>
      <c r="CS41" s="90"/>
      <c r="CT41" s="90"/>
      <c r="CU41" s="116"/>
      <c r="CV41" s="16">
        <f t="shared" si="19"/>
        <v>0</v>
      </c>
      <c r="CW41" s="90"/>
      <c r="CX41" s="90"/>
      <c r="CY41" s="90"/>
      <c r="CZ41" s="116"/>
      <c r="DA41" s="16">
        <f t="shared" si="20"/>
        <v>0</v>
      </c>
      <c r="DB41" s="90"/>
      <c r="DC41" s="90"/>
      <c r="DD41" s="90"/>
      <c r="DE41" s="116"/>
      <c r="DF41" s="16">
        <f t="shared" si="21"/>
        <v>0</v>
      </c>
      <c r="DG41" s="90"/>
      <c r="DH41" s="90"/>
      <c r="DI41" s="90"/>
      <c r="DJ41" s="116"/>
      <c r="DK41" s="16">
        <f t="shared" si="22"/>
        <v>0</v>
      </c>
      <c r="DL41" s="90"/>
      <c r="DM41" s="90"/>
      <c r="DN41" s="90"/>
      <c r="DO41" s="116"/>
      <c r="DP41" s="16">
        <f t="shared" si="23"/>
        <v>0</v>
      </c>
      <c r="DQ41" s="90"/>
      <c r="DR41" s="90"/>
      <c r="DS41" s="90"/>
      <c r="DT41" s="116"/>
      <c r="DU41" s="16">
        <f t="shared" si="24"/>
        <v>0</v>
      </c>
      <c r="DV41" s="90"/>
      <c r="DW41" s="90"/>
      <c r="DX41" s="90"/>
      <c r="DY41" s="116"/>
      <c r="DZ41" s="16">
        <f t="shared" si="25"/>
        <v>0</v>
      </c>
      <c r="EA41" s="90"/>
      <c r="EB41" s="90"/>
      <c r="EC41" s="90"/>
      <c r="ED41" s="116"/>
      <c r="EE41" s="16">
        <f t="shared" si="26"/>
        <v>0</v>
      </c>
      <c r="EF41" s="90"/>
      <c r="EG41" s="90"/>
      <c r="EH41" s="90"/>
      <c r="EI41" s="116"/>
      <c r="EJ41" s="16">
        <f t="shared" si="27"/>
        <v>0</v>
      </c>
      <c r="EK41" s="90"/>
      <c r="EL41" s="90"/>
      <c r="EM41" s="90"/>
      <c r="EN41" s="116"/>
      <c r="EO41" s="16">
        <f t="shared" si="28"/>
        <v>0</v>
      </c>
      <c r="EP41" s="90"/>
      <c r="EQ41" s="90"/>
      <c r="ER41" s="90"/>
      <c r="ES41" s="116"/>
      <c r="ET41" s="16">
        <f t="shared" si="29"/>
        <v>0</v>
      </c>
      <c r="EU41" s="90"/>
      <c r="EV41" s="90"/>
      <c r="EW41" s="90"/>
      <c r="EX41" s="116"/>
      <c r="EY41" s="16">
        <f t="shared" si="30"/>
        <v>0</v>
      </c>
      <c r="EZ41" s="90"/>
      <c r="FA41" s="90"/>
      <c r="FB41" s="90"/>
      <c r="FC41" s="116"/>
      <c r="FD41" s="16">
        <f t="shared" si="31"/>
        <v>0</v>
      </c>
      <c r="FE41" s="90"/>
      <c r="FF41" s="90"/>
      <c r="FG41" s="90"/>
      <c r="FH41" s="116"/>
      <c r="FI41" s="16">
        <f t="shared" si="50"/>
        <v>0</v>
      </c>
      <c r="FJ41" s="90"/>
      <c r="FK41" s="90"/>
      <c r="FL41" s="90"/>
      <c r="FM41" s="116"/>
      <c r="FN41" s="16">
        <f t="shared" si="32"/>
        <v>0</v>
      </c>
      <c r="FO41" s="90"/>
      <c r="FP41" s="90"/>
      <c r="FQ41" s="90"/>
      <c r="FR41" s="116"/>
      <c r="FS41" s="16">
        <f t="shared" si="33"/>
        <v>0</v>
      </c>
      <c r="FT41" s="90"/>
      <c r="FU41" s="90"/>
      <c r="FV41" s="90"/>
      <c r="FW41" s="116"/>
      <c r="FX41" s="16">
        <f t="shared" si="34"/>
        <v>0</v>
      </c>
      <c r="FY41" s="90"/>
      <c r="FZ41" s="90"/>
      <c r="GA41" s="90"/>
      <c r="GB41" s="116"/>
      <c r="GC41" s="16">
        <f t="shared" si="35"/>
        <v>0</v>
      </c>
      <c r="GD41" s="90"/>
      <c r="GE41" s="90"/>
      <c r="GF41" s="90"/>
      <c r="GG41" s="116"/>
      <c r="GH41" s="16">
        <f t="shared" si="36"/>
        <v>0</v>
      </c>
      <c r="GI41" s="90"/>
      <c r="GJ41" s="90"/>
      <c r="GK41" s="90"/>
      <c r="GL41" s="116"/>
      <c r="GM41" s="16">
        <f t="shared" si="37"/>
        <v>0</v>
      </c>
      <c r="GN41" s="90"/>
      <c r="GO41" s="90"/>
      <c r="GP41" s="90"/>
      <c r="GQ41" s="116"/>
      <c r="GR41" s="16">
        <f t="shared" si="38"/>
        <v>0</v>
      </c>
      <c r="GS41" s="90"/>
      <c r="GT41" s="90"/>
      <c r="GU41" s="90"/>
      <c r="GV41" s="116"/>
      <c r="GW41" s="16">
        <f t="shared" si="39"/>
        <v>0</v>
      </c>
      <c r="GX41" s="90"/>
      <c r="GY41" s="90"/>
      <c r="GZ41" s="90"/>
      <c r="HA41" s="116"/>
      <c r="HB41" s="16">
        <f t="shared" si="40"/>
        <v>0</v>
      </c>
      <c r="HC41" s="90"/>
      <c r="HD41" s="90"/>
      <c r="HE41" s="90"/>
      <c r="HF41" s="116"/>
      <c r="HG41" s="16">
        <f t="shared" si="41"/>
        <v>0</v>
      </c>
      <c r="HH41" s="90"/>
      <c r="HI41" s="90"/>
      <c r="HJ41" s="90"/>
      <c r="HK41" s="116"/>
      <c r="HL41" s="16">
        <f t="shared" si="42"/>
        <v>0</v>
      </c>
      <c r="HM41" s="90"/>
      <c r="HN41" s="90"/>
      <c r="HO41" s="90"/>
      <c r="HP41" s="116"/>
      <c r="HQ41" s="16">
        <f t="shared" si="43"/>
        <v>0</v>
      </c>
      <c r="HR41" s="90"/>
      <c r="HS41" s="90"/>
      <c r="HT41" s="90"/>
      <c r="HU41" s="116"/>
      <c r="HV41" s="16">
        <f t="shared" si="44"/>
        <v>0</v>
      </c>
      <c r="HW41" s="90"/>
      <c r="HX41" s="90"/>
      <c r="HY41" s="90"/>
      <c r="HZ41" s="116"/>
      <c r="IA41" s="16">
        <f t="shared" si="45"/>
        <v>0</v>
      </c>
      <c r="IB41" s="90"/>
      <c r="IC41" s="90"/>
      <c r="ID41" s="90"/>
      <c r="IE41" s="116"/>
      <c r="IF41" s="16">
        <f t="shared" si="46"/>
        <v>0</v>
      </c>
      <c r="IG41" s="90"/>
      <c r="IH41" s="90"/>
      <c r="II41" s="90"/>
      <c r="IJ41" s="116"/>
      <c r="IK41" s="16">
        <f t="shared" si="47"/>
        <v>0</v>
      </c>
      <c r="IL41" s="90"/>
      <c r="IM41" s="90"/>
      <c r="IN41" s="90"/>
      <c r="IO41" s="116"/>
      <c r="IP41" s="16">
        <f t="shared" si="48"/>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49"/>
        <v>0</v>
      </c>
      <c r="BD42" s="90"/>
      <c r="BE42" s="90"/>
      <c r="BF42" s="90"/>
      <c r="BG42" s="116"/>
      <c r="BH42" s="16">
        <f t="shared" si="11"/>
        <v>0</v>
      </c>
      <c r="BI42" s="90"/>
      <c r="BJ42" s="90"/>
      <c r="BK42" s="90"/>
      <c r="BL42" s="116"/>
      <c r="BM42" s="16">
        <f t="shared" si="12"/>
        <v>0</v>
      </c>
      <c r="BN42" s="90"/>
      <c r="BO42" s="90"/>
      <c r="BP42" s="90"/>
      <c r="BQ42" s="116"/>
      <c r="BR42" s="16">
        <f t="shared" si="13"/>
        <v>0</v>
      </c>
      <c r="BS42" s="90"/>
      <c r="BT42" s="90"/>
      <c r="BU42" s="90"/>
      <c r="BV42" s="116"/>
      <c r="BW42" s="16">
        <f t="shared" si="14"/>
        <v>0</v>
      </c>
      <c r="BX42" s="90"/>
      <c r="BY42" s="90"/>
      <c r="BZ42" s="90"/>
      <c r="CA42" s="116"/>
      <c r="CB42" s="16">
        <f t="shared" si="15"/>
        <v>0</v>
      </c>
      <c r="CC42" s="90"/>
      <c r="CD42" s="90"/>
      <c r="CE42" s="90"/>
      <c r="CF42" s="116"/>
      <c r="CG42" s="16">
        <f t="shared" si="16"/>
        <v>0</v>
      </c>
      <c r="CH42" s="90"/>
      <c r="CI42" s="90"/>
      <c r="CJ42" s="90"/>
      <c r="CK42" s="116"/>
      <c r="CL42" s="16">
        <f t="shared" si="17"/>
        <v>0</v>
      </c>
      <c r="CM42" s="90"/>
      <c r="CN42" s="90"/>
      <c r="CO42" s="90"/>
      <c r="CP42" s="116"/>
      <c r="CQ42" s="16">
        <f t="shared" si="18"/>
        <v>0</v>
      </c>
      <c r="CR42" s="90"/>
      <c r="CS42" s="90"/>
      <c r="CT42" s="90"/>
      <c r="CU42" s="116"/>
      <c r="CV42" s="16">
        <f t="shared" si="19"/>
        <v>0</v>
      </c>
      <c r="CW42" s="90"/>
      <c r="CX42" s="90"/>
      <c r="CY42" s="90"/>
      <c r="CZ42" s="116"/>
      <c r="DA42" s="16">
        <f t="shared" si="20"/>
        <v>0</v>
      </c>
      <c r="DB42" s="90"/>
      <c r="DC42" s="90"/>
      <c r="DD42" s="90"/>
      <c r="DE42" s="116"/>
      <c r="DF42" s="16">
        <f t="shared" si="21"/>
        <v>0</v>
      </c>
      <c r="DG42" s="90"/>
      <c r="DH42" s="90"/>
      <c r="DI42" s="90"/>
      <c r="DJ42" s="116"/>
      <c r="DK42" s="16">
        <f t="shared" si="22"/>
        <v>0</v>
      </c>
      <c r="DL42" s="90"/>
      <c r="DM42" s="90"/>
      <c r="DN42" s="90"/>
      <c r="DO42" s="116"/>
      <c r="DP42" s="16">
        <f t="shared" si="23"/>
        <v>0</v>
      </c>
      <c r="DQ42" s="90"/>
      <c r="DR42" s="90"/>
      <c r="DS42" s="90"/>
      <c r="DT42" s="116"/>
      <c r="DU42" s="16">
        <f t="shared" si="24"/>
        <v>0</v>
      </c>
      <c r="DV42" s="90"/>
      <c r="DW42" s="90"/>
      <c r="DX42" s="90"/>
      <c r="DY42" s="116"/>
      <c r="DZ42" s="16">
        <f t="shared" si="25"/>
        <v>0</v>
      </c>
      <c r="EA42" s="90"/>
      <c r="EB42" s="90"/>
      <c r="EC42" s="90"/>
      <c r="ED42" s="116"/>
      <c r="EE42" s="16">
        <f t="shared" si="26"/>
        <v>0</v>
      </c>
      <c r="EF42" s="90"/>
      <c r="EG42" s="90"/>
      <c r="EH42" s="90"/>
      <c r="EI42" s="116"/>
      <c r="EJ42" s="16">
        <f t="shared" si="27"/>
        <v>0</v>
      </c>
      <c r="EK42" s="90"/>
      <c r="EL42" s="90"/>
      <c r="EM42" s="90"/>
      <c r="EN42" s="116"/>
      <c r="EO42" s="16">
        <f t="shared" si="28"/>
        <v>0</v>
      </c>
      <c r="EP42" s="90"/>
      <c r="EQ42" s="90"/>
      <c r="ER42" s="90"/>
      <c r="ES42" s="116"/>
      <c r="ET42" s="16">
        <f t="shared" si="29"/>
        <v>0</v>
      </c>
      <c r="EU42" s="90"/>
      <c r="EV42" s="90"/>
      <c r="EW42" s="90"/>
      <c r="EX42" s="116"/>
      <c r="EY42" s="16">
        <f t="shared" si="30"/>
        <v>0</v>
      </c>
      <c r="EZ42" s="90"/>
      <c r="FA42" s="90"/>
      <c r="FB42" s="90"/>
      <c r="FC42" s="116"/>
      <c r="FD42" s="16">
        <f t="shared" si="31"/>
        <v>0</v>
      </c>
      <c r="FE42" s="90"/>
      <c r="FF42" s="90"/>
      <c r="FG42" s="90"/>
      <c r="FH42" s="116"/>
      <c r="FI42" s="16">
        <f t="shared" si="50"/>
        <v>0</v>
      </c>
      <c r="FJ42" s="90"/>
      <c r="FK42" s="90"/>
      <c r="FL42" s="90"/>
      <c r="FM42" s="116"/>
      <c r="FN42" s="16">
        <f t="shared" si="32"/>
        <v>0</v>
      </c>
      <c r="FO42" s="90"/>
      <c r="FP42" s="90"/>
      <c r="FQ42" s="90"/>
      <c r="FR42" s="116"/>
      <c r="FS42" s="16">
        <f t="shared" si="33"/>
        <v>0</v>
      </c>
      <c r="FT42" s="90"/>
      <c r="FU42" s="90"/>
      <c r="FV42" s="90"/>
      <c r="FW42" s="116"/>
      <c r="FX42" s="16">
        <f t="shared" si="34"/>
        <v>0</v>
      </c>
      <c r="FY42" s="90"/>
      <c r="FZ42" s="90"/>
      <c r="GA42" s="90"/>
      <c r="GB42" s="116"/>
      <c r="GC42" s="16">
        <f t="shared" si="35"/>
        <v>0</v>
      </c>
      <c r="GD42" s="90"/>
      <c r="GE42" s="90"/>
      <c r="GF42" s="90"/>
      <c r="GG42" s="116"/>
      <c r="GH42" s="16">
        <f t="shared" si="36"/>
        <v>0</v>
      </c>
      <c r="GI42" s="90"/>
      <c r="GJ42" s="90"/>
      <c r="GK42" s="90"/>
      <c r="GL42" s="116"/>
      <c r="GM42" s="16">
        <f t="shared" si="37"/>
        <v>0</v>
      </c>
      <c r="GN42" s="90"/>
      <c r="GO42" s="90"/>
      <c r="GP42" s="90"/>
      <c r="GQ42" s="116"/>
      <c r="GR42" s="16">
        <f t="shared" si="38"/>
        <v>0</v>
      </c>
      <c r="GS42" s="90"/>
      <c r="GT42" s="90"/>
      <c r="GU42" s="90"/>
      <c r="GV42" s="116"/>
      <c r="GW42" s="16">
        <f t="shared" si="39"/>
        <v>0</v>
      </c>
      <c r="GX42" s="90"/>
      <c r="GY42" s="90"/>
      <c r="GZ42" s="90"/>
      <c r="HA42" s="116"/>
      <c r="HB42" s="16">
        <f t="shared" si="40"/>
        <v>0</v>
      </c>
      <c r="HC42" s="90"/>
      <c r="HD42" s="90"/>
      <c r="HE42" s="90"/>
      <c r="HF42" s="116"/>
      <c r="HG42" s="16">
        <f t="shared" si="41"/>
        <v>0</v>
      </c>
      <c r="HH42" s="90"/>
      <c r="HI42" s="90"/>
      <c r="HJ42" s="90"/>
      <c r="HK42" s="116"/>
      <c r="HL42" s="16">
        <f t="shared" si="42"/>
        <v>0</v>
      </c>
      <c r="HM42" s="90"/>
      <c r="HN42" s="90"/>
      <c r="HO42" s="90"/>
      <c r="HP42" s="116"/>
      <c r="HQ42" s="16">
        <f t="shared" si="43"/>
        <v>0</v>
      </c>
      <c r="HR42" s="90"/>
      <c r="HS42" s="90"/>
      <c r="HT42" s="90"/>
      <c r="HU42" s="116"/>
      <c r="HV42" s="16">
        <f t="shared" si="44"/>
        <v>0</v>
      </c>
      <c r="HW42" s="90"/>
      <c r="HX42" s="90"/>
      <c r="HY42" s="90"/>
      <c r="HZ42" s="116"/>
      <c r="IA42" s="16">
        <f t="shared" si="45"/>
        <v>0</v>
      </c>
      <c r="IB42" s="90"/>
      <c r="IC42" s="90"/>
      <c r="ID42" s="90"/>
      <c r="IE42" s="116"/>
      <c r="IF42" s="16">
        <f t="shared" si="46"/>
        <v>0</v>
      </c>
      <c r="IG42" s="90"/>
      <c r="IH42" s="90"/>
      <c r="II42" s="90"/>
      <c r="IJ42" s="116"/>
      <c r="IK42" s="16">
        <f t="shared" si="47"/>
        <v>0</v>
      </c>
      <c r="IL42" s="90"/>
      <c r="IM42" s="90"/>
      <c r="IN42" s="90"/>
      <c r="IO42" s="116"/>
      <c r="IP42" s="16">
        <f t="shared" si="48"/>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49"/>
        <v>0</v>
      </c>
      <c r="BD43" s="90"/>
      <c r="BE43" s="90"/>
      <c r="BF43" s="90"/>
      <c r="BG43" s="116"/>
      <c r="BH43" s="16">
        <f t="shared" si="11"/>
        <v>0</v>
      </c>
      <c r="BI43" s="90"/>
      <c r="BJ43" s="90"/>
      <c r="BK43" s="90"/>
      <c r="BL43" s="116"/>
      <c r="BM43" s="16">
        <f t="shared" si="12"/>
        <v>0</v>
      </c>
      <c r="BN43" s="90"/>
      <c r="BO43" s="90"/>
      <c r="BP43" s="90"/>
      <c r="BQ43" s="116"/>
      <c r="BR43" s="16">
        <f t="shared" si="13"/>
        <v>0</v>
      </c>
      <c r="BS43" s="90"/>
      <c r="BT43" s="90"/>
      <c r="BU43" s="90"/>
      <c r="BV43" s="116"/>
      <c r="BW43" s="16">
        <f t="shared" si="14"/>
        <v>0</v>
      </c>
      <c r="BX43" s="90"/>
      <c r="BY43" s="90"/>
      <c r="BZ43" s="90"/>
      <c r="CA43" s="116"/>
      <c r="CB43" s="16">
        <f t="shared" si="15"/>
        <v>0</v>
      </c>
      <c r="CC43" s="90"/>
      <c r="CD43" s="90"/>
      <c r="CE43" s="90"/>
      <c r="CF43" s="116"/>
      <c r="CG43" s="16">
        <f t="shared" si="16"/>
        <v>0</v>
      </c>
      <c r="CH43" s="90"/>
      <c r="CI43" s="90"/>
      <c r="CJ43" s="90"/>
      <c r="CK43" s="116"/>
      <c r="CL43" s="16">
        <f t="shared" si="17"/>
        <v>0</v>
      </c>
      <c r="CM43" s="90"/>
      <c r="CN43" s="90"/>
      <c r="CO43" s="90"/>
      <c r="CP43" s="116"/>
      <c r="CQ43" s="16">
        <f t="shared" si="18"/>
        <v>0</v>
      </c>
      <c r="CR43" s="90"/>
      <c r="CS43" s="90"/>
      <c r="CT43" s="90"/>
      <c r="CU43" s="116"/>
      <c r="CV43" s="16">
        <f t="shared" si="19"/>
        <v>0</v>
      </c>
      <c r="CW43" s="90"/>
      <c r="CX43" s="90"/>
      <c r="CY43" s="90"/>
      <c r="CZ43" s="116"/>
      <c r="DA43" s="16">
        <f t="shared" si="20"/>
        <v>0</v>
      </c>
      <c r="DB43" s="90"/>
      <c r="DC43" s="90"/>
      <c r="DD43" s="90"/>
      <c r="DE43" s="116"/>
      <c r="DF43" s="16">
        <f t="shared" si="21"/>
        <v>0</v>
      </c>
      <c r="DG43" s="90"/>
      <c r="DH43" s="90"/>
      <c r="DI43" s="90"/>
      <c r="DJ43" s="116"/>
      <c r="DK43" s="16">
        <f t="shared" si="22"/>
        <v>0</v>
      </c>
      <c r="DL43" s="90"/>
      <c r="DM43" s="90"/>
      <c r="DN43" s="90"/>
      <c r="DO43" s="116"/>
      <c r="DP43" s="16">
        <f t="shared" si="23"/>
        <v>0</v>
      </c>
      <c r="DQ43" s="90"/>
      <c r="DR43" s="90"/>
      <c r="DS43" s="90"/>
      <c r="DT43" s="116"/>
      <c r="DU43" s="16">
        <f t="shared" si="24"/>
        <v>0</v>
      </c>
      <c r="DV43" s="90"/>
      <c r="DW43" s="90"/>
      <c r="DX43" s="90"/>
      <c r="DY43" s="116"/>
      <c r="DZ43" s="16">
        <f t="shared" si="25"/>
        <v>0</v>
      </c>
      <c r="EA43" s="90"/>
      <c r="EB43" s="90"/>
      <c r="EC43" s="90"/>
      <c r="ED43" s="116"/>
      <c r="EE43" s="16">
        <f t="shared" si="26"/>
        <v>0</v>
      </c>
      <c r="EF43" s="90"/>
      <c r="EG43" s="90"/>
      <c r="EH43" s="90"/>
      <c r="EI43" s="116"/>
      <c r="EJ43" s="16">
        <f t="shared" si="27"/>
        <v>0</v>
      </c>
      <c r="EK43" s="90"/>
      <c r="EL43" s="90"/>
      <c r="EM43" s="90"/>
      <c r="EN43" s="116"/>
      <c r="EO43" s="16">
        <f t="shared" si="28"/>
        <v>0</v>
      </c>
      <c r="EP43" s="90"/>
      <c r="EQ43" s="90"/>
      <c r="ER43" s="90"/>
      <c r="ES43" s="116"/>
      <c r="ET43" s="16">
        <f t="shared" si="29"/>
        <v>0</v>
      </c>
      <c r="EU43" s="90"/>
      <c r="EV43" s="90"/>
      <c r="EW43" s="90"/>
      <c r="EX43" s="116"/>
      <c r="EY43" s="16">
        <f t="shared" si="30"/>
        <v>0</v>
      </c>
      <c r="EZ43" s="90"/>
      <c r="FA43" s="90"/>
      <c r="FB43" s="90"/>
      <c r="FC43" s="116"/>
      <c r="FD43" s="16">
        <f t="shared" si="31"/>
        <v>0</v>
      </c>
      <c r="FE43" s="90"/>
      <c r="FF43" s="90"/>
      <c r="FG43" s="90"/>
      <c r="FH43" s="116"/>
      <c r="FI43" s="16">
        <f t="shared" si="50"/>
        <v>0</v>
      </c>
      <c r="FJ43" s="90"/>
      <c r="FK43" s="90"/>
      <c r="FL43" s="90"/>
      <c r="FM43" s="116"/>
      <c r="FN43" s="16">
        <f t="shared" si="32"/>
        <v>0</v>
      </c>
      <c r="FO43" s="90"/>
      <c r="FP43" s="90"/>
      <c r="FQ43" s="90"/>
      <c r="FR43" s="116"/>
      <c r="FS43" s="16">
        <f t="shared" si="33"/>
        <v>0</v>
      </c>
      <c r="FT43" s="90"/>
      <c r="FU43" s="90"/>
      <c r="FV43" s="90"/>
      <c r="FW43" s="116"/>
      <c r="FX43" s="16">
        <f t="shared" si="34"/>
        <v>0</v>
      </c>
      <c r="FY43" s="90"/>
      <c r="FZ43" s="90"/>
      <c r="GA43" s="90"/>
      <c r="GB43" s="116"/>
      <c r="GC43" s="16">
        <f t="shared" si="35"/>
        <v>0</v>
      </c>
      <c r="GD43" s="90"/>
      <c r="GE43" s="90"/>
      <c r="GF43" s="90"/>
      <c r="GG43" s="116"/>
      <c r="GH43" s="16">
        <f t="shared" si="36"/>
        <v>0</v>
      </c>
      <c r="GI43" s="90"/>
      <c r="GJ43" s="90"/>
      <c r="GK43" s="90"/>
      <c r="GL43" s="116"/>
      <c r="GM43" s="16">
        <f t="shared" si="37"/>
        <v>0</v>
      </c>
      <c r="GN43" s="90"/>
      <c r="GO43" s="90"/>
      <c r="GP43" s="90"/>
      <c r="GQ43" s="116"/>
      <c r="GR43" s="16">
        <f t="shared" si="38"/>
        <v>0</v>
      </c>
      <c r="GS43" s="90"/>
      <c r="GT43" s="90"/>
      <c r="GU43" s="90"/>
      <c r="GV43" s="116"/>
      <c r="GW43" s="16">
        <f t="shared" si="39"/>
        <v>0</v>
      </c>
      <c r="GX43" s="90"/>
      <c r="GY43" s="90"/>
      <c r="GZ43" s="90"/>
      <c r="HA43" s="116"/>
      <c r="HB43" s="16">
        <f t="shared" si="40"/>
        <v>0</v>
      </c>
      <c r="HC43" s="90"/>
      <c r="HD43" s="90"/>
      <c r="HE43" s="90"/>
      <c r="HF43" s="116"/>
      <c r="HG43" s="16">
        <f t="shared" si="41"/>
        <v>0</v>
      </c>
      <c r="HH43" s="90"/>
      <c r="HI43" s="90"/>
      <c r="HJ43" s="90"/>
      <c r="HK43" s="116"/>
      <c r="HL43" s="16">
        <f t="shared" si="42"/>
        <v>0</v>
      </c>
      <c r="HM43" s="90"/>
      <c r="HN43" s="90"/>
      <c r="HO43" s="90"/>
      <c r="HP43" s="116"/>
      <c r="HQ43" s="16">
        <f t="shared" si="43"/>
        <v>0</v>
      </c>
      <c r="HR43" s="90"/>
      <c r="HS43" s="90"/>
      <c r="HT43" s="90"/>
      <c r="HU43" s="116"/>
      <c r="HV43" s="16">
        <f t="shared" si="44"/>
        <v>0</v>
      </c>
      <c r="HW43" s="90"/>
      <c r="HX43" s="90"/>
      <c r="HY43" s="90"/>
      <c r="HZ43" s="116"/>
      <c r="IA43" s="16">
        <f t="shared" si="45"/>
        <v>0</v>
      </c>
      <c r="IB43" s="90"/>
      <c r="IC43" s="90"/>
      <c r="ID43" s="90"/>
      <c r="IE43" s="116"/>
      <c r="IF43" s="16">
        <f t="shared" si="46"/>
        <v>0</v>
      </c>
      <c r="IG43" s="90"/>
      <c r="IH43" s="90"/>
      <c r="II43" s="90"/>
      <c r="IJ43" s="116"/>
      <c r="IK43" s="16">
        <f t="shared" si="47"/>
        <v>0</v>
      </c>
      <c r="IL43" s="90"/>
      <c r="IM43" s="90"/>
      <c r="IN43" s="90"/>
      <c r="IO43" s="116"/>
      <c r="IP43" s="16">
        <f t="shared" si="48"/>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49"/>
        <v>0</v>
      </c>
      <c r="BD44" s="90"/>
      <c r="BE44" s="90"/>
      <c r="BF44" s="90"/>
      <c r="BG44" s="116"/>
      <c r="BH44" s="16">
        <f t="shared" si="11"/>
        <v>0</v>
      </c>
      <c r="BI44" s="90"/>
      <c r="BJ44" s="90"/>
      <c r="BK44" s="90"/>
      <c r="BL44" s="116"/>
      <c r="BM44" s="16">
        <f t="shared" si="12"/>
        <v>0</v>
      </c>
      <c r="BN44" s="90"/>
      <c r="BO44" s="90"/>
      <c r="BP44" s="90"/>
      <c r="BQ44" s="116"/>
      <c r="BR44" s="16">
        <f t="shared" si="13"/>
        <v>0</v>
      </c>
      <c r="BS44" s="90"/>
      <c r="BT44" s="90"/>
      <c r="BU44" s="90"/>
      <c r="BV44" s="116"/>
      <c r="BW44" s="16">
        <f t="shared" si="14"/>
        <v>0</v>
      </c>
      <c r="BX44" s="90"/>
      <c r="BY44" s="90"/>
      <c r="BZ44" s="90"/>
      <c r="CA44" s="116"/>
      <c r="CB44" s="16">
        <f t="shared" si="15"/>
        <v>0</v>
      </c>
      <c r="CC44" s="90"/>
      <c r="CD44" s="90"/>
      <c r="CE44" s="90"/>
      <c r="CF44" s="116"/>
      <c r="CG44" s="16">
        <f t="shared" si="16"/>
        <v>0</v>
      </c>
      <c r="CH44" s="90"/>
      <c r="CI44" s="90"/>
      <c r="CJ44" s="90"/>
      <c r="CK44" s="116"/>
      <c r="CL44" s="16">
        <f t="shared" si="17"/>
        <v>0</v>
      </c>
      <c r="CM44" s="90"/>
      <c r="CN44" s="90"/>
      <c r="CO44" s="90"/>
      <c r="CP44" s="116"/>
      <c r="CQ44" s="16">
        <f t="shared" si="18"/>
        <v>0</v>
      </c>
      <c r="CR44" s="90"/>
      <c r="CS44" s="90"/>
      <c r="CT44" s="90"/>
      <c r="CU44" s="116"/>
      <c r="CV44" s="16">
        <f t="shared" si="19"/>
        <v>0</v>
      </c>
      <c r="CW44" s="90"/>
      <c r="CX44" s="90"/>
      <c r="CY44" s="90"/>
      <c r="CZ44" s="116"/>
      <c r="DA44" s="16">
        <f t="shared" si="20"/>
        <v>0</v>
      </c>
      <c r="DB44" s="90"/>
      <c r="DC44" s="90"/>
      <c r="DD44" s="90"/>
      <c r="DE44" s="116"/>
      <c r="DF44" s="16">
        <f t="shared" si="21"/>
        <v>0</v>
      </c>
      <c r="DG44" s="90"/>
      <c r="DH44" s="90"/>
      <c r="DI44" s="90"/>
      <c r="DJ44" s="116"/>
      <c r="DK44" s="16">
        <f t="shared" si="22"/>
        <v>0</v>
      </c>
      <c r="DL44" s="90"/>
      <c r="DM44" s="90"/>
      <c r="DN44" s="90"/>
      <c r="DO44" s="116"/>
      <c r="DP44" s="16">
        <f t="shared" si="23"/>
        <v>0</v>
      </c>
      <c r="DQ44" s="90"/>
      <c r="DR44" s="90"/>
      <c r="DS44" s="90"/>
      <c r="DT44" s="116"/>
      <c r="DU44" s="16">
        <f t="shared" si="24"/>
        <v>0</v>
      </c>
      <c r="DV44" s="90"/>
      <c r="DW44" s="90"/>
      <c r="DX44" s="90"/>
      <c r="DY44" s="116"/>
      <c r="DZ44" s="16">
        <f t="shared" si="25"/>
        <v>0</v>
      </c>
      <c r="EA44" s="90"/>
      <c r="EB44" s="90"/>
      <c r="EC44" s="90"/>
      <c r="ED44" s="116"/>
      <c r="EE44" s="16">
        <f t="shared" si="26"/>
        <v>0</v>
      </c>
      <c r="EF44" s="90"/>
      <c r="EG44" s="90"/>
      <c r="EH44" s="90"/>
      <c r="EI44" s="116"/>
      <c r="EJ44" s="16">
        <f t="shared" si="27"/>
        <v>0</v>
      </c>
      <c r="EK44" s="90"/>
      <c r="EL44" s="90"/>
      <c r="EM44" s="90"/>
      <c r="EN44" s="116"/>
      <c r="EO44" s="16">
        <f t="shared" si="28"/>
        <v>0</v>
      </c>
      <c r="EP44" s="90"/>
      <c r="EQ44" s="90"/>
      <c r="ER44" s="90"/>
      <c r="ES44" s="116"/>
      <c r="ET44" s="16">
        <f t="shared" si="29"/>
        <v>0</v>
      </c>
      <c r="EU44" s="90"/>
      <c r="EV44" s="90"/>
      <c r="EW44" s="90"/>
      <c r="EX44" s="116"/>
      <c r="EY44" s="16">
        <f t="shared" si="30"/>
        <v>0</v>
      </c>
      <c r="EZ44" s="90"/>
      <c r="FA44" s="90"/>
      <c r="FB44" s="90"/>
      <c r="FC44" s="116"/>
      <c r="FD44" s="16">
        <f t="shared" si="31"/>
        <v>0</v>
      </c>
      <c r="FE44" s="90"/>
      <c r="FF44" s="90"/>
      <c r="FG44" s="90"/>
      <c r="FH44" s="116"/>
      <c r="FI44" s="16">
        <f t="shared" si="50"/>
        <v>0</v>
      </c>
      <c r="FJ44" s="90"/>
      <c r="FK44" s="90"/>
      <c r="FL44" s="90"/>
      <c r="FM44" s="116"/>
      <c r="FN44" s="16">
        <f t="shared" si="32"/>
        <v>0</v>
      </c>
      <c r="FO44" s="90"/>
      <c r="FP44" s="90"/>
      <c r="FQ44" s="90"/>
      <c r="FR44" s="116"/>
      <c r="FS44" s="16">
        <f t="shared" si="33"/>
        <v>0</v>
      </c>
      <c r="FT44" s="90"/>
      <c r="FU44" s="90"/>
      <c r="FV44" s="90"/>
      <c r="FW44" s="116"/>
      <c r="FX44" s="16">
        <f t="shared" si="34"/>
        <v>0</v>
      </c>
      <c r="FY44" s="90"/>
      <c r="FZ44" s="90"/>
      <c r="GA44" s="90"/>
      <c r="GB44" s="116"/>
      <c r="GC44" s="16">
        <f t="shared" si="35"/>
        <v>0</v>
      </c>
      <c r="GD44" s="90"/>
      <c r="GE44" s="90"/>
      <c r="GF44" s="90"/>
      <c r="GG44" s="116"/>
      <c r="GH44" s="16">
        <f t="shared" si="36"/>
        <v>0</v>
      </c>
      <c r="GI44" s="90"/>
      <c r="GJ44" s="90"/>
      <c r="GK44" s="90"/>
      <c r="GL44" s="116"/>
      <c r="GM44" s="16">
        <f t="shared" si="37"/>
        <v>0</v>
      </c>
      <c r="GN44" s="90"/>
      <c r="GO44" s="90"/>
      <c r="GP44" s="90"/>
      <c r="GQ44" s="116"/>
      <c r="GR44" s="16">
        <f t="shared" si="38"/>
        <v>0</v>
      </c>
      <c r="GS44" s="90"/>
      <c r="GT44" s="90"/>
      <c r="GU44" s="90"/>
      <c r="GV44" s="116"/>
      <c r="GW44" s="16">
        <f t="shared" si="39"/>
        <v>0</v>
      </c>
      <c r="GX44" s="90"/>
      <c r="GY44" s="90"/>
      <c r="GZ44" s="90"/>
      <c r="HA44" s="116"/>
      <c r="HB44" s="16">
        <f t="shared" si="40"/>
        <v>0</v>
      </c>
      <c r="HC44" s="90"/>
      <c r="HD44" s="90"/>
      <c r="HE44" s="90"/>
      <c r="HF44" s="116"/>
      <c r="HG44" s="16">
        <f t="shared" si="41"/>
        <v>0</v>
      </c>
      <c r="HH44" s="90"/>
      <c r="HI44" s="90"/>
      <c r="HJ44" s="90"/>
      <c r="HK44" s="116"/>
      <c r="HL44" s="16">
        <f t="shared" si="42"/>
        <v>0</v>
      </c>
      <c r="HM44" s="90"/>
      <c r="HN44" s="90"/>
      <c r="HO44" s="90"/>
      <c r="HP44" s="116"/>
      <c r="HQ44" s="16">
        <f t="shared" si="43"/>
        <v>0</v>
      </c>
      <c r="HR44" s="90"/>
      <c r="HS44" s="90"/>
      <c r="HT44" s="90"/>
      <c r="HU44" s="116"/>
      <c r="HV44" s="16">
        <f t="shared" si="44"/>
        <v>0</v>
      </c>
      <c r="HW44" s="90"/>
      <c r="HX44" s="90"/>
      <c r="HY44" s="90"/>
      <c r="HZ44" s="116"/>
      <c r="IA44" s="16">
        <f t="shared" si="45"/>
        <v>0</v>
      </c>
      <c r="IB44" s="90"/>
      <c r="IC44" s="90"/>
      <c r="ID44" s="90"/>
      <c r="IE44" s="116"/>
      <c r="IF44" s="16">
        <f t="shared" si="46"/>
        <v>0</v>
      </c>
      <c r="IG44" s="90"/>
      <c r="IH44" s="90"/>
      <c r="II44" s="90"/>
      <c r="IJ44" s="116"/>
      <c r="IK44" s="16">
        <f t="shared" si="47"/>
        <v>0</v>
      </c>
      <c r="IL44" s="90"/>
      <c r="IM44" s="90"/>
      <c r="IN44" s="90"/>
      <c r="IO44" s="116"/>
      <c r="IP44" s="16">
        <f t="shared" si="48"/>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49"/>
        <v>0</v>
      </c>
      <c r="BD45" s="90"/>
      <c r="BE45" s="90"/>
      <c r="BF45" s="90"/>
      <c r="BG45" s="116"/>
      <c r="BH45" s="16">
        <f t="shared" si="11"/>
        <v>0</v>
      </c>
      <c r="BI45" s="90"/>
      <c r="BJ45" s="90"/>
      <c r="BK45" s="90"/>
      <c r="BL45" s="116"/>
      <c r="BM45" s="16">
        <f t="shared" si="12"/>
        <v>0</v>
      </c>
      <c r="BN45" s="90"/>
      <c r="BO45" s="90"/>
      <c r="BP45" s="90"/>
      <c r="BQ45" s="116"/>
      <c r="BR45" s="16">
        <f t="shared" si="13"/>
        <v>0</v>
      </c>
      <c r="BS45" s="90"/>
      <c r="BT45" s="90"/>
      <c r="BU45" s="90"/>
      <c r="BV45" s="116"/>
      <c r="BW45" s="16">
        <f t="shared" si="14"/>
        <v>0</v>
      </c>
      <c r="BX45" s="90"/>
      <c r="BY45" s="90"/>
      <c r="BZ45" s="90"/>
      <c r="CA45" s="116"/>
      <c r="CB45" s="16">
        <f t="shared" si="15"/>
        <v>0</v>
      </c>
      <c r="CC45" s="90"/>
      <c r="CD45" s="90"/>
      <c r="CE45" s="90"/>
      <c r="CF45" s="116"/>
      <c r="CG45" s="16">
        <f t="shared" si="16"/>
        <v>0</v>
      </c>
      <c r="CH45" s="90"/>
      <c r="CI45" s="90"/>
      <c r="CJ45" s="90"/>
      <c r="CK45" s="116"/>
      <c r="CL45" s="16">
        <f t="shared" si="17"/>
        <v>0</v>
      </c>
      <c r="CM45" s="90"/>
      <c r="CN45" s="90"/>
      <c r="CO45" s="90"/>
      <c r="CP45" s="116"/>
      <c r="CQ45" s="16">
        <f t="shared" si="18"/>
        <v>0</v>
      </c>
      <c r="CR45" s="90"/>
      <c r="CS45" s="90"/>
      <c r="CT45" s="90"/>
      <c r="CU45" s="116"/>
      <c r="CV45" s="16">
        <f t="shared" si="19"/>
        <v>0</v>
      </c>
      <c r="CW45" s="90"/>
      <c r="CX45" s="90"/>
      <c r="CY45" s="90"/>
      <c r="CZ45" s="116"/>
      <c r="DA45" s="16">
        <f t="shared" si="20"/>
        <v>0</v>
      </c>
      <c r="DB45" s="90"/>
      <c r="DC45" s="90"/>
      <c r="DD45" s="90"/>
      <c r="DE45" s="116"/>
      <c r="DF45" s="16">
        <f t="shared" si="21"/>
        <v>0</v>
      </c>
      <c r="DG45" s="90"/>
      <c r="DH45" s="90"/>
      <c r="DI45" s="90"/>
      <c r="DJ45" s="116"/>
      <c r="DK45" s="16">
        <f t="shared" si="22"/>
        <v>0</v>
      </c>
      <c r="DL45" s="90"/>
      <c r="DM45" s="90"/>
      <c r="DN45" s="90"/>
      <c r="DO45" s="116"/>
      <c r="DP45" s="16">
        <f t="shared" si="23"/>
        <v>0</v>
      </c>
      <c r="DQ45" s="90"/>
      <c r="DR45" s="90"/>
      <c r="DS45" s="90"/>
      <c r="DT45" s="116"/>
      <c r="DU45" s="16">
        <f t="shared" si="24"/>
        <v>0</v>
      </c>
      <c r="DV45" s="90"/>
      <c r="DW45" s="90"/>
      <c r="DX45" s="90"/>
      <c r="DY45" s="116"/>
      <c r="DZ45" s="16">
        <f t="shared" si="25"/>
        <v>0</v>
      </c>
      <c r="EA45" s="90"/>
      <c r="EB45" s="90"/>
      <c r="EC45" s="90"/>
      <c r="ED45" s="116"/>
      <c r="EE45" s="16">
        <f t="shared" si="26"/>
        <v>0</v>
      </c>
      <c r="EF45" s="90"/>
      <c r="EG45" s="90"/>
      <c r="EH45" s="90"/>
      <c r="EI45" s="116"/>
      <c r="EJ45" s="16">
        <f t="shared" si="27"/>
        <v>0</v>
      </c>
      <c r="EK45" s="90"/>
      <c r="EL45" s="90"/>
      <c r="EM45" s="90"/>
      <c r="EN45" s="116"/>
      <c r="EO45" s="16">
        <f t="shared" si="28"/>
        <v>0</v>
      </c>
      <c r="EP45" s="90"/>
      <c r="EQ45" s="90"/>
      <c r="ER45" s="90"/>
      <c r="ES45" s="116"/>
      <c r="ET45" s="16">
        <f t="shared" si="29"/>
        <v>0</v>
      </c>
      <c r="EU45" s="90"/>
      <c r="EV45" s="90"/>
      <c r="EW45" s="90"/>
      <c r="EX45" s="116"/>
      <c r="EY45" s="16">
        <f t="shared" si="30"/>
        <v>0</v>
      </c>
      <c r="EZ45" s="90"/>
      <c r="FA45" s="90"/>
      <c r="FB45" s="90"/>
      <c r="FC45" s="116"/>
      <c r="FD45" s="16">
        <f t="shared" si="31"/>
        <v>0</v>
      </c>
      <c r="FE45" s="90"/>
      <c r="FF45" s="90"/>
      <c r="FG45" s="90"/>
      <c r="FH45" s="116"/>
      <c r="FI45" s="16">
        <f t="shared" si="50"/>
        <v>0</v>
      </c>
      <c r="FJ45" s="90"/>
      <c r="FK45" s="90"/>
      <c r="FL45" s="90"/>
      <c r="FM45" s="116"/>
      <c r="FN45" s="16">
        <f t="shared" si="32"/>
        <v>0</v>
      </c>
      <c r="FO45" s="90"/>
      <c r="FP45" s="90"/>
      <c r="FQ45" s="90"/>
      <c r="FR45" s="116"/>
      <c r="FS45" s="16">
        <f t="shared" si="33"/>
        <v>0</v>
      </c>
      <c r="FT45" s="90"/>
      <c r="FU45" s="90"/>
      <c r="FV45" s="90"/>
      <c r="FW45" s="116"/>
      <c r="FX45" s="16">
        <f t="shared" si="34"/>
        <v>0</v>
      </c>
      <c r="FY45" s="90"/>
      <c r="FZ45" s="90"/>
      <c r="GA45" s="90"/>
      <c r="GB45" s="116"/>
      <c r="GC45" s="16">
        <f t="shared" si="35"/>
        <v>0</v>
      </c>
      <c r="GD45" s="90"/>
      <c r="GE45" s="90"/>
      <c r="GF45" s="90"/>
      <c r="GG45" s="116"/>
      <c r="GH45" s="16">
        <f t="shared" si="36"/>
        <v>0</v>
      </c>
      <c r="GI45" s="90"/>
      <c r="GJ45" s="90"/>
      <c r="GK45" s="90"/>
      <c r="GL45" s="116"/>
      <c r="GM45" s="16">
        <f t="shared" si="37"/>
        <v>0</v>
      </c>
      <c r="GN45" s="90"/>
      <c r="GO45" s="90"/>
      <c r="GP45" s="90"/>
      <c r="GQ45" s="116"/>
      <c r="GR45" s="16">
        <f t="shared" si="38"/>
        <v>0</v>
      </c>
      <c r="GS45" s="90"/>
      <c r="GT45" s="90"/>
      <c r="GU45" s="90"/>
      <c r="GV45" s="116"/>
      <c r="GW45" s="16">
        <f t="shared" si="39"/>
        <v>0</v>
      </c>
      <c r="GX45" s="90"/>
      <c r="GY45" s="90"/>
      <c r="GZ45" s="90"/>
      <c r="HA45" s="116"/>
      <c r="HB45" s="16">
        <f t="shared" si="40"/>
        <v>0</v>
      </c>
      <c r="HC45" s="90"/>
      <c r="HD45" s="90"/>
      <c r="HE45" s="90"/>
      <c r="HF45" s="116"/>
      <c r="HG45" s="16">
        <f t="shared" si="41"/>
        <v>0</v>
      </c>
      <c r="HH45" s="90"/>
      <c r="HI45" s="90"/>
      <c r="HJ45" s="90"/>
      <c r="HK45" s="116"/>
      <c r="HL45" s="16">
        <f t="shared" si="42"/>
        <v>0</v>
      </c>
      <c r="HM45" s="90"/>
      <c r="HN45" s="90"/>
      <c r="HO45" s="90"/>
      <c r="HP45" s="116"/>
      <c r="HQ45" s="16">
        <f t="shared" si="43"/>
        <v>0</v>
      </c>
      <c r="HR45" s="90"/>
      <c r="HS45" s="90"/>
      <c r="HT45" s="90"/>
      <c r="HU45" s="116"/>
      <c r="HV45" s="16">
        <f t="shared" si="44"/>
        <v>0</v>
      </c>
      <c r="HW45" s="90"/>
      <c r="HX45" s="90"/>
      <c r="HY45" s="90"/>
      <c r="HZ45" s="116"/>
      <c r="IA45" s="16">
        <f t="shared" si="45"/>
        <v>0</v>
      </c>
      <c r="IB45" s="90"/>
      <c r="IC45" s="90"/>
      <c r="ID45" s="90"/>
      <c r="IE45" s="116"/>
      <c r="IF45" s="16">
        <f t="shared" si="46"/>
        <v>0</v>
      </c>
      <c r="IG45" s="90"/>
      <c r="IH45" s="90"/>
      <c r="II45" s="90"/>
      <c r="IJ45" s="116"/>
      <c r="IK45" s="16">
        <f t="shared" si="47"/>
        <v>0</v>
      </c>
      <c r="IL45" s="90"/>
      <c r="IM45" s="90"/>
      <c r="IN45" s="90"/>
      <c r="IO45" s="116"/>
      <c r="IP45" s="16">
        <f t="shared" si="48"/>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49"/>
        <v>0</v>
      </c>
      <c r="BD46" s="90"/>
      <c r="BE46" s="90"/>
      <c r="BF46" s="90"/>
      <c r="BG46" s="116"/>
      <c r="BH46" s="16">
        <f t="shared" si="11"/>
        <v>0</v>
      </c>
      <c r="BI46" s="90"/>
      <c r="BJ46" s="90"/>
      <c r="BK46" s="90"/>
      <c r="BL46" s="116"/>
      <c r="BM46" s="16">
        <f t="shared" si="12"/>
        <v>0</v>
      </c>
      <c r="BN46" s="90"/>
      <c r="BO46" s="90"/>
      <c r="BP46" s="90"/>
      <c r="BQ46" s="116"/>
      <c r="BR46" s="16">
        <f t="shared" si="13"/>
        <v>0</v>
      </c>
      <c r="BS46" s="90"/>
      <c r="BT46" s="90"/>
      <c r="BU46" s="90"/>
      <c r="BV46" s="116"/>
      <c r="BW46" s="16">
        <f t="shared" si="14"/>
        <v>0</v>
      </c>
      <c r="BX46" s="90"/>
      <c r="BY46" s="90"/>
      <c r="BZ46" s="90"/>
      <c r="CA46" s="116"/>
      <c r="CB46" s="16">
        <f t="shared" si="15"/>
        <v>0</v>
      </c>
      <c r="CC46" s="90"/>
      <c r="CD46" s="90"/>
      <c r="CE46" s="90"/>
      <c r="CF46" s="116"/>
      <c r="CG46" s="16">
        <f t="shared" si="16"/>
        <v>0</v>
      </c>
      <c r="CH46" s="90"/>
      <c r="CI46" s="90"/>
      <c r="CJ46" s="90"/>
      <c r="CK46" s="116"/>
      <c r="CL46" s="16">
        <f t="shared" si="17"/>
        <v>0</v>
      </c>
      <c r="CM46" s="90"/>
      <c r="CN46" s="90"/>
      <c r="CO46" s="90"/>
      <c r="CP46" s="116"/>
      <c r="CQ46" s="16">
        <f t="shared" si="18"/>
        <v>0</v>
      </c>
      <c r="CR46" s="90"/>
      <c r="CS46" s="90"/>
      <c r="CT46" s="90"/>
      <c r="CU46" s="116"/>
      <c r="CV46" s="16">
        <f t="shared" si="19"/>
        <v>0</v>
      </c>
      <c r="CW46" s="90"/>
      <c r="CX46" s="90"/>
      <c r="CY46" s="90"/>
      <c r="CZ46" s="116"/>
      <c r="DA46" s="16">
        <f t="shared" si="20"/>
        <v>0</v>
      </c>
      <c r="DB46" s="90"/>
      <c r="DC46" s="90"/>
      <c r="DD46" s="90"/>
      <c r="DE46" s="116"/>
      <c r="DF46" s="16">
        <f t="shared" si="21"/>
        <v>0</v>
      </c>
      <c r="DG46" s="90"/>
      <c r="DH46" s="90"/>
      <c r="DI46" s="90"/>
      <c r="DJ46" s="116"/>
      <c r="DK46" s="16">
        <f t="shared" si="22"/>
        <v>0</v>
      </c>
      <c r="DL46" s="90"/>
      <c r="DM46" s="90"/>
      <c r="DN46" s="90"/>
      <c r="DO46" s="116"/>
      <c r="DP46" s="16">
        <f t="shared" si="23"/>
        <v>0</v>
      </c>
      <c r="DQ46" s="90"/>
      <c r="DR46" s="90"/>
      <c r="DS46" s="90"/>
      <c r="DT46" s="116"/>
      <c r="DU46" s="16">
        <f t="shared" si="24"/>
        <v>0</v>
      </c>
      <c r="DV46" s="90"/>
      <c r="DW46" s="90"/>
      <c r="DX46" s="90"/>
      <c r="DY46" s="116"/>
      <c r="DZ46" s="16">
        <f t="shared" si="25"/>
        <v>0</v>
      </c>
      <c r="EA46" s="90"/>
      <c r="EB46" s="90"/>
      <c r="EC46" s="90"/>
      <c r="ED46" s="116"/>
      <c r="EE46" s="16">
        <f t="shared" si="26"/>
        <v>0</v>
      </c>
      <c r="EF46" s="90"/>
      <c r="EG46" s="90"/>
      <c r="EH46" s="90"/>
      <c r="EI46" s="116"/>
      <c r="EJ46" s="16">
        <f t="shared" si="27"/>
        <v>0</v>
      </c>
      <c r="EK46" s="90"/>
      <c r="EL46" s="90"/>
      <c r="EM46" s="90"/>
      <c r="EN46" s="116"/>
      <c r="EO46" s="16">
        <f t="shared" si="28"/>
        <v>0</v>
      </c>
      <c r="EP46" s="90"/>
      <c r="EQ46" s="90"/>
      <c r="ER46" s="90"/>
      <c r="ES46" s="116"/>
      <c r="ET46" s="16">
        <f t="shared" si="29"/>
        <v>0</v>
      </c>
      <c r="EU46" s="90"/>
      <c r="EV46" s="90"/>
      <c r="EW46" s="90"/>
      <c r="EX46" s="116"/>
      <c r="EY46" s="16">
        <f t="shared" si="30"/>
        <v>0</v>
      </c>
      <c r="EZ46" s="90"/>
      <c r="FA46" s="90"/>
      <c r="FB46" s="90"/>
      <c r="FC46" s="116"/>
      <c r="FD46" s="16">
        <f t="shared" si="31"/>
        <v>0</v>
      </c>
      <c r="FE46" s="90"/>
      <c r="FF46" s="90"/>
      <c r="FG46" s="90"/>
      <c r="FH46" s="116"/>
      <c r="FI46" s="16">
        <f t="shared" si="50"/>
        <v>0</v>
      </c>
      <c r="FJ46" s="90"/>
      <c r="FK46" s="90"/>
      <c r="FL46" s="90"/>
      <c r="FM46" s="116"/>
      <c r="FN46" s="16">
        <f t="shared" si="32"/>
        <v>0</v>
      </c>
      <c r="FO46" s="90"/>
      <c r="FP46" s="90"/>
      <c r="FQ46" s="90"/>
      <c r="FR46" s="116"/>
      <c r="FS46" s="16">
        <f t="shared" si="33"/>
        <v>0</v>
      </c>
      <c r="FT46" s="90"/>
      <c r="FU46" s="90"/>
      <c r="FV46" s="90"/>
      <c r="FW46" s="116"/>
      <c r="FX46" s="16">
        <f t="shared" si="34"/>
        <v>0</v>
      </c>
      <c r="FY46" s="90"/>
      <c r="FZ46" s="90"/>
      <c r="GA46" s="90"/>
      <c r="GB46" s="116"/>
      <c r="GC46" s="16">
        <f t="shared" si="35"/>
        <v>0</v>
      </c>
      <c r="GD46" s="90"/>
      <c r="GE46" s="90"/>
      <c r="GF46" s="90"/>
      <c r="GG46" s="116"/>
      <c r="GH46" s="16">
        <f t="shared" si="36"/>
        <v>0</v>
      </c>
      <c r="GI46" s="90"/>
      <c r="GJ46" s="90"/>
      <c r="GK46" s="90"/>
      <c r="GL46" s="116"/>
      <c r="GM46" s="16">
        <f t="shared" si="37"/>
        <v>0</v>
      </c>
      <c r="GN46" s="90"/>
      <c r="GO46" s="90"/>
      <c r="GP46" s="90"/>
      <c r="GQ46" s="116"/>
      <c r="GR46" s="16">
        <f t="shared" si="38"/>
        <v>0</v>
      </c>
      <c r="GS46" s="90"/>
      <c r="GT46" s="90"/>
      <c r="GU46" s="90"/>
      <c r="GV46" s="116"/>
      <c r="GW46" s="16">
        <f t="shared" si="39"/>
        <v>0</v>
      </c>
      <c r="GX46" s="90"/>
      <c r="GY46" s="90"/>
      <c r="GZ46" s="90"/>
      <c r="HA46" s="116"/>
      <c r="HB46" s="16">
        <f t="shared" si="40"/>
        <v>0</v>
      </c>
      <c r="HC46" s="90"/>
      <c r="HD46" s="90"/>
      <c r="HE46" s="90"/>
      <c r="HF46" s="116"/>
      <c r="HG46" s="16">
        <f t="shared" si="41"/>
        <v>0</v>
      </c>
      <c r="HH46" s="90"/>
      <c r="HI46" s="90"/>
      <c r="HJ46" s="90"/>
      <c r="HK46" s="116"/>
      <c r="HL46" s="16">
        <f t="shared" si="42"/>
        <v>0</v>
      </c>
      <c r="HM46" s="90"/>
      <c r="HN46" s="90"/>
      <c r="HO46" s="90"/>
      <c r="HP46" s="116"/>
      <c r="HQ46" s="16">
        <f t="shared" si="43"/>
        <v>0</v>
      </c>
      <c r="HR46" s="90"/>
      <c r="HS46" s="90"/>
      <c r="HT46" s="90"/>
      <c r="HU46" s="116"/>
      <c r="HV46" s="16">
        <f t="shared" si="44"/>
        <v>0</v>
      </c>
      <c r="HW46" s="90"/>
      <c r="HX46" s="90"/>
      <c r="HY46" s="90"/>
      <c r="HZ46" s="116"/>
      <c r="IA46" s="16">
        <f t="shared" si="45"/>
        <v>0</v>
      </c>
      <c r="IB46" s="90"/>
      <c r="IC46" s="90"/>
      <c r="ID46" s="90"/>
      <c r="IE46" s="116"/>
      <c r="IF46" s="16">
        <f t="shared" si="46"/>
        <v>0</v>
      </c>
      <c r="IG46" s="90"/>
      <c r="IH46" s="90"/>
      <c r="II46" s="90"/>
      <c r="IJ46" s="116"/>
      <c r="IK46" s="16">
        <f t="shared" si="47"/>
        <v>0</v>
      </c>
      <c r="IL46" s="90"/>
      <c r="IM46" s="90"/>
      <c r="IN46" s="90"/>
      <c r="IO46" s="116"/>
      <c r="IP46" s="16">
        <f t="shared" si="48"/>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49"/>
        <v>0</v>
      </c>
      <c r="BD47" s="90"/>
      <c r="BE47" s="90"/>
      <c r="BF47" s="90"/>
      <c r="BG47" s="116"/>
      <c r="BH47" s="16">
        <f t="shared" si="11"/>
        <v>0</v>
      </c>
      <c r="BI47" s="90"/>
      <c r="BJ47" s="90"/>
      <c r="BK47" s="90"/>
      <c r="BL47" s="116"/>
      <c r="BM47" s="16">
        <f t="shared" si="12"/>
        <v>0</v>
      </c>
      <c r="BN47" s="90"/>
      <c r="BO47" s="90"/>
      <c r="BP47" s="90"/>
      <c r="BQ47" s="116"/>
      <c r="BR47" s="16">
        <f t="shared" si="13"/>
        <v>0</v>
      </c>
      <c r="BS47" s="90"/>
      <c r="BT47" s="90"/>
      <c r="BU47" s="90"/>
      <c r="BV47" s="116"/>
      <c r="BW47" s="16">
        <f t="shared" si="14"/>
        <v>0</v>
      </c>
      <c r="BX47" s="90"/>
      <c r="BY47" s="90"/>
      <c r="BZ47" s="90"/>
      <c r="CA47" s="116"/>
      <c r="CB47" s="16">
        <f t="shared" si="15"/>
        <v>0</v>
      </c>
      <c r="CC47" s="90"/>
      <c r="CD47" s="90"/>
      <c r="CE47" s="90"/>
      <c r="CF47" s="116"/>
      <c r="CG47" s="16">
        <f t="shared" si="16"/>
        <v>0</v>
      </c>
      <c r="CH47" s="90"/>
      <c r="CI47" s="90"/>
      <c r="CJ47" s="90"/>
      <c r="CK47" s="116"/>
      <c r="CL47" s="16">
        <f t="shared" si="17"/>
        <v>0</v>
      </c>
      <c r="CM47" s="90"/>
      <c r="CN47" s="90"/>
      <c r="CO47" s="90"/>
      <c r="CP47" s="116"/>
      <c r="CQ47" s="16">
        <f t="shared" si="18"/>
        <v>0</v>
      </c>
      <c r="CR47" s="90"/>
      <c r="CS47" s="90"/>
      <c r="CT47" s="90"/>
      <c r="CU47" s="116"/>
      <c r="CV47" s="16">
        <f t="shared" si="19"/>
        <v>0</v>
      </c>
      <c r="CW47" s="90"/>
      <c r="CX47" s="90"/>
      <c r="CY47" s="90"/>
      <c r="CZ47" s="116"/>
      <c r="DA47" s="16">
        <f t="shared" si="20"/>
        <v>0</v>
      </c>
      <c r="DB47" s="90"/>
      <c r="DC47" s="90"/>
      <c r="DD47" s="90"/>
      <c r="DE47" s="116"/>
      <c r="DF47" s="16">
        <f t="shared" si="21"/>
        <v>0</v>
      </c>
      <c r="DG47" s="90"/>
      <c r="DH47" s="90"/>
      <c r="DI47" s="90"/>
      <c r="DJ47" s="116"/>
      <c r="DK47" s="16">
        <f t="shared" si="22"/>
        <v>0</v>
      </c>
      <c r="DL47" s="90"/>
      <c r="DM47" s="90"/>
      <c r="DN47" s="90"/>
      <c r="DO47" s="116"/>
      <c r="DP47" s="16">
        <f t="shared" si="23"/>
        <v>0</v>
      </c>
      <c r="DQ47" s="90"/>
      <c r="DR47" s="90"/>
      <c r="DS47" s="90"/>
      <c r="DT47" s="116"/>
      <c r="DU47" s="16">
        <f t="shared" si="24"/>
        <v>0</v>
      </c>
      <c r="DV47" s="90"/>
      <c r="DW47" s="90"/>
      <c r="DX47" s="90"/>
      <c r="DY47" s="116"/>
      <c r="DZ47" s="16">
        <f t="shared" si="25"/>
        <v>0</v>
      </c>
      <c r="EA47" s="90"/>
      <c r="EB47" s="90"/>
      <c r="EC47" s="90"/>
      <c r="ED47" s="116"/>
      <c r="EE47" s="16">
        <f t="shared" si="26"/>
        <v>0</v>
      </c>
      <c r="EF47" s="90"/>
      <c r="EG47" s="90"/>
      <c r="EH47" s="90"/>
      <c r="EI47" s="116"/>
      <c r="EJ47" s="16">
        <f t="shared" si="27"/>
        <v>0</v>
      </c>
      <c r="EK47" s="90"/>
      <c r="EL47" s="90"/>
      <c r="EM47" s="90"/>
      <c r="EN47" s="116"/>
      <c r="EO47" s="16">
        <f t="shared" si="28"/>
        <v>0</v>
      </c>
      <c r="EP47" s="90"/>
      <c r="EQ47" s="90"/>
      <c r="ER47" s="90"/>
      <c r="ES47" s="116"/>
      <c r="ET47" s="16">
        <f t="shared" si="29"/>
        <v>0</v>
      </c>
      <c r="EU47" s="90"/>
      <c r="EV47" s="90"/>
      <c r="EW47" s="90"/>
      <c r="EX47" s="116"/>
      <c r="EY47" s="16">
        <f t="shared" si="30"/>
        <v>0</v>
      </c>
      <c r="EZ47" s="90"/>
      <c r="FA47" s="90"/>
      <c r="FB47" s="90"/>
      <c r="FC47" s="116"/>
      <c r="FD47" s="16">
        <f t="shared" si="31"/>
        <v>0</v>
      </c>
      <c r="FE47" s="90"/>
      <c r="FF47" s="90"/>
      <c r="FG47" s="90"/>
      <c r="FH47" s="116"/>
      <c r="FI47" s="16">
        <f t="shared" si="50"/>
        <v>0</v>
      </c>
      <c r="FJ47" s="90"/>
      <c r="FK47" s="90"/>
      <c r="FL47" s="90"/>
      <c r="FM47" s="116"/>
      <c r="FN47" s="16">
        <f t="shared" si="32"/>
        <v>0</v>
      </c>
      <c r="FO47" s="90"/>
      <c r="FP47" s="90"/>
      <c r="FQ47" s="90"/>
      <c r="FR47" s="116"/>
      <c r="FS47" s="16">
        <f t="shared" si="33"/>
        <v>0</v>
      </c>
      <c r="FT47" s="90"/>
      <c r="FU47" s="90"/>
      <c r="FV47" s="90"/>
      <c r="FW47" s="116"/>
      <c r="FX47" s="16">
        <f t="shared" si="34"/>
        <v>0</v>
      </c>
      <c r="FY47" s="90"/>
      <c r="FZ47" s="90"/>
      <c r="GA47" s="90"/>
      <c r="GB47" s="116"/>
      <c r="GC47" s="16">
        <f t="shared" si="35"/>
        <v>0</v>
      </c>
      <c r="GD47" s="90"/>
      <c r="GE47" s="90"/>
      <c r="GF47" s="90"/>
      <c r="GG47" s="116"/>
      <c r="GH47" s="16">
        <f t="shared" si="36"/>
        <v>0</v>
      </c>
      <c r="GI47" s="90"/>
      <c r="GJ47" s="90"/>
      <c r="GK47" s="90"/>
      <c r="GL47" s="116"/>
      <c r="GM47" s="16">
        <f t="shared" si="37"/>
        <v>0</v>
      </c>
      <c r="GN47" s="90"/>
      <c r="GO47" s="90"/>
      <c r="GP47" s="90"/>
      <c r="GQ47" s="116"/>
      <c r="GR47" s="16">
        <f t="shared" si="38"/>
        <v>0</v>
      </c>
      <c r="GS47" s="90"/>
      <c r="GT47" s="90"/>
      <c r="GU47" s="90"/>
      <c r="GV47" s="116"/>
      <c r="GW47" s="16">
        <f t="shared" si="39"/>
        <v>0</v>
      </c>
      <c r="GX47" s="90"/>
      <c r="GY47" s="90"/>
      <c r="GZ47" s="90"/>
      <c r="HA47" s="116"/>
      <c r="HB47" s="16">
        <f t="shared" si="40"/>
        <v>0</v>
      </c>
      <c r="HC47" s="90"/>
      <c r="HD47" s="90"/>
      <c r="HE47" s="90"/>
      <c r="HF47" s="116"/>
      <c r="HG47" s="16">
        <f t="shared" si="41"/>
        <v>0</v>
      </c>
      <c r="HH47" s="90"/>
      <c r="HI47" s="90"/>
      <c r="HJ47" s="90"/>
      <c r="HK47" s="116"/>
      <c r="HL47" s="16">
        <f t="shared" si="42"/>
        <v>0</v>
      </c>
      <c r="HM47" s="90"/>
      <c r="HN47" s="90"/>
      <c r="HO47" s="90"/>
      <c r="HP47" s="116"/>
      <c r="HQ47" s="16">
        <f t="shared" si="43"/>
        <v>0</v>
      </c>
      <c r="HR47" s="90"/>
      <c r="HS47" s="90"/>
      <c r="HT47" s="90"/>
      <c r="HU47" s="116"/>
      <c r="HV47" s="16">
        <f t="shared" si="44"/>
        <v>0</v>
      </c>
      <c r="HW47" s="90"/>
      <c r="HX47" s="90"/>
      <c r="HY47" s="90"/>
      <c r="HZ47" s="116"/>
      <c r="IA47" s="16">
        <f t="shared" si="45"/>
        <v>0</v>
      </c>
      <c r="IB47" s="90"/>
      <c r="IC47" s="90"/>
      <c r="ID47" s="90"/>
      <c r="IE47" s="116"/>
      <c r="IF47" s="16">
        <f t="shared" si="46"/>
        <v>0</v>
      </c>
      <c r="IG47" s="90"/>
      <c r="IH47" s="90"/>
      <c r="II47" s="90"/>
      <c r="IJ47" s="116"/>
      <c r="IK47" s="16">
        <f t="shared" si="47"/>
        <v>0</v>
      </c>
      <c r="IL47" s="90"/>
      <c r="IM47" s="90"/>
      <c r="IN47" s="90"/>
      <c r="IO47" s="116"/>
      <c r="IP47" s="16">
        <f t="shared" si="48"/>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49"/>
        <v>0</v>
      </c>
      <c r="BD48" s="90"/>
      <c r="BE48" s="90"/>
      <c r="BF48" s="90"/>
      <c r="BG48" s="116"/>
      <c r="BH48" s="16">
        <f t="shared" si="11"/>
        <v>0</v>
      </c>
      <c r="BI48" s="90"/>
      <c r="BJ48" s="90"/>
      <c r="BK48" s="90"/>
      <c r="BL48" s="116"/>
      <c r="BM48" s="16">
        <f t="shared" si="12"/>
        <v>0</v>
      </c>
      <c r="BN48" s="90"/>
      <c r="BO48" s="90"/>
      <c r="BP48" s="90"/>
      <c r="BQ48" s="116"/>
      <c r="BR48" s="16">
        <f t="shared" si="13"/>
        <v>0</v>
      </c>
      <c r="BS48" s="90"/>
      <c r="BT48" s="90"/>
      <c r="BU48" s="90"/>
      <c r="BV48" s="116"/>
      <c r="BW48" s="16">
        <f t="shared" si="14"/>
        <v>0</v>
      </c>
      <c r="BX48" s="90"/>
      <c r="BY48" s="90"/>
      <c r="BZ48" s="90"/>
      <c r="CA48" s="116"/>
      <c r="CB48" s="16">
        <f t="shared" si="15"/>
        <v>0</v>
      </c>
      <c r="CC48" s="90"/>
      <c r="CD48" s="90"/>
      <c r="CE48" s="90"/>
      <c r="CF48" s="116"/>
      <c r="CG48" s="16">
        <f t="shared" si="16"/>
        <v>0</v>
      </c>
      <c r="CH48" s="90"/>
      <c r="CI48" s="90"/>
      <c r="CJ48" s="90"/>
      <c r="CK48" s="116"/>
      <c r="CL48" s="16">
        <f t="shared" si="17"/>
        <v>0</v>
      </c>
      <c r="CM48" s="90"/>
      <c r="CN48" s="90"/>
      <c r="CO48" s="90"/>
      <c r="CP48" s="116"/>
      <c r="CQ48" s="16">
        <f t="shared" si="18"/>
        <v>0</v>
      </c>
      <c r="CR48" s="90"/>
      <c r="CS48" s="90"/>
      <c r="CT48" s="90"/>
      <c r="CU48" s="116"/>
      <c r="CV48" s="16">
        <f t="shared" si="19"/>
        <v>0</v>
      </c>
      <c r="CW48" s="90"/>
      <c r="CX48" s="90"/>
      <c r="CY48" s="90"/>
      <c r="CZ48" s="116"/>
      <c r="DA48" s="16">
        <f t="shared" si="20"/>
        <v>0</v>
      </c>
      <c r="DB48" s="90"/>
      <c r="DC48" s="90"/>
      <c r="DD48" s="90"/>
      <c r="DE48" s="116"/>
      <c r="DF48" s="16">
        <f t="shared" si="21"/>
        <v>0</v>
      </c>
      <c r="DG48" s="90"/>
      <c r="DH48" s="90"/>
      <c r="DI48" s="90"/>
      <c r="DJ48" s="116"/>
      <c r="DK48" s="16">
        <f t="shared" si="22"/>
        <v>0</v>
      </c>
      <c r="DL48" s="90"/>
      <c r="DM48" s="90"/>
      <c r="DN48" s="90"/>
      <c r="DO48" s="116"/>
      <c r="DP48" s="16">
        <f t="shared" si="23"/>
        <v>0</v>
      </c>
      <c r="DQ48" s="90"/>
      <c r="DR48" s="90"/>
      <c r="DS48" s="90"/>
      <c r="DT48" s="116"/>
      <c r="DU48" s="16">
        <f t="shared" si="24"/>
        <v>0</v>
      </c>
      <c r="DV48" s="90"/>
      <c r="DW48" s="90"/>
      <c r="DX48" s="90"/>
      <c r="DY48" s="116"/>
      <c r="DZ48" s="16">
        <f t="shared" si="25"/>
        <v>0</v>
      </c>
      <c r="EA48" s="90"/>
      <c r="EB48" s="90"/>
      <c r="EC48" s="90"/>
      <c r="ED48" s="116"/>
      <c r="EE48" s="16">
        <f t="shared" si="26"/>
        <v>0</v>
      </c>
      <c r="EF48" s="90"/>
      <c r="EG48" s="90"/>
      <c r="EH48" s="90"/>
      <c r="EI48" s="116"/>
      <c r="EJ48" s="16">
        <f t="shared" si="27"/>
        <v>0</v>
      </c>
      <c r="EK48" s="90"/>
      <c r="EL48" s="90"/>
      <c r="EM48" s="90"/>
      <c r="EN48" s="116"/>
      <c r="EO48" s="16">
        <f t="shared" si="28"/>
        <v>0</v>
      </c>
      <c r="EP48" s="90"/>
      <c r="EQ48" s="90"/>
      <c r="ER48" s="90"/>
      <c r="ES48" s="116"/>
      <c r="ET48" s="16">
        <f t="shared" si="29"/>
        <v>0</v>
      </c>
      <c r="EU48" s="90"/>
      <c r="EV48" s="90"/>
      <c r="EW48" s="90"/>
      <c r="EX48" s="116"/>
      <c r="EY48" s="16">
        <f t="shared" si="30"/>
        <v>0</v>
      </c>
      <c r="EZ48" s="90"/>
      <c r="FA48" s="90"/>
      <c r="FB48" s="90"/>
      <c r="FC48" s="116"/>
      <c r="FD48" s="16">
        <f t="shared" si="31"/>
        <v>0</v>
      </c>
      <c r="FE48" s="90"/>
      <c r="FF48" s="90"/>
      <c r="FG48" s="90"/>
      <c r="FH48" s="116"/>
      <c r="FI48" s="16">
        <f t="shared" si="50"/>
        <v>0</v>
      </c>
      <c r="FJ48" s="90"/>
      <c r="FK48" s="90"/>
      <c r="FL48" s="90"/>
      <c r="FM48" s="116"/>
      <c r="FN48" s="16">
        <f t="shared" si="32"/>
        <v>0</v>
      </c>
      <c r="FO48" s="90"/>
      <c r="FP48" s="90"/>
      <c r="FQ48" s="90"/>
      <c r="FR48" s="116"/>
      <c r="FS48" s="16">
        <f t="shared" si="33"/>
        <v>0</v>
      </c>
      <c r="FT48" s="90"/>
      <c r="FU48" s="90"/>
      <c r="FV48" s="90"/>
      <c r="FW48" s="116"/>
      <c r="FX48" s="16">
        <f t="shared" si="34"/>
        <v>0</v>
      </c>
      <c r="FY48" s="90"/>
      <c r="FZ48" s="90"/>
      <c r="GA48" s="90"/>
      <c r="GB48" s="116"/>
      <c r="GC48" s="16">
        <f t="shared" si="35"/>
        <v>0</v>
      </c>
      <c r="GD48" s="90"/>
      <c r="GE48" s="90"/>
      <c r="GF48" s="90"/>
      <c r="GG48" s="116"/>
      <c r="GH48" s="16">
        <f t="shared" si="36"/>
        <v>0</v>
      </c>
      <c r="GI48" s="90"/>
      <c r="GJ48" s="90"/>
      <c r="GK48" s="90"/>
      <c r="GL48" s="116"/>
      <c r="GM48" s="16">
        <f t="shared" si="37"/>
        <v>0</v>
      </c>
      <c r="GN48" s="90"/>
      <c r="GO48" s="90"/>
      <c r="GP48" s="90"/>
      <c r="GQ48" s="116"/>
      <c r="GR48" s="16">
        <f t="shared" si="38"/>
        <v>0</v>
      </c>
      <c r="GS48" s="90"/>
      <c r="GT48" s="90"/>
      <c r="GU48" s="90"/>
      <c r="GV48" s="116"/>
      <c r="GW48" s="16">
        <f t="shared" si="39"/>
        <v>0</v>
      </c>
      <c r="GX48" s="90"/>
      <c r="GY48" s="90"/>
      <c r="GZ48" s="90"/>
      <c r="HA48" s="116"/>
      <c r="HB48" s="16">
        <f t="shared" si="40"/>
        <v>0</v>
      </c>
      <c r="HC48" s="90"/>
      <c r="HD48" s="90"/>
      <c r="HE48" s="90"/>
      <c r="HF48" s="116"/>
      <c r="HG48" s="16">
        <f t="shared" si="41"/>
        <v>0</v>
      </c>
      <c r="HH48" s="90"/>
      <c r="HI48" s="90"/>
      <c r="HJ48" s="90"/>
      <c r="HK48" s="116"/>
      <c r="HL48" s="16">
        <f t="shared" si="42"/>
        <v>0</v>
      </c>
      <c r="HM48" s="90"/>
      <c r="HN48" s="90"/>
      <c r="HO48" s="90"/>
      <c r="HP48" s="116"/>
      <c r="HQ48" s="16">
        <f t="shared" si="43"/>
        <v>0</v>
      </c>
      <c r="HR48" s="90"/>
      <c r="HS48" s="90"/>
      <c r="HT48" s="90"/>
      <c r="HU48" s="116"/>
      <c r="HV48" s="16">
        <f t="shared" si="44"/>
        <v>0</v>
      </c>
      <c r="HW48" s="90"/>
      <c r="HX48" s="90"/>
      <c r="HY48" s="90"/>
      <c r="HZ48" s="116"/>
      <c r="IA48" s="16">
        <f t="shared" si="45"/>
        <v>0</v>
      </c>
      <c r="IB48" s="90"/>
      <c r="IC48" s="90"/>
      <c r="ID48" s="90"/>
      <c r="IE48" s="116"/>
      <c r="IF48" s="16">
        <f t="shared" si="46"/>
        <v>0</v>
      </c>
      <c r="IG48" s="90"/>
      <c r="IH48" s="90"/>
      <c r="II48" s="90"/>
      <c r="IJ48" s="116"/>
      <c r="IK48" s="16">
        <f t="shared" si="47"/>
        <v>0</v>
      </c>
      <c r="IL48" s="90"/>
      <c r="IM48" s="90"/>
      <c r="IN48" s="90"/>
      <c r="IO48" s="116"/>
      <c r="IP48" s="16">
        <f t="shared" si="48"/>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49"/>
        <v>0</v>
      </c>
      <c r="BD49" s="90"/>
      <c r="BE49" s="90"/>
      <c r="BF49" s="90"/>
      <c r="BG49" s="116"/>
      <c r="BH49" s="16">
        <f t="shared" si="11"/>
        <v>0</v>
      </c>
      <c r="BI49" s="90"/>
      <c r="BJ49" s="90"/>
      <c r="BK49" s="90"/>
      <c r="BL49" s="116"/>
      <c r="BM49" s="16">
        <f t="shared" si="12"/>
        <v>0</v>
      </c>
      <c r="BN49" s="90"/>
      <c r="BO49" s="90"/>
      <c r="BP49" s="90"/>
      <c r="BQ49" s="116"/>
      <c r="BR49" s="16">
        <f t="shared" si="13"/>
        <v>0</v>
      </c>
      <c r="BS49" s="90"/>
      <c r="BT49" s="90"/>
      <c r="BU49" s="90"/>
      <c r="BV49" s="116"/>
      <c r="BW49" s="16">
        <f t="shared" si="14"/>
        <v>0</v>
      </c>
      <c r="BX49" s="90"/>
      <c r="BY49" s="90"/>
      <c r="BZ49" s="90"/>
      <c r="CA49" s="116"/>
      <c r="CB49" s="16">
        <f t="shared" si="15"/>
        <v>0</v>
      </c>
      <c r="CC49" s="90"/>
      <c r="CD49" s="90"/>
      <c r="CE49" s="90"/>
      <c r="CF49" s="116"/>
      <c r="CG49" s="16">
        <f t="shared" si="16"/>
        <v>0</v>
      </c>
      <c r="CH49" s="90"/>
      <c r="CI49" s="90"/>
      <c r="CJ49" s="90"/>
      <c r="CK49" s="116"/>
      <c r="CL49" s="16">
        <f t="shared" si="17"/>
        <v>0</v>
      </c>
      <c r="CM49" s="90"/>
      <c r="CN49" s="90"/>
      <c r="CO49" s="90"/>
      <c r="CP49" s="116"/>
      <c r="CQ49" s="16">
        <f t="shared" si="18"/>
        <v>0</v>
      </c>
      <c r="CR49" s="90"/>
      <c r="CS49" s="90"/>
      <c r="CT49" s="90"/>
      <c r="CU49" s="116"/>
      <c r="CV49" s="16">
        <f t="shared" si="19"/>
        <v>0</v>
      </c>
      <c r="CW49" s="90"/>
      <c r="CX49" s="90"/>
      <c r="CY49" s="90"/>
      <c r="CZ49" s="116"/>
      <c r="DA49" s="16">
        <f t="shared" si="20"/>
        <v>0</v>
      </c>
      <c r="DB49" s="90"/>
      <c r="DC49" s="90"/>
      <c r="DD49" s="90"/>
      <c r="DE49" s="116"/>
      <c r="DF49" s="16">
        <f t="shared" si="21"/>
        <v>0</v>
      </c>
      <c r="DG49" s="90"/>
      <c r="DH49" s="90"/>
      <c r="DI49" s="90"/>
      <c r="DJ49" s="116"/>
      <c r="DK49" s="16">
        <f t="shared" si="22"/>
        <v>0</v>
      </c>
      <c r="DL49" s="90"/>
      <c r="DM49" s="90"/>
      <c r="DN49" s="90"/>
      <c r="DO49" s="116"/>
      <c r="DP49" s="16">
        <f t="shared" si="23"/>
        <v>0</v>
      </c>
      <c r="DQ49" s="90"/>
      <c r="DR49" s="90"/>
      <c r="DS49" s="90"/>
      <c r="DT49" s="116"/>
      <c r="DU49" s="16">
        <f t="shared" si="24"/>
        <v>0</v>
      </c>
      <c r="DV49" s="90"/>
      <c r="DW49" s="90"/>
      <c r="DX49" s="90"/>
      <c r="DY49" s="116"/>
      <c r="DZ49" s="16">
        <f t="shared" si="25"/>
        <v>0</v>
      </c>
      <c r="EA49" s="90"/>
      <c r="EB49" s="90"/>
      <c r="EC49" s="90"/>
      <c r="ED49" s="116"/>
      <c r="EE49" s="16">
        <f t="shared" si="26"/>
        <v>0</v>
      </c>
      <c r="EF49" s="90"/>
      <c r="EG49" s="90"/>
      <c r="EH49" s="90"/>
      <c r="EI49" s="116"/>
      <c r="EJ49" s="16">
        <f t="shared" si="27"/>
        <v>0</v>
      </c>
      <c r="EK49" s="90"/>
      <c r="EL49" s="90"/>
      <c r="EM49" s="90"/>
      <c r="EN49" s="116"/>
      <c r="EO49" s="16">
        <f t="shared" si="28"/>
        <v>0</v>
      </c>
      <c r="EP49" s="90"/>
      <c r="EQ49" s="90"/>
      <c r="ER49" s="90"/>
      <c r="ES49" s="116"/>
      <c r="ET49" s="16">
        <f t="shared" si="29"/>
        <v>0</v>
      </c>
      <c r="EU49" s="90"/>
      <c r="EV49" s="90"/>
      <c r="EW49" s="90"/>
      <c r="EX49" s="116"/>
      <c r="EY49" s="16">
        <f t="shared" si="30"/>
        <v>0</v>
      </c>
      <c r="EZ49" s="90"/>
      <c r="FA49" s="90"/>
      <c r="FB49" s="90"/>
      <c r="FC49" s="116"/>
      <c r="FD49" s="16">
        <f t="shared" si="31"/>
        <v>0</v>
      </c>
      <c r="FE49" s="90"/>
      <c r="FF49" s="90"/>
      <c r="FG49" s="90"/>
      <c r="FH49" s="116"/>
      <c r="FI49" s="16">
        <f t="shared" si="50"/>
        <v>0</v>
      </c>
      <c r="FJ49" s="90"/>
      <c r="FK49" s="90"/>
      <c r="FL49" s="90"/>
      <c r="FM49" s="116"/>
      <c r="FN49" s="16">
        <f t="shared" si="32"/>
        <v>0</v>
      </c>
      <c r="FO49" s="90"/>
      <c r="FP49" s="90"/>
      <c r="FQ49" s="90"/>
      <c r="FR49" s="116"/>
      <c r="FS49" s="16">
        <f t="shared" si="33"/>
        <v>0</v>
      </c>
      <c r="FT49" s="90"/>
      <c r="FU49" s="90"/>
      <c r="FV49" s="90"/>
      <c r="FW49" s="116"/>
      <c r="FX49" s="16">
        <f t="shared" si="34"/>
        <v>0</v>
      </c>
      <c r="FY49" s="90"/>
      <c r="FZ49" s="90"/>
      <c r="GA49" s="90"/>
      <c r="GB49" s="116"/>
      <c r="GC49" s="16">
        <f t="shared" si="35"/>
        <v>0</v>
      </c>
      <c r="GD49" s="90"/>
      <c r="GE49" s="90"/>
      <c r="GF49" s="90"/>
      <c r="GG49" s="116"/>
      <c r="GH49" s="16">
        <f t="shared" si="36"/>
        <v>0</v>
      </c>
      <c r="GI49" s="90"/>
      <c r="GJ49" s="90"/>
      <c r="GK49" s="90"/>
      <c r="GL49" s="116"/>
      <c r="GM49" s="16">
        <f t="shared" si="37"/>
        <v>0</v>
      </c>
      <c r="GN49" s="90"/>
      <c r="GO49" s="90"/>
      <c r="GP49" s="90"/>
      <c r="GQ49" s="116"/>
      <c r="GR49" s="16">
        <f t="shared" si="38"/>
        <v>0</v>
      </c>
      <c r="GS49" s="90"/>
      <c r="GT49" s="90"/>
      <c r="GU49" s="90"/>
      <c r="GV49" s="116"/>
      <c r="GW49" s="16">
        <f t="shared" si="39"/>
        <v>0</v>
      </c>
      <c r="GX49" s="90"/>
      <c r="GY49" s="90"/>
      <c r="GZ49" s="90"/>
      <c r="HA49" s="116"/>
      <c r="HB49" s="16">
        <f t="shared" si="40"/>
        <v>0</v>
      </c>
      <c r="HC49" s="90"/>
      <c r="HD49" s="90"/>
      <c r="HE49" s="90"/>
      <c r="HF49" s="116"/>
      <c r="HG49" s="16">
        <f t="shared" si="41"/>
        <v>0</v>
      </c>
      <c r="HH49" s="90"/>
      <c r="HI49" s="90"/>
      <c r="HJ49" s="90"/>
      <c r="HK49" s="116"/>
      <c r="HL49" s="16">
        <f t="shared" si="42"/>
        <v>0</v>
      </c>
      <c r="HM49" s="90"/>
      <c r="HN49" s="90"/>
      <c r="HO49" s="90"/>
      <c r="HP49" s="116"/>
      <c r="HQ49" s="16">
        <f t="shared" si="43"/>
        <v>0</v>
      </c>
      <c r="HR49" s="90"/>
      <c r="HS49" s="90"/>
      <c r="HT49" s="90"/>
      <c r="HU49" s="116"/>
      <c r="HV49" s="16">
        <f t="shared" si="44"/>
        <v>0</v>
      </c>
      <c r="HW49" s="90"/>
      <c r="HX49" s="90"/>
      <c r="HY49" s="90"/>
      <c r="HZ49" s="116"/>
      <c r="IA49" s="16">
        <f t="shared" si="45"/>
        <v>0</v>
      </c>
      <c r="IB49" s="90"/>
      <c r="IC49" s="90"/>
      <c r="ID49" s="90"/>
      <c r="IE49" s="116"/>
      <c r="IF49" s="16">
        <f t="shared" si="46"/>
        <v>0</v>
      </c>
      <c r="IG49" s="90"/>
      <c r="IH49" s="90"/>
      <c r="II49" s="90"/>
      <c r="IJ49" s="116"/>
      <c r="IK49" s="16">
        <f t="shared" si="47"/>
        <v>0</v>
      </c>
      <c r="IL49" s="90"/>
      <c r="IM49" s="90"/>
      <c r="IN49" s="90"/>
      <c r="IO49" s="116"/>
      <c r="IP49" s="16">
        <f t="shared" si="48"/>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49"/>
        <v>0</v>
      </c>
      <c r="BD50" s="90"/>
      <c r="BE50" s="90"/>
      <c r="BF50" s="90"/>
      <c r="BG50" s="116"/>
      <c r="BH50" s="16">
        <f t="shared" si="11"/>
        <v>0</v>
      </c>
      <c r="BI50" s="90"/>
      <c r="BJ50" s="90"/>
      <c r="BK50" s="90"/>
      <c r="BL50" s="116"/>
      <c r="BM50" s="16">
        <f t="shared" si="12"/>
        <v>0</v>
      </c>
      <c r="BN50" s="90"/>
      <c r="BO50" s="90"/>
      <c r="BP50" s="90"/>
      <c r="BQ50" s="116"/>
      <c r="BR50" s="16">
        <f t="shared" si="13"/>
        <v>0</v>
      </c>
      <c r="BS50" s="90"/>
      <c r="BT50" s="90"/>
      <c r="BU50" s="90"/>
      <c r="BV50" s="116"/>
      <c r="BW50" s="16">
        <f t="shared" si="14"/>
        <v>0</v>
      </c>
      <c r="BX50" s="90"/>
      <c r="BY50" s="90"/>
      <c r="BZ50" s="90"/>
      <c r="CA50" s="116"/>
      <c r="CB50" s="16">
        <f t="shared" si="15"/>
        <v>0</v>
      </c>
      <c r="CC50" s="90"/>
      <c r="CD50" s="90"/>
      <c r="CE50" s="90"/>
      <c r="CF50" s="116"/>
      <c r="CG50" s="16">
        <f t="shared" si="16"/>
        <v>0</v>
      </c>
      <c r="CH50" s="90"/>
      <c r="CI50" s="90"/>
      <c r="CJ50" s="90"/>
      <c r="CK50" s="116"/>
      <c r="CL50" s="16">
        <f t="shared" si="17"/>
        <v>0</v>
      </c>
      <c r="CM50" s="90"/>
      <c r="CN50" s="90"/>
      <c r="CO50" s="90"/>
      <c r="CP50" s="116"/>
      <c r="CQ50" s="16">
        <f t="shared" si="18"/>
        <v>0</v>
      </c>
      <c r="CR50" s="90"/>
      <c r="CS50" s="90"/>
      <c r="CT50" s="90"/>
      <c r="CU50" s="116"/>
      <c r="CV50" s="16">
        <f t="shared" si="19"/>
        <v>0</v>
      </c>
      <c r="CW50" s="90"/>
      <c r="CX50" s="90"/>
      <c r="CY50" s="90"/>
      <c r="CZ50" s="116"/>
      <c r="DA50" s="16">
        <f t="shared" si="20"/>
        <v>0</v>
      </c>
      <c r="DB50" s="90"/>
      <c r="DC50" s="90"/>
      <c r="DD50" s="90"/>
      <c r="DE50" s="116"/>
      <c r="DF50" s="16">
        <f t="shared" si="21"/>
        <v>0</v>
      </c>
      <c r="DG50" s="90"/>
      <c r="DH50" s="90"/>
      <c r="DI50" s="90"/>
      <c r="DJ50" s="116"/>
      <c r="DK50" s="16">
        <f t="shared" si="22"/>
        <v>0</v>
      </c>
      <c r="DL50" s="90"/>
      <c r="DM50" s="90"/>
      <c r="DN50" s="90"/>
      <c r="DO50" s="116"/>
      <c r="DP50" s="16">
        <f t="shared" si="23"/>
        <v>0</v>
      </c>
      <c r="DQ50" s="90"/>
      <c r="DR50" s="90"/>
      <c r="DS50" s="90"/>
      <c r="DT50" s="116"/>
      <c r="DU50" s="16">
        <f t="shared" si="24"/>
        <v>0</v>
      </c>
      <c r="DV50" s="90"/>
      <c r="DW50" s="90"/>
      <c r="DX50" s="90"/>
      <c r="DY50" s="116"/>
      <c r="DZ50" s="16">
        <f t="shared" si="25"/>
        <v>0</v>
      </c>
      <c r="EA50" s="90"/>
      <c r="EB50" s="90"/>
      <c r="EC50" s="90"/>
      <c r="ED50" s="116"/>
      <c r="EE50" s="16">
        <f t="shared" si="26"/>
        <v>0</v>
      </c>
      <c r="EF50" s="90"/>
      <c r="EG50" s="90"/>
      <c r="EH50" s="90"/>
      <c r="EI50" s="116"/>
      <c r="EJ50" s="16">
        <f t="shared" si="27"/>
        <v>0</v>
      </c>
      <c r="EK50" s="90"/>
      <c r="EL50" s="90"/>
      <c r="EM50" s="90"/>
      <c r="EN50" s="116"/>
      <c r="EO50" s="16">
        <f t="shared" si="28"/>
        <v>0</v>
      </c>
      <c r="EP50" s="90"/>
      <c r="EQ50" s="90"/>
      <c r="ER50" s="90"/>
      <c r="ES50" s="116"/>
      <c r="ET50" s="16">
        <f t="shared" si="29"/>
        <v>0</v>
      </c>
      <c r="EU50" s="90"/>
      <c r="EV50" s="90"/>
      <c r="EW50" s="90"/>
      <c r="EX50" s="116"/>
      <c r="EY50" s="16">
        <f t="shared" si="30"/>
        <v>0</v>
      </c>
      <c r="EZ50" s="90"/>
      <c r="FA50" s="90"/>
      <c r="FB50" s="90"/>
      <c r="FC50" s="116"/>
      <c r="FD50" s="16">
        <f t="shared" si="31"/>
        <v>0</v>
      </c>
      <c r="FE50" s="90"/>
      <c r="FF50" s="90"/>
      <c r="FG50" s="90"/>
      <c r="FH50" s="116"/>
      <c r="FI50" s="16">
        <f t="shared" si="50"/>
        <v>0</v>
      </c>
      <c r="FJ50" s="90"/>
      <c r="FK50" s="90"/>
      <c r="FL50" s="90"/>
      <c r="FM50" s="116"/>
      <c r="FN50" s="16">
        <f t="shared" si="32"/>
        <v>0</v>
      </c>
      <c r="FO50" s="90"/>
      <c r="FP50" s="90"/>
      <c r="FQ50" s="90"/>
      <c r="FR50" s="116"/>
      <c r="FS50" s="16">
        <f t="shared" si="33"/>
        <v>0</v>
      </c>
      <c r="FT50" s="90"/>
      <c r="FU50" s="90"/>
      <c r="FV50" s="90"/>
      <c r="FW50" s="116"/>
      <c r="FX50" s="16">
        <f t="shared" si="34"/>
        <v>0</v>
      </c>
      <c r="FY50" s="90"/>
      <c r="FZ50" s="90"/>
      <c r="GA50" s="90"/>
      <c r="GB50" s="116"/>
      <c r="GC50" s="16">
        <f t="shared" si="35"/>
        <v>0</v>
      </c>
      <c r="GD50" s="90"/>
      <c r="GE50" s="90"/>
      <c r="GF50" s="90"/>
      <c r="GG50" s="116"/>
      <c r="GH50" s="16">
        <f t="shared" si="36"/>
        <v>0</v>
      </c>
      <c r="GI50" s="90"/>
      <c r="GJ50" s="90"/>
      <c r="GK50" s="90"/>
      <c r="GL50" s="116"/>
      <c r="GM50" s="16">
        <f t="shared" si="37"/>
        <v>0</v>
      </c>
      <c r="GN50" s="90"/>
      <c r="GO50" s="90"/>
      <c r="GP50" s="90"/>
      <c r="GQ50" s="116"/>
      <c r="GR50" s="16">
        <f t="shared" si="38"/>
        <v>0</v>
      </c>
      <c r="GS50" s="90"/>
      <c r="GT50" s="90"/>
      <c r="GU50" s="90"/>
      <c r="GV50" s="116"/>
      <c r="GW50" s="16">
        <f t="shared" si="39"/>
        <v>0</v>
      </c>
      <c r="GX50" s="90"/>
      <c r="GY50" s="90"/>
      <c r="GZ50" s="90"/>
      <c r="HA50" s="116"/>
      <c r="HB50" s="16">
        <f t="shared" si="40"/>
        <v>0</v>
      </c>
      <c r="HC50" s="90"/>
      <c r="HD50" s="90"/>
      <c r="HE50" s="90"/>
      <c r="HF50" s="116"/>
      <c r="HG50" s="16">
        <f t="shared" si="41"/>
        <v>0</v>
      </c>
      <c r="HH50" s="90"/>
      <c r="HI50" s="90"/>
      <c r="HJ50" s="90"/>
      <c r="HK50" s="116"/>
      <c r="HL50" s="16">
        <f t="shared" si="42"/>
        <v>0</v>
      </c>
      <c r="HM50" s="90"/>
      <c r="HN50" s="90"/>
      <c r="HO50" s="90"/>
      <c r="HP50" s="116"/>
      <c r="HQ50" s="16">
        <f t="shared" si="43"/>
        <v>0</v>
      </c>
      <c r="HR50" s="90"/>
      <c r="HS50" s="90"/>
      <c r="HT50" s="90"/>
      <c r="HU50" s="116"/>
      <c r="HV50" s="16">
        <f t="shared" si="44"/>
        <v>0</v>
      </c>
      <c r="HW50" s="90"/>
      <c r="HX50" s="90"/>
      <c r="HY50" s="90"/>
      <c r="HZ50" s="116"/>
      <c r="IA50" s="16">
        <f t="shared" si="45"/>
        <v>0</v>
      </c>
      <c r="IB50" s="90"/>
      <c r="IC50" s="90"/>
      <c r="ID50" s="90"/>
      <c r="IE50" s="116"/>
      <c r="IF50" s="16">
        <f t="shared" si="46"/>
        <v>0</v>
      </c>
      <c r="IG50" s="90"/>
      <c r="IH50" s="90"/>
      <c r="II50" s="90"/>
      <c r="IJ50" s="116"/>
      <c r="IK50" s="16">
        <f t="shared" si="47"/>
        <v>0</v>
      </c>
      <c r="IL50" s="90"/>
      <c r="IM50" s="90"/>
      <c r="IN50" s="90"/>
      <c r="IO50" s="116"/>
      <c r="IP50" s="16">
        <f t="shared" si="48"/>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49"/>
        <v>0</v>
      </c>
      <c r="BD51" s="90"/>
      <c r="BE51" s="90"/>
      <c r="BF51" s="90"/>
      <c r="BG51" s="116"/>
      <c r="BH51" s="16">
        <f t="shared" si="11"/>
        <v>0</v>
      </c>
      <c r="BI51" s="90"/>
      <c r="BJ51" s="90"/>
      <c r="BK51" s="90"/>
      <c r="BL51" s="116"/>
      <c r="BM51" s="16">
        <f t="shared" si="12"/>
        <v>0</v>
      </c>
      <c r="BN51" s="90"/>
      <c r="BO51" s="90"/>
      <c r="BP51" s="90"/>
      <c r="BQ51" s="116"/>
      <c r="BR51" s="16">
        <f t="shared" si="13"/>
        <v>0</v>
      </c>
      <c r="BS51" s="90"/>
      <c r="BT51" s="90"/>
      <c r="BU51" s="90"/>
      <c r="BV51" s="116"/>
      <c r="BW51" s="16">
        <f t="shared" si="14"/>
        <v>0</v>
      </c>
      <c r="BX51" s="90"/>
      <c r="BY51" s="90"/>
      <c r="BZ51" s="90"/>
      <c r="CA51" s="116"/>
      <c r="CB51" s="16">
        <f t="shared" si="15"/>
        <v>0</v>
      </c>
      <c r="CC51" s="90"/>
      <c r="CD51" s="90"/>
      <c r="CE51" s="90"/>
      <c r="CF51" s="116"/>
      <c r="CG51" s="16">
        <f t="shared" si="16"/>
        <v>0</v>
      </c>
      <c r="CH51" s="90"/>
      <c r="CI51" s="90"/>
      <c r="CJ51" s="90"/>
      <c r="CK51" s="116"/>
      <c r="CL51" s="16">
        <f t="shared" si="17"/>
        <v>0</v>
      </c>
      <c r="CM51" s="90"/>
      <c r="CN51" s="90"/>
      <c r="CO51" s="90"/>
      <c r="CP51" s="116"/>
      <c r="CQ51" s="16">
        <f t="shared" si="18"/>
        <v>0</v>
      </c>
      <c r="CR51" s="90"/>
      <c r="CS51" s="90"/>
      <c r="CT51" s="90"/>
      <c r="CU51" s="116"/>
      <c r="CV51" s="16">
        <f t="shared" si="19"/>
        <v>0</v>
      </c>
      <c r="CW51" s="90"/>
      <c r="CX51" s="90"/>
      <c r="CY51" s="90"/>
      <c r="CZ51" s="116"/>
      <c r="DA51" s="16">
        <f t="shared" si="20"/>
        <v>0</v>
      </c>
      <c r="DB51" s="90"/>
      <c r="DC51" s="90"/>
      <c r="DD51" s="90"/>
      <c r="DE51" s="116"/>
      <c r="DF51" s="16">
        <f t="shared" si="21"/>
        <v>0</v>
      </c>
      <c r="DG51" s="90"/>
      <c r="DH51" s="90"/>
      <c r="DI51" s="90"/>
      <c r="DJ51" s="116"/>
      <c r="DK51" s="16">
        <f t="shared" si="22"/>
        <v>0</v>
      </c>
      <c r="DL51" s="90"/>
      <c r="DM51" s="90"/>
      <c r="DN51" s="90"/>
      <c r="DO51" s="116"/>
      <c r="DP51" s="16">
        <f t="shared" si="23"/>
        <v>0</v>
      </c>
      <c r="DQ51" s="90"/>
      <c r="DR51" s="90"/>
      <c r="DS51" s="90"/>
      <c r="DT51" s="116"/>
      <c r="DU51" s="16">
        <f t="shared" si="24"/>
        <v>0</v>
      </c>
      <c r="DV51" s="90"/>
      <c r="DW51" s="90"/>
      <c r="DX51" s="90"/>
      <c r="DY51" s="116"/>
      <c r="DZ51" s="16">
        <f t="shared" si="25"/>
        <v>0</v>
      </c>
      <c r="EA51" s="90"/>
      <c r="EB51" s="90"/>
      <c r="EC51" s="90"/>
      <c r="ED51" s="116"/>
      <c r="EE51" s="16">
        <f t="shared" si="26"/>
        <v>0</v>
      </c>
      <c r="EF51" s="90"/>
      <c r="EG51" s="90"/>
      <c r="EH51" s="90"/>
      <c r="EI51" s="116"/>
      <c r="EJ51" s="16">
        <f t="shared" si="27"/>
        <v>0</v>
      </c>
      <c r="EK51" s="90"/>
      <c r="EL51" s="90"/>
      <c r="EM51" s="90"/>
      <c r="EN51" s="116"/>
      <c r="EO51" s="16">
        <f t="shared" si="28"/>
        <v>0</v>
      </c>
      <c r="EP51" s="90"/>
      <c r="EQ51" s="90"/>
      <c r="ER51" s="90"/>
      <c r="ES51" s="116"/>
      <c r="ET51" s="16">
        <f t="shared" si="29"/>
        <v>0</v>
      </c>
      <c r="EU51" s="90"/>
      <c r="EV51" s="90"/>
      <c r="EW51" s="90"/>
      <c r="EX51" s="116"/>
      <c r="EY51" s="16">
        <f t="shared" si="30"/>
        <v>0</v>
      </c>
      <c r="EZ51" s="90"/>
      <c r="FA51" s="90"/>
      <c r="FB51" s="90"/>
      <c r="FC51" s="116"/>
      <c r="FD51" s="16">
        <f t="shared" si="31"/>
        <v>0</v>
      </c>
      <c r="FE51" s="90"/>
      <c r="FF51" s="90"/>
      <c r="FG51" s="90"/>
      <c r="FH51" s="116"/>
      <c r="FI51" s="16">
        <f t="shared" si="50"/>
        <v>0</v>
      </c>
      <c r="FJ51" s="90"/>
      <c r="FK51" s="90"/>
      <c r="FL51" s="90"/>
      <c r="FM51" s="116"/>
      <c r="FN51" s="16">
        <f t="shared" si="32"/>
        <v>0</v>
      </c>
      <c r="FO51" s="90"/>
      <c r="FP51" s="90"/>
      <c r="FQ51" s="90"/>
      <c r="FR51" s="116"/>
      <c r="FS51" s="16">
        <f t="shared" si="33"/>
        <v>0</v>
      </c>
      <c r="FT51" s="90"/>
      <c r="FU51" s="90"/>
      <c r="FV51" s="90"/>
      <c r="FW51" s="116"/>
      <c r="FX51" s="16">
        <f t="shared" si="34"/>
        <v>0</v>
      </c>
      <c r="FY51" s="90"/>
      <c r="FZ51" s="90"/>
      <c r="GA51" s="90"/>
      <c r="GB51" s="116"/>
      <c r="GC51" s="16">
        <f t="shared" si="35"/>
        <v>0</v>
      </c>
      <c r="GD51" s="90"/>
      <c r="GE51" s="90"/>
      <c r="GF51" s="90"/>
      <c r="GG51" s="116"/>
      <c r="GH51" s="16">
        <f t="shared" si="36"/>
        <v>0</v>
      </c>
      <c r="GI51" s="90"/>
      <c r="GJ51" s="90"/>
      <c r="GK51" s="90"/>
      <c r="GL51" s="116"/>
      <c r="GM51" s="16">
        <f t="shared" si="37"/>
        <v>0</v>
      </c>
      <c r="GN51" s="90"/>
      <c r="GO51" s="90"/>
      <c r="GP51" s="90"/>
      <c r="GQ51" s="116"/>
      <c r="GR51" s="16">
        <f t="shared" si="38"/>
        <v>0</v>
      </c>
      <c r="GS51" s="90"/>
      <c r="GT51" s="90"/>
      <c r="GU51" s="90"/>
      <c r="GV51" s="116"/>
      <c r="GW51" s="16">
        <f t="shared" si="39"/>
        <v>0</v>
      </c>
      <c r="GX51" s="90"/>
      <c r="GY51" s="90"/>
      <c r="GZ51" s="90"/>
      <c r="HA51" s="116"/>
      <c r="HB51" s="16">
        <f t="shared" si="40"/>
        <v>0</v>
      </c>
      <c r="HC51" s="90"/>
      <c r="HD51" s="90"/>
      <c r="HE51" s="90"/>
      <c r="HF51" s="116"/>
      <c r="HG51" s="16">
        <f t="shared" si="41"/>
        <v>0</v>
      </c>
      <c r="HH51" s="90"/>
      <c r="HI51" s="90"/>
      <c r="HJ51" s="90"/>
      <c r="HK51" s="116"/>
      <c r="HL51" s="16">
        <f t="shared" si="42"/>
        <v>0</v>
      </c>
      <c r="HM51" s="90"/>
      <c r="HN51" s="90"/>
      <c r="HO51" s="90"/>
      <c r="HP51" s="116"/>
      <c r="HQ51" s="16">
        <f t="shared" si="43"/>
        <v>0</v>
      </c>
      <c r="HR51" s="90"/>
      <c r="HS51" s="90"/>
      <c r="HT51" s="90"/>
      <c r="HU51" s="116"/>
      <c r="HV51" s="16">
        <f t="shared" si="44"/>
        <v>0</v>
      </c>
      <c r="HW51" s="90"/>
      <c r="HX51" s="90"/>
      <c r="HY51" s="90"/>
      <c r="HZ51" s="116"/>
      <c r="IA51" s="16">
        <f t="shared" si="45"/>
        <v>0</v>
      </c>
      <c r="IB51" s="90"/>
      <c r="IC51" s="90"/>
      <c r="ID51" s="90"/>
      <c r="IE51" s="116"/>
      <c r="IF51" s="16">
        <f t="shared" si="46"/>
        <v>0</v>
      </c>
      <c r="IG51" s="90"/>
      <c r="IH51" s="90"/>
      <c r="II51" s="90"/>
      <c r="IJ51" s="116"/>
      <c r="IK51" s="16">
        <f t="shared" si="47"/>
        <v>0</v>
      </c>
      <c r="IL51" s="90"/>
      <c r="IM51" s="90"/>
      <c r="IN51" s="90"/>
      <c r="IO51" s="116"/>
      <c r="IP51" s="16">
        <f t="shared" si="48"/>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49"/>
        <v>0</v>
      </c>
      <c r="BD52" s="90"/>
      <c r="BE52" s="90"/>
      <c r="BF52" s="90"/>
      <c r="BG52" s="116"/>
      <c r="BH52" s="16">
        <f t="shared" si="11"/>
        <v>0</v>
      </c>
      <c r="BI52" s="90"/>
      <c r="BJ52" s="90"/>
      <c r="BK52" s="90"/>
      <c r="BL52" s="116"/>
      <c r="BM52" s="16">
        <f t="shared" si="12"/>
        <v>0</v>
      </c>
      <c r="BN52" s="90"/>
      <c r="BO52" s="90"/>
      <c r="BP52" s="90"/>
      <c r="BQ52" s="116"/>
      <c r="BR52" s="16">
        <f t="shared" si="13"/>
        <v>0</v>
      </c>
      <c r="BS52" s="90"/>
      <c r="BT52" s="90"/>
      <c r="BU52" s="90"/>
      <c r="BV52" s="116"/>
      <c r="BW52" s="16">
        <f t="shared" si="14"/>
        <v>0</v>
      </c>
      <c r="BX52" s="90"/>
      <c r="BY52" s="90"/>
      <c r="BZ52" s="90"/>
      <c r="CA52" s="116"/>
      <c r="CB52" s="16">
        <f t="shared" si="15"/>
        <v>0</v>
      </c>
      <c r="CC52" s="90"/>
      <c r="CD52" s="90"/>
      <c r="CE52" s="90"/>
      <c r="CF52" s="116"/>
      <c r="CG52" s="16">
        <f t="shared" si="16"/>
        <v>0</v>
      </c>
      <c r="CH52" s="90"/>
      <c r="CI52" s="90"/>
      <c r="CJ52" s="90"/>
      <c r="CK52" s="116"/>
      <c r="CL52" s="16">
        <f t="shared" si="17"/>
        <v>0</v>
      </c>
      <c r="CM52" s="90"/>
      <c r="CN52" s="90"/>
      <c r="CO52" s="90"/>
      <c r="CP52" s="116"/>
      <c r="CQ52" s="16">
        <f t="shared" si="18"/>
        <v>0</v>
      </c>
      <c r="CR52" s="90"/>
      <c r="CS52" s="90"/>
      <c r="CT52" s="90"/>
      <c r="CU52" s="116"/>
      <c r="CV52" s="16">
        <f t="shared" si="19"/>
        <v>0</v>
      </c>
      <c r="CW52" s="90"/>
      <c r="CX52" s="90"/>
      <c r="CY52" s="90"/>
      <c r="CZ52" s="116"/>
      <c r="DA52" s="16">
        <f t="shared" si="20"/>
        <v>0</v>
      </c>
      <c r="DB52" s="90"/>
      <c r="DC52" s="90"/>
      <c r="DD52" s="90"/>
      <c r="DE52" s="116"/>
      <c r="DF52" s="16">
        <f t="shared" si="21"/>
        <v>0</v>
      </c>
      <c r="DG52" s="90"/>
      <c r="DH52" s="90"/>
      <c r="DI52" s="90"/>
      <c r="DJ52" s="116"/>
      <c r="DK52" s="16">
        <f t="shared" si="22"/>
        <v>0</v>
      </c>
      <c r="DL52" s="90"/>
      <c r="DM52" s="90"/>
      <c r="DN52" s="90"/>
      <c r="DO52" s="116"/>
      <c r="DP52" s="16">
        <f t="shared" si="23"/>
        <v>0</v>
      </c>
      <c r="DQ52" s="90"/>
      <c r="DR52" s="90"/>
      <c r="DS52" s="90"/>
      <c r="DT52" s="116"/>
      <c r="DU52" s="16">
        <f t="shared" si="24"/>
        <v>0</v>
      </c>
      <c r="DV52" s="90"/>
      <c r="DW52" s="90"/>
      <c r="DX52" s="90"/>
      <c r="DY52" s="116"/>
      <c r="DZ52" s="16">
        <f t="shared" si="25"/>
        <v>0</v>
      </c>
      <c r="EA52" s="90"/>
      <c r="EB52" s="90"/>
      <c r="EC52" s="90"/>
      <c r="ED52" s="116"/>
      <c r="EE52" s="16">
        <f t="shared" si="26"/>
        <v>0</v>
      </c>
      <c r="EF52" s="90"/>
      <c r="EG52" s="90"/>
      <c r="EH52" s="90"/>
      <c r="EI52" s="116"/>
      <c r="EJ52" s="16">
        <f t="shared" si="27"/>
        <v>0</v>
      </c>
      <c r="EK52" s="90"/>
      <c r="EL52" s="90"/>
      <c r="EM52" s="90"/>
      <c r="EN52" s="116"/>
      <c r="EO52" s="16">
        <f t="shared" si="28"/>
        <v>0</v>
      </c>
      <c r="EP52" s="90"/>
      <c r="EQ52" s="90"/>
      <c r="ER52" s="90"/>
      <c r="ES52" s="116"/>
      <c r="ET52" s="16">
        <f t="shared" si="29"/>
        <v>0</v>
      </c>
      <c r="EU52" s="90"/>
      <c r="EV52" s="90"/>
      <c r="EW52" s="90"/>
      <c r="EX52" s="116"/>
      <c r="EY52" s="16">
        <f t="shared" si="30"/>
        <v>0</v>
      </c>
      <c r="EZ52" s="90"/>
      <c r="FA52" s="90"/>
      <c r="FB52" s="90"/>
      <c r="FC52" s="116"/>
      <c r="FD52" s="16">
        <f t="shared" si="31"/>
        <v>0</v>
      </c>
      <c r="FE52" s="90"/>
      <c r="FF52" s="90"/>
      <c r="FG52" s="90"/>
      <c r="FH52" s="116"/>
      <c r="FI52" s="16">
        <f t="shared" si="50"/>
        <v>0</v>
      </c>
      <c r="FJ52" s="90"/>
      <c r="FK52" s="90"/>
      <c r="FL52" s="90"/>
      <c r="FM52" s="116"/>
      <c r="FN52" s="16">
        <f t="shared" si="32"/>
        <v>0</v>
      </c>
      <c r="FO52" s="90"/>
      <c r="FP52" s="90"/>
      <c r="FQ52" s="90"/>
      <c r="FR52" s="116"/>
      <c r="FS52" s="16">
        <f t="shared" si="33"/>
        <v>0</v>
      </c>
      <c r="FT52" s="90"/>
      <c r="FU52" s="90"/>
      <c r="FV52" s="90"/>
      <c r="FW52" s="116"/>
      <c r="FX52" s="16">
        <f t="shared" si="34"/>
        <v>0</v>
      </c>
      <c r="FY52" s="90"/>
      <c r="FZ52" s="90"/>
      <c r="GA52" s="90"/>
      <c r="GB52" s="116"/>
      <c r="GC52" s="16">
        <f t="shared" si="35"/>
        <v>0</v>
      </c>
      <c r="GD52" s="90"/>
      <c r="GE52" s="90"/>
      <c r="GF52" s="90"/>
      <c r="GG52" s="116"/>
      <c r="GH52" s="16">
        <f t="shared" si="36"/>
        <v>0</v>
      </c>
      <c r="GI52" s="90"/>
      <c r="GJ52" s="90"/>
      <c r="GK52" s="90"/>
      <c r="GL52" s="116"/>
      <c r="GM52" s="16">
        <f t="shared" si="37"/>
        <v>0</v>
      </c>
      <c r="GN52" s="90"/>
      <c r="GO52" s="90"/>
      <c r="GP52" s="90"/>
      <c r="GQ52" s="116"/>
      <c r="GR52" s="16">
        <f t="shared" si="38"/>
        <v>0</v>
      </c>
      <c r="GS52" s="90"/>
      <c r="GT52" s="90"/>
      <c r="GU52" s="90"/>
      <c r="GV52" s="116"/>
      <c r="GW52" s="16">
        <f t="shared" si="39"/>
        <v>0</v>
      </c>
      <c r="GX52" s="90"/>
      <c r="GY52" s="90"/>
      <c r="GZ52" s="90"/>
      <c r="HA52" s="116"/>
      <c r="HB52" s="16">
        <f t="shared" si="40"/>
        <v>0</v>
      </c>
      <c r="HC52" s="90"/>
      <c r="HD52" s="90"/>
      <c r="HE52" s="90"/>
      <c r="HF52" s="116"/>
      <c r="HG52" s="16">
        <f t="shared" si="41"/>
        <v>0</v>
      </c>
      <c r="HH52" s="90"/>
      <c r="HI52" s="90"/>
      <c r="HJ52" s="90"/>
      <c r="HK52" s="116"/>
      <c r="HL52" s="16">
        <f t="shared" si="42"/>
        <v>0</v>
      </c>
      <c r="HM52" s="90"/>
      <c r="HN52" s="90"/>
      <c r="HO52" s="90"/>
      <c r="HP52" s="116"/>
      <c r="HQ52" s="16">
        <f t="shared" si="43"/>
        <v>0</v>
      </c>
      <c r="HR52" s="90"/>
      <c r="HS52" s="90"/>
      <c r="HT52" s="90"/>
      <c r="HU52" s="116"/>
      <c r="HV52" s="16">
        <f t="shared" si="44"/>
        <v>0</v>
      </c>
      <c r="HW52" s="90"/>
      <c r="HX52" s="90"/>
      <c r="HY52" s="90"/>
      <c r="HZ52" s="116"/>
      <c r="IA52" s="16">
        <f t="shared" si="45"/>
        <v>0</v>
      </c>
      <c r="IB52" s="90"/>
      <c r="IC52" s="90"/>
      <c r="ID52" s="90"/>
      <c r="IE52" s="116"/>
      <c r="IF52" s="16">
        <f t="shared" si="46"/>
        <v>0</v>
      </c>
      <c r="IG52" s="90"/>
      <c r="IH52" s="90"/>
      <c r="II52" s="90"/>
      <c r="IJ52" s="116"/>
      <c r="IK52" s="16">
        <f t="shared" si="47"/>
        <v>0</v>
      </c>
      <c r="IL52" s="90"/>
      <c r="IM52" s="90"/>
      <c r="IN52" s="90"/>
      <c r="IO52" s="116"/>
      <c r="IP52" s="16">
        <f t="shared" si="48"/>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49"/>
        <v>0</v>
      </c>
      <c r="BD53" s="90"/>
      <c r="BE53" s="90"/>
      <c r="BF53" s="90"/>
      <c r="BG53" s="116"/>
      <c r="BH53" s="16">
        <f t="shared" si="11"/>
        <v>0</v>
      </c>
      <c r="BI53" s="90"/>
      <c r="BJ53" s="90"/>
      <c r="BK53" s="90"/>
      <c r="BL53" s="116"/>
      <c r="BM53" s="16">
        <f t="shared" si="12"/>
        <v>0</v>
      </c>
      <c r="BN53" s="90"/>
      <c r="BO53" s="90"/>
      <c r="BP53" s="90"/>
      <c r="BQ53" s="116"/>
      <c r="BR53" s="16">
        <f t="shared" si="13"/>
        <v>0</v>
      </c>
      <c r="BS53" s="90"/>
      <c r="BT53" s="90"/>
      <c r="BU53" s="90"/>
      <c r="BV53" s="116"/>
      <c r="BW53" s="16">
        <f t="shared" si="14"/>
        <v>0</v>
      </c>
      <c r="BX53" s="90"/>
      <c r="BY53" s="90"/>
      <c r="BZ53" s="90"/>
      <c r="CA53" s="116"/>
      <c r="CB53" s="16">
        <f t="shared" si="15"/>
        <v>0</v>
      </c>
      <c r="CC53" s="90"/>
      <c r="CD53" s="90"/>
      <c r="CE53" s="90"/>
      <c r="CF53" s="116"/>
      <c r="CG53" s="16">
        <f t="shared" si="16"/>
        <v>0</v>
      </c>
      <c r="CH53" s="90"/>
      <c r="CI53" s="90"/>
      <c r="CJ53" s="90"/>
      <c r="CK53" s="116"/>
      <c r="CL53" s="16">
        <f t="shared" si="17"/>
        <v>0</v>
      </c>
      <c r="CM53" s="90"/>
      <c r="CN53" s="90"/>
      <c r="CO53" s="90"/>
      <c r="CP53" s="116"/>
      <c r="CQ53" s="16">
        <f t="shared" si="18"/>
        <v>0</v>
      </c>
      <c r="CR53" s="90"/>
      <c r="CS53" s="90"/>
      <c r="CT53" s="90"/>
      <c r="CU53" s="116"/>
      <c r="CV53" s="16">
        <f t="shared" si="19"/>
        <v>0</v>
      </c>
      <c r="CW53" s="90"/>
      <c r="CX53" s="90"/>
      <c r="CY53" s="90"/>
      <c r="CZ53" s="116"/>
      <c r="DA53" s="16">
        <f t="shared" si="20"/>
        <v>0</v>
      </c>
      <c r="DB53" s="90"/>
      <c r="DC53" s="90"/>
      <c r="DD53" s="90"/>
      <c r="DE53" s="116"/>
      <c r="DF53" s="16">
        <f t="shared" si="21"/>
        <v>0</v>
      </c>
      <c r="DG53" s="90"/>
      <c r="DH53" s="90"/>
      <c r="DI53" s="90"/>
      <c r="DJ53" s="116"/>
      <c r="DK53" s="16">
        <f t="shared" si="22"/>
        <v>0</v>
      </c>
      <c r="DL53" s="90"/>
      <c r="DM53" s="90"/>
      <c r="DN53" s="90"/>
      <c r="DO53" s="116"/>
      <c r="DP53" s="16">
        <f t="shared" si="23"/>
        <v>0</v>
      </c>
      <c r="DQ53" s="90"/>
      <c r="DR53" s="90"/>
      <c r="DS53" s="90"/>
      <c r="DT53" s="116"/>
      <c r="DU53" s="16">
        <f t="shared" si="24"/>
        <v>0</v>
      </c>
      <c r="DV53" s="90"/>
      <c r="DW53" s="90"/>
      <c r="DX53" s="90"/>
      <c r="DY53" s="116"/>
      <c r="DZ53" s="16">
        <f t="shared" si="25"/>
        <v>0</v>
      </c>
      <c r="EA53" s="90"/>
      <c r="EB53" s="90"/>
      <c r="EC53" s="90"/>
      <c r="ED53" s="116"/>
      <c r="EE53" s="16">
        <f t="shared" si="26"/>
        <v>0</v>
      </c>
      <c r="EF53" s="90"/>
      <c r="EG53" s="90"/>
      <c r="EH53" s="90"/>
      <c r="EI53" s="116"/>
      <c r="EJ53" s="16">
        <f t="shared" si="27"/>
        <v>0</v>
      </c>
      <c r="EK53" s="90"/>
      <c r="EL53" s="90"/>
      <c r="EM53" s="90"/>
      <c r="EN53" s="116"/>
      <c r="EO53" s="16">
        <f t="shared" si="28"/>
        <v>0</v>
      </c>
      <c r="EP53" s="90"/>
      <c r="EQ53" s="90"/>
      <c r="ER53" s="90"/>
      <c r="ES53" s="116"/>
      <c r="ET53" s="16">
        <f t="shared" si="29"/>
        <v>0</v>
      </c>
      <c r="EU53" s="90"/>
      <c r="EV53" s="90"/>
      <c r="EW53" s="90"/>
      <c r="EX53" s="116"/>
      <c r="EY53" s="16">
        <f t="shared" si="30"/>
        <v>0</v>
      </c>
      <c r="EZ53" s="90"/>
      <c r="FA53" s="90"/>
      <c r="FB53" s="90"/>
      <c r="FC53" s="116"/>
      <c r="FD53" s="16">
        <f t="shared" si="31"/>
        <v>0</v>
      </c>
      <c r="FE53" s="90"/>
      <c r="FF53" s="90"/>
      <c r="FG53" s="90"/>
      <c r="FH53" s="116"/>
      <c r="FI53" s="16">
        <f t="shared" si="50"/>
        <v>0</v>
      </c>
      <c r="FJ53" s="90"/>
      <c r="FK53" s="90"/>
      <c r="FL53" s="90"/>
      <c r="FM53" s="116"/>
      <c r="FN53" s="16">
        <f t="shared" si="32"/>
        <v>0</v>
      </c>
      <c r="FO53" s="90"/>
      <c r="FP53" s="90"/>
      <c r="FQ53" s="90"/>
      <c r="FR53" s="116"/>
      <c r="FS53" s="16">
        <f t="shared" si="33"/>
        <v>0</v>
      </c>
      <c r="FT53" s="90"/>
      <c r="FU53" s="90"/>
      <c r="FV53" s="90"/>
      <c r="FW53" s="116"/>
      <c r="FX53" s="16">
        <f t="shared" si="34"/>
        <v>0</v>
      </c>
      <c r="FY53" s="90"/>
      <c r="FZ53" s="90"/>
      <c r="GA53" s="90"/>
      <c r="GB53" s="116"/>
      <c r="GC53" s="16">
        <f t="shared" si="35"/>
        <v>0</v>
      </c>
      <c r="GD53" s="90"/>
      <c r="GE53" s="90"/>
      <c r="GF53" s="90"/>
      <c r="GG53" s="116"/>
      <c r="GH53" s="16">
        <f t="shared" si="36"/>
        <v>0</v>
      </c>
      <c r="GI53" s="90"/>
      <c r="GJ53" s="90"/>
      <c r="GK53" s="90"/>
      <c r="GL53" s="116"/>
      <c r="GM53" s="16">
        <f t="shared" si="37"/>
        <v>0</v>
      </c>
      <c r="GN53" s="90"/>
      <c r="GO53" s="90"/>
      <c r="GP53" s="90"/>
      <c r="GQ53" s="116"/>
      <c r="GR53" s="16">
        <f t="shared" si="38"/>
        <v>0</v>
      </c>
      <c r="GS53" s="90"/>
      <c r="GT53" s="90"/>
      <c r="GU53" s="90"/>
      <c r="GV53" s="116"/>
      <c r="GW53" s="16">
        <f t="shared" si="39"/>
        <v>0</v>
      </c>
      <c r="GX53" s="90"/>
      <c r="GY53" s="90"/>
      <c r="GZ53" s="90"/>
      <c r="HA53" s="116"/>
      <c r="HB53" s="16">
        <f t="shared" si="40"/>
        <v>0</v>
      </c>
      <c r="HC53" s="90"/>
      <c r="HD53" s="90"/>
      <c r="HE53" s="90"/>
      <c r="HF53" s="116"/>
      <c r="HG53" s="16">
        <f t="shared" si="41"/>
        <v>0</v>
      </c>
      <c r="HH53" s="90"/>
      <c r="HI53" s="90"/>
      <c r="HJ53" s="90"/>
      <c r="HK53" s="116"/>
      <c r="HL53" s="16">
        <f t="shared" si="42"/>
        <v>0</v>
      </c>
      <c r="HM53" s="90"/>
      <c r="HN53" s="90"/>
      <c r="HO53" s="90"/>
      <c r="HP53" s="116"/>
      <c r="HQ53" s="16">
        <f t="shared" si="43"/>
        <v>0</v>
      </c>
      <c r="HR53" s="90"/>
      <c r="HS53" s="90"/>
      <c r="HT53" s="90"/>
      <c r="HU53" s="116"/>
      <c r="HV53" s="16">
        <f t="shared" si="44"/>
        <v>0</v>
      </c>
      <c r="HW53" s="90"/>
      <c r="HX53" s="90"/>
      <c r="HY53" s="90"/>
      <c r="HZ53" s="116"/>
      <c r="IA53" s="16">
        <f t="shared" si="45"/>
        <v>0</v>
      </c>
      <c r="IB53" s="90"/>
      <c r="IC53" s="90"/>
      <c r="ID53" s="90"/>
      <c r="IE53" s="116"/>
      <c r="IF53" s="16">
        <f t="shared" si="46"/>
        <v>0</v>
      </c>
      <c r="IG53" s="90"/>
      <c r="IH53" s="90"/>
      <c r="II53" s="90"/>
      <c r="IJ53" s="116"/>
      <c r="IK53" s="16">
        <f t="shared" si="47"/>
        <v>0</v>
      </c>
      <c r="IL53" s="90"/>
      <c r="IM53" s="90"/>
      <c r="IN53" s="90"/>
      <c r="IO53" s="116"/>
      <c r="IP53" s="16">
        <f t="shared" si="48"/>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49"/>
        <v>0</v>
      </c>
      <c r="BD54" s="90"/>
      <c r="BE54" s="90"/>
      <c r="BF54" s="90"/>
      <c r="BG54" s="116"/>
      <c r="BH54" s="16">
        <f t="shared" si="11"/>
        <v>0</v>
      </c>
      <c r="BI54" s="90"/>
      <c r="BJ54" s="90"/>
      <c r="BK54" s="90"/>
      <c r="BL54" s="116"/>
      <c r="BM54" s="16">
        <f t="shared" si="12"/>
        <v>0</v>
      </c>
      <c r="BN54" s="90"/>
      <c r="BO54" s="90"/>
      <c r="BP54" s="90"/>
      <c r="BQ54" s="116"/>
      <c r="BR54" s="16">
        <f t="shared" si="13"/>
        <v>0</v>
      </c>
      <c r="BS54" s="90"/>
      <c r="BT54" s="90"/>
      <c r="BU54" s="90"/>
      <c r="BV54" s="116"/>
      <c r="BW54" s="16">
        <f t="shared" si="14"/>
        <v>0</v>
      </c>
      <c r="BX54" s="90"/>
      <c r="BY54" s="90"/>
      <c r="BZ54" s="90"/>
      <c r="CA54" s="116"/>
      <c r="CB54" s="16">
        <f t="shared" si="15"/>
        <v>0</v>
      </c>
      <c r="CC54" s="90"/>
      <c r="CD54" s="90"/>
      <c r="CE54" s="90"/>
      <c r="CF54" s="116"/>
      <c r="CG54" s="16">
        <f t="shared" si="16"/>
        <v>0</v>
      </c>
      <c r="CH54" s="90"/>
      <c r="CI54" s="90"/>
      <c r="CJ54" s="90"/>
      <c r="CK54" s="116"/>
      <c r="CL54" s="16">
        <f t="shared" si="17"/>
        <v>0</v>
      </c>
      <c r="CM54" s="90"/>
      <c r="CN54" s="90"/>
      <c r="CO54" s="90"/>
      <c r="CP54" s="116"/>
      <c r="CQ54" s="16">
        <f t="shared" si="18"/>
        <v>0</v>
      </c>
      <c r="CR54" s="90"/>
      <c r="CS54" s="90"/>
      <c r="CT54" s="90"/>
      <c r="CU54" s="116"/>
      <c r="CV54" s="16">
        <f t="shared" si="19"/>
        <v>0</v>
      </c>
      <c r="CW54" s="90"/>
      <c r="CX54" s="90"/>
      <c r="CY54" s="90"/>
      <c r="CZ54" s="116"/>
      <c r="DA54" s="16">
        <f t="shared" si="20"/>
        <v>0</v>
      </c>
      <c r="DB54" s="90"/>
      <c r="DC54" s="90"/>
      <c r="DD54" s="90"/>
      <c r="DE54" s="116"/>
      <c r="DF54" s="16">
        <f t="shared" si="21"/>
        <v>0</v>
      </c>
      <c r="DG54" s="90"/>
      <c r="DH54" s="90"/>
      <c r="DI54" s="90"/>
      <c r="DJ54" s="116"/>
      <c r="DK54" s="16">
        <f t="shared" si="22"/>
        <v>0</v>
      </c>
      <c r="DL54" s="90"/>
      <c r="DM54" s="90"/>
      <c r="DN54" s="90"/>
      <c r="DO54" s="116"/>
      <c r="DP54" s="16">
        <f t="shared" si="23"/>
        <v>0</v>
      </c>
      <c r="DQ54" s="90"/>
      <c r="DR54" s="90"/>
      <c r="DS54" s="90"/>
      <c r="DT54" s="116"/>
      <c r="DU54" s="16">
        <f t="shared" si="24"/>
        <v>0</v>
      </c>
      <c r="DV54" s="90"/>
      <c r="DW54" s="90"/>
      <c r="DX54" s="90"/>
      <c r="DY54" s="116"/>
      <c r="DZ54" s="16">
        <f t="shared" si="25"/>
        <v>0</v>
      </c>
      <c r="EA54" s="90"/>
      <c r="EB54" s="90"/>
      <c r="EC54" s="90"/>
      <c r="ED54" s="116"/>
      <c r="EE54" s="16">
        <f t="shared" si="26"/>
        <v>0</v>
      </c>
      <c r="EF54" s="90"/>
      <c r="EG54" s="90"/>
      <c r="EH54" s="90"/>
      <c r="EI54" s="116"/>
      <c r="EJ54" s="16">
        <f t="shared" si="27"/>
        <v>0</v>
      </c>
      <c r="EK54" s="90"/>
      <c r="EL54" s="90"/>
      <c r="EM54" s="90"/>
      <c r="EN54" s="116"/>
      <c r="EO54" s="16">
        <f t="shared" si="28"/>
        <v>0</v>
      </c>
      <c r="EP54" s="90"/>
      <c r="EQ54" s="90"/>
      <c r="ER54" s="90"/>
      <c r="ES54" s="116"/>
      <c r="ET54" s="16">
        <f t="shared" si="29"/>
        <v>0</v>
      </c>
      <c r="EU54" s="90"/>
      <c r="EV54" s="90"/>
      <c r="EW54" s="90"/>
      <c r="EX54" s="116"/>
      <c r="EY54" s="16">
        <f t="shared" si="30"/>
        <v>0</v>
      </c>
      <c r="EZ54" s="90"/>
      <c r="FA54" s="90"/>
      <c r="FB54" s="90"/>
      <c r="FC54" s="116"/>
      <c r="FD54" s="16">
        <f t="shared" si="31"/>
        <v>0</v>
      </c>
      <c r="FE54" s="90"/>
      <c r="FF54" s="90"/>
      <c r="FG54" s="90"/>
      <c r="FH54" s="116"/>
      <c r="FI54" s="16">
        <f t="shared" si="50"/>
        <v>0</v>
      </c>
      <c r="FJ54" s="90"/>
      <c r="FK54" s="90"/>
      <c r="FL54" s="90"/>
      <c r="FM54" s="116"/>
      <c r="FN54" s="16">
        <f t="shared" si="32"/>
        <v>0</v>
      </c>
      <c r="FO54" s="90"/>
      <c r="FP54" s="90"/>
      <c r="FQ54" s="90"/>
      <c r="FR54" s="116"/>
      <c r="FS54" s="16">
        <f t="shared" si="33"/>
        <v>0</v>
      </c>
      <c r="FT54" s="90"/>
      <c r="FU54" s="90"/>
      <c r="FV54" s="90"/>
      <c r="FW54" s="116"/>
      <c r="FX54" s="16">
        <f t="shared" si="34"/>
        <v>0</v>
      </c>
      <c r="FY54" s="90"/>
      <c r="FZ54" s="90"/>
      <c r="GA54" s="90"/>
      <c r="GB54" s="116"/>
      <c r="GC54" s="16">
        <f t="shared" si="35"/>
        <v>0</v>
      </c>
      <c r="GD54" s="90"/>
      <c r="GE54" s="90"/>
      <c r="GF54" s="90"/>
      <c r="GG54" s="116"/>
      <c r="GH54" s="16">
        <f t="shared" si="36"/>
        <v>0</v>
      </c>
      <c r="GI54" s="90"/>
      <c r="GJ54" s="90"/>
      <c r="GK54" s="90"/>
      <c r="GL54" s="116"/>
      <c r="GM54" s="16">
        <f t="shared" si="37"/>
        <v>0</v>
      </c>
      <c r="GN54" s="90"/>
      <c r="GO54" s="90"/>
      <c r="GP54" s="90"/>
      <c r="GQ54" s="116"/>
      <c r="GR54" s="16">
        <f t="shared" si="38"/>
        <v>0</v>
      </c>
      <c r="GS54" s="90"/>
      <c r="GT54" s="90"/>
      <c r="GU54" s="90"/>
      <c r="GV54" s="116"/>
      <c r="GW54" s="16">
        <f t="shared" si="39"/>
        <v>0</v>
      </c>
      <c r="GX54" s="90"/>
      <c r="GY54" s="90"/>
      <c r="GZ54" s="90"/>
      <c r="HA54" s="116"/>
      <c r="HB54" s="16">
        <f t="shared" si="40"/>
        <v>0</v>
      </c>
      <c r="HC54" s="90"/>
      <c r="HD54" s="90"/>
      <c r="HE54" s="90"/>
      <c r="HF54" s="116"/>
      <c r="HG54" s="16">
        <f t="shared" si="41"/>
        <v>0</v>
      </c>
      <c r="HH54" s="90"/>
      <c r="HI54" s="90"/>
      <c r="HJ54" s="90"/>
      <c r="HK54" s="116"/>
      <c r="HL54" s="16">
        <f t="shared" si="42"/>
        <v>0</v>
      </c>
      <c r="HM54" s="90"/>
      <c r="HN54" s="90"/>
      <c r="HO54" s="90"/>
      <c r="HP54" s="116"/>
      <c r="HQ54" s="16">
        <f t="shared" si="43"/>
        <v>0</v>
      </c>
      <c r="HR54" s="90"/>
      <c r="HS54" s="90"/>
      <c r="HT54" s="90"/>
      <c r="HU54" s="116"/>
      <c r="HV54" s="16">
        <f t="shared" si="44"/>
        <v>0</v>
      </c>
      <c r="HW54" s="90"/>
      <c r="HX54" s="90"/>
      <c r="HY54" s="90"/>
      <c r="HZ54" s="116"/>
      <c r="IA54" s="16">
        <f t="shared" si="45"/>
        <v>0</v>
      </c>
      <c r="IB54" s="90"/>
      <c r="IC54" s="90"/>
      <c r="ID54" s="90"/>
      <c r="IE54" s="116"/>
      <c r="IF54" s="16">
        <f t="shared" si="46"/>
        <v>0</v>
      </c>
      <c r="IG54" s="90"/>
      <c r="IH54" s="90"/>
      <c r="II54" s="90"/>
      <c r="IJ54" s="116"/>
      <c r="IK54" s="16">
        <f t="shared" si="47"/>
        <v>0</v>
      </c>
      <c r="IL54" s="90"/>
      <c r="IM54" s="90"/>
      <c r="IN54" s="90"/>
      <c r="IO54" s="116"/>
      <c r="IP54" s="16">
        <f t="shared" si="48"/>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49"/>
        <v>0</v>
      </c>
      <c r="BD55" s="90"/>
      <c r="BE55" s="90"/>
      <c r="BF55" s="90"/>
      <c r="BG55" s="116"/>
      <c r="BH55" s="16">
        <f t="shared" si="11"/>
        <v>0</v>
      </c>
      <c r="BI55" s="90"/>
      <c r="BJ55" s="90"/>
      <c r="BK55" s="90"/>
      <c r="BL55" s="116"/>
      <c r="BM55" s="16">
        <f t="shared" si="12"/>
        <v>0</v>
      </c>
      <c r="BN55" s="90"/>
      <c r="BO55" s="90"/>
      <c r="BP55" s="90"/>
      <c r="BQ55" s="116"/>
      <c r="BR55" s="16">
        <f t="shared" si="13"/>
        <v>0</v>
      </c>
      <c r="BS55" s="90"/>
      <c r="BT55" s="90"/>
      <c r="BU55" s="90"/>
      <c r="BV55" s="116"/>
      <c r="BW55" s="16">
        <f t="shared" si="14"/>
        <v>0</v>
      </c>
      <c r="BX55" s="90"/>
      <c r="BY55" s="90"/>
      <c r="BZ55" s="90"/>
      <c r="CA55" s="116"/>
      <c r="CB55" s="16">
        <f t="shared" si="15"/>
        <v>0</v>
      </c>
      <c r="CC55" s="90"/>
      <c r="CD55" s="90"/>
      <c r="CE55" s="90"/>
      <c r="CF55" s="116"/>
      <c r="CG55" s="16">
        <f t="shared" si="16"/>
        <v>0</v>
      </c>
      <c r="CH55" s="90"/>
      <c r="CI55" s="90"/>
      <c r="CJ55" s="90"/>
      <c r="CK55" s="116"/>
      <c r="CL55" s="16">
        <f t="shared" si="17"/>
        <v>0</v>
      </c>
      <c r="CM55" s="90"/>
      <c r="CN55" s="90"/>
      <c r="CO55" s="90"/>
      <c r="CP55" s="116"/>
      <c r="CQ55" s="16">
        <f t="shared" si="18"/>
        <v>0</v>
      </c>
      <c r="CR55" s="90"/>
      <c r="CS55" s="90"/>
      <c r="CT55" s="90"/>
      <c r="CU55" s="116"/>
      <c r="CV55" s="16">
        <f t="shared" si="19"/>
        <v>0</v>
      </c>
      <c r="CW55" s="90"/>
      <c r="CX55" s="90"/>
      <c r="CY55" s="90"/>
      <c r="CZ55" s="116"/>
      <c r="DA55" s="16">
        <f t="shared" si="20"/>
        <v>0</v>
      </c>
      <c r="DB55" s="90"/>
      <c r="DC55" s="90"/>
      <c r="DD55" s="90"/>
      <c r="DE55" s="116"/>
      <c r="DF55" s="16">
        <f t="shared" si="21"/>
        <v>0</v>
      </c>
      <c r="DG55" s="90"/>
      <c r="DH55" s="90"/>
      <c r="DI55" s="90"/>
      <c r="DJ55" s="116"/>
      <c r="DK55" s="16">
        <f t="shared" si="22"/>
        <v>0</v>
      </c>
      <c r="DL55" s="90"/>
      <c r="DM55" s="90"/>
      <c r="DN55" s="90"/>
      <c r="DO55" s="116"/>
      <c r="DP55" s="16">
        <f t="shared" si="23"/>
        <v>0</v>
      </c>
      <c r="DQ55" s="90"/>
      <c r="DR55" s="90"/>
      <c r="DS55" s="90"/>
      <c r="DT55" s="116"/>
      <c r="DU55" s="16">
        <f t="shared" si="24"/>
        <v>0</v>
      </c>
      <c r="DV55" s="90"/>
      <c r="DW55" s="90"/>
      <c r="DX55" s="90"/>
      <c r="DY55" s="116"/>
      <c r="DZ55" s="16">
        <f t="shared" si="25"/>
        <v>0</v>
      </c>
      <c r="EA55" s="90"/>
      <c r="EB55" s="90"/>
      <c r="EC55" s="90"/>
      <c r="ED55" s="116"/>
      <c r="EE55" s="16">
        <f t="shared" si="26"/>
        <v>0</v>
      </c>
      <c r="EF55" s="90"/>
      <c r="EG55" s="90"/>
      <c r="EH55" s="90"/>
      <c r="EI55" s="116"/>
      <c r="EJ55" s="16">
        <f t="shared" si="27"/>
        <v>0</v>
      </c>
      <c r="EK55" s="90"/>
      <c r="EL55" s="90"/>
      <c r="EM55" s="90"/>
      <c r="EN55" s="116"/>
      <c r="EO55" s="16">
        <f t="shared" si="28"/>
        <v>0</v>
      </c>
      <c r="EP55" s="90"/>
      <c r="EQ55" s="90"/>
      <c r="ER55" s="90"/>
      <c r="ES55" s="116"/>
      <c r="ET55" s="16">
        <f t="shared" si="29"/>
        <v>0</v>
      </c>
      <c r="EU55" s="90"/>
      <c r="EV55" s="90"/>
      <c r="EW55" s="90"/>
      <c r="EX55" s="116"/>
      <c r="EY55" s="16">
        <f t="shared" si="30"/>
        <v>0</v>
      </c>
      <c r="EZ55" s="90"/>
      <c r="FA55" s="90"/>
      <c r="FB55" s="90"/>
      <c r="FC55" s="116"/>
      <c r="FD55" s="16">
        <f t="shared" si="31"/>
        <v>0</v>
      </c>
      <c r="FE55" s="90"/>
      <c r="FF55" s="90"/>
      <c r="FG55" s="90"/>
      <c r="FH55" s="116"/>
      <c r="FI55" s="16">
        <f t="shared" si="50"/>
        <v>0</v>
      </c>
      <c r="FJ55" s="90"/>
      <c r="FK55" s="90"/>
      <c r="FL55" s="90"/>
      <c r="FM55" s="116"/>
      <c r="FN55" s="16">
        <f t="shared" si="32"/>
        <v>0</v>
      </c>
      <c r="FO55" s="90"/>
      <c r="FP55" s="90"/>
      <c r="FQ55" s="90"/>
      <c r="FR55" s="116"/>
      <c r="FS55" s="16">
        <f t="shared" si="33"/>
        <v>0</v>
      </c>
      <c r="FT55" s="90"/>
      <c r="FU55" s="90"/>
      <c r="FV55" s="90"/>
      <c r="FW55" s="116"/>
      <c r="FX55" s="16">
        <f t="shared" si="34"/>
        <v>0</v>
      </c>
      <c r="FY55" s="90"/>
      <c r="FZ55" s="90"/>
      <c r="GA55" s="90"/>
      <c r="GB55" s="116"/>
      <c r="GC55" s="16">
        <f t="shared" si="35"/>
        <v>0</v>
      </c>
      <c r="GD55" s="90"/>
      <c r="GE55" s="90"/>
      <c r="GF55" s="90"/>
      <c r="GG55" s="116"/>
      <c r="GH55" s="16">
        <f t="shared" si="36"/>
        <v>0</v>
      </c>
      <c r="GI55" s="90"/>
      <c r="GJ55" s="90"/>
      <c r="GK55" s="90"/>
      <c r="GL55" s="116"/>
      <c r="GM55" s="16">
        <f t="shared" si="37"/>
        <v>0</v>
      </c>
      <c r="GN55" s="90"/>
      <c r="GO55" s="90"/>
      <c r="GP55" s="90"/>
      <c r="GQ55" s="116"/>
      <c r="GR55" s="16">
        <f t="shared" si="38"/>
        <v>0</v>
      </c>
      <c r="GS55" s="90"/>
      <c r="GT55" s="90"/>
      <c r="GU55" s="90"/>
      <c r="GV55" s="116"/>
      <c r="GW55" s="16">
        <f t="shared" si="39"/>
        <v>0</v>
      </c>
      <c r="GX55" s="90"/>
      <c r="GY55" s="90"/>
      <c r="GZ55" s="90"/>
      <c r="HA55" s="116"/>
      <c r="HB55" s="16">
        <f t="shared" si="40"/>
        <v>0</v>
      </c>
      <c r="HC55" s="90"/>
      <c r="HD55" s="90"/>
      <c r="HE55" s="90"/>
      <c r="HF55" s="116"/>
      <c r="HG55" s="16">
        <f t="shared" si="41"/>
        <v>0</v>
      </c>
      <c r="HH55" s="90"/>
      <c r="HI55" s="90"/>
      <c r="HJ55" s="90"/>
      <c r="HK55" s="116"/>
      <c r="HL55" s="16">
        <f t="shared" si="42"/>
        <v>0</v>
      </c>
      <c r="HM55" s="90"/>
      <c r="HN55" s="90"/>
      <c r="HO55" s="90"/>
      <c r="HP55" s="116"/>
      <c r="HQ55" s="16">
        <f t="shared" si="43"/>
        <v>0</v>
      </c>
      <c r="HR55" s="90"/>
      <c r="HS55" s="90"/>
      <c r="HT55" s="90"/>
      <c r="HU55" s="116"/>
      <c r="HV55" s="16">
        <f t="shared" si="44"/>
        <v>0</v>
      </c>
      <c r="HW55" s="90"/>
      <c r="HX55" s="90"/>
      <c r="HY55" s="90"/>
      <c r="HZ55" s="116"/>
      <c r="IA55" s="16">
        <f t="shared" si="45"/>
        <v>0</v>
      </c>
      <c r="IB55" s="90"/>
      <c r="IC55" s="90"/>
      <c r="ID55" s="90"/>
      <c r="IE55" s="116"/>
      <c r="IF55" s="16">
        <f t="shared" si="46"/>
        <v>0</v>
      </c>
      <c r="IG55" s="90"/>
      <c r="IH55" s="90"/>
      <c r="II55" s="90"/>
      <c r="IJ55" s="116"/>
      <c r="IK55" s="16">
        <f t="shared" si="47"/>
        <v>0</v>
      </c>
      <c r="IL55" s="90"/>
      <c r="IM55" s="90"/>
      <c r="IN55" s="90"/>
      <c r="IO55" s="116"/>
      <c r="IP55" s="16">
        <f t="shared" si="48"/>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49"/>
        <v>0</v>
      </c>
      <c r="BD56" s="90"/>
      <c r="BE56" s="90"/>
      <c r="BF56" s="90"/>
      <c r="BG56" s="116"/>
      <c r="BH56" s="16">
        <f t="shared" si="11"/>
        <v>0</v>
      </c>
      <c r="BI56" s="90"/>
      <c r="BJ56" s="90"/>
      <c r="BK56" s="90"/>
      <c r="BL56" s="116"/>
      <c r="BM56" s="16">
        <f t="shared" si="12"/>
        <v>0</v>
      </c>
      <c r="BN56" s="90"/>
      <c r="BO56" s="90"/>
      <c r="BP56" s="90"/>
      <c r="BQ56" s="116"/>
      <c r="BR56" s="16">
        <f t="shared" si="13"/>
        <v>0</v>
      </c>
      <c r="BS56" s="90"/>
      <c r="BT56" s="90"/>
      <c r="BU56" s="90"/>
      <c r="BV56" s="116"/>
      <c r="BW56" s="16">
        <f t="shared" si="14"/>
        <v>0</v>
      </c>
      <c r="BX56" s="90"/>
      <c r="BY56" s="90"/>
      <c r="BZ56" s="90"/>
      <c r="CA56" s="116"/>
      <c r="CB56" s="16">
        <f t="shared" si="15"/>
        <v>0</v>
      </c>
      <c r="CC56" s="90"/>
      <c r="CD56" s="90"/>
      <c r="CE56" s="90"/>
      <c r="CF56" s="116"/>
      <c r="CG56" s="16">
        <f t="shared" si="16"/>
        <v>0</v>
      </c>
      <c r="CH56" s="90"/>
      <c r="CI56" s="90"/>
      <c r="CJ56" s="90"/>
      <c r="CK56" s="116"/>
      <c r="CL56" s="16">
        <f t="shared" si="17"/>
        <v>0</v>
      </c>
      <c r="CM56" s="90"/>
      <c r="CN56" s="90"/>
      <c r="CO56" s="90"/>
      <c r="CP56" s="116"/>
      <c r="CQ56" s="16">
        <f t="shared" si="18"/>
        <v>0</v>
      </c>
      <c r="CR56" s="90"/>
      <c r="CS56" s="90"/>
      <c r="CT56" s="90"/>
      <c r="CU56" s="116"/>
      <c r="CV56" s="16">
        <f t="shared" si="19"/>
        <v>0</v>
      </c>
      <c r="CW56" s="90"/>
      <c r="CX56" s="90"/>
      <c r="CY56" s="90"/>
      <c r="CZ56" s="116"/>
      <c r="DA56" s="16">
        <f t="shared" si="20"/>
        <v>0</v>
      </c>
      <c r="DB56" s="90"/>
      <c r="DC56" s="90"/>
      <c r="DD56" s="90"/>
      <c r="DE56" s="116"/>
      <c r="DF56" s="16">
        <f t="shared" si="21"/>
        <v>0</v>
      </c>
      <c r="DG56" s="90"/>
      <c r="DH56" s="90"/>
      <c r="DI56" s="90"/>
      <c r="DJ56" s="116"/>
      <c r="DK56" s="16">
        <f t="shared" si="22"/>
        <v>0</v>
      </c>
      <c r="DL56" s="90"/>
      <c r="DM56" s="90"/>
      <c r="DN56" s="90"/>
      <c r="DO56" s="116"/>
      <c r="DP56" s="16">
        <f t="shared" si="23"/>
        <v>0</v>
      </c>
      <c r="DQ56" s="90"/>
      <c r="DR56" s="90"/>
      <c r="DS56" s="90"/>
      <c r="DT56" s="116"/>
      <c r="DU56" s="16">
        <f t="shared" si="24"/>
        <v>0</v>
      </c>
      <c r="DV56" s="90"/>
      <c r="DW56" s="90"/>
      <c r="DX56" s="90"/>
      <c r="DY56" s="116"/>
      <c r="DZ56" s="16">
        <f t="shared" si="25"/>
        <v>0</v>
      </c>
      <c r="EA56" s="90"/>
      <c r="EB56" s="90"/>
      <c r="EC56" s="90"/>
      <c r="ED56" s="116"/>
      <c r="EE56" s="16">
        <f t="shared" si="26"/>
        <v>0</v>
      </c>
      <c r="EF56" s="90"/>
      <c r="EG56" s="90"/>
      <c r="EH56" s="90"/>
      <c r="EI56" s="116"/>
      <c r="EJ56" s="16">
        <f t="shared" si="27"/>
        <v>0</v>
      </c>
      <c r="EK56" s="90"/>
      <c r="EL56" s="90"/>
      <c r="EM56" s="90"/>
      <c r="EN56" s="116"/>
      <c r="EO56" s="16">
        <f t="shared" si="28"/>
        <v>0</v>
      </c>
      <c r="EP56" s="90"/>
      <c r="EQ56" s="90"/>
      <c r="ER56" s="90"/>
      <c r="ES56" s="116"/>
      <c r="ET56" s="16">
        <f t="shared" si="29"/>
        <v>0</v>
      </c>
      <c r="EU56" s="90"/>
      <c r="EV56" s="90"/>
      <c r="EW56" s="90"/>
      <c r="EX56" s="116"/>
      <c r="EY56" s="16">
        <f t="shared" si="30"/>
        <v>0</v>
      </c>
      <c r="EZ56" s="90"/>
      <c r="FA56" s="90"/>
      <c r="FB56" s="90"/>
      <c r="FC56" s="116"/>
      <c r="FD56" s="16">
        <f t="shared" si="31"/>
        <v>0</v>
      </c>
      <c r="FE56" s="90"/>
      <c r="FF56" s="90"/>
      <c r="FG56" s="90"/>
      <c r="FH56" s="116"/>
      <c r="FI56" s="16">
        <f t="shared" si="50"/>
        <v>0</v>
      </c>
      <c r="FJ56" s="90"/>
      <c r="FK56" s="90"/>
      <c r="FL56" s="90"/>
      <c r="FM56" s="116"/>
      <c r="FN56" s="16">
        <f t="shared" si="32"/>
        <v>0</v>
      </c>
      <c r="FO56" s="90"/>
      <c r="FP56" s="90"/>
      <c r="FQ56" s="90"/>
      <c r="FR56" s="116"/>
      <c r="FS56" s="16">
        <f t="shared" si="33"/>
        <v>0</v>
      </c>
      <c r="FT56" s="90"/>
      <c r="FU56" s="90"/>
      <c r="FV56" s="90"/>
      <c r="FW56" s="116"/>
      <c r="FX56" s="16">
        <f t="shared" si="34"/>
        <v>0</v>
      </c>
      <c r="FY56" s="90"/>
      <c r="FZ56" s="90"/>
      <c r="GA56" s="90"/>
      <c r="GB56" s="116"/>
      <c r="GC56" s="16">
        <f t="shared" si="35"/>
        <v>0</v>
      </c>
      <c r="GD56" s="90"/>
      <c r="GE56" s="90"/>
      <c r="GF56" s="90"/>
      <c r="GG56" s="116"/>
      <c r="GH56" s="16">
        <f t="shared" si="36"/>
        <v>0</v>
      </c>
      <c r="GI56" s="90"/>
      <c r="GJ56" s="90"/>
      <c r="GK56" s="90"/>
      <c r="GL56" s="116"/>
      <c r="GM56" s="16">
        <f t="shared" si="37"/>
        <v>0</v>
      </c>
      <c r="GN56" s="90"/>
      <c r="GO56" s="90"/>
      <c r="GP56" s="90"/>
      <c r="GQ56" s="116"/>
      <c r="GR56" s="16">
        <f t="shared" si="38"/>
        <v>0</v>
      </c>
      <c r="GS56" s="90"/>
      <c r="GT56" s="90"/>
      <c r="GU56" s="90"/>
      <c r="GV56" s="116"/>
      <c r="GW56" s="16">
        <f t="shared" si="39"/>
        <v>0</v>
      </c>
      <c r="GX56" s="90"/>
      <c r="GY56" s="90"/>
      <c r="GZ56" s="90"/>
      <c r="HA56" s="116"/>
      <c r="HB56" s="16">
        <f t="shared" si="40"/>
        <v>0</v>
      </c>
      <c r="HC56" s="90"/>
      <c r="HD56" s="90"/>
      <c r="HE56" s="90"/>
      <c r="HF56" s="116"/>
      <c r="HG56" s="16">
        <f t="shared" si="41"/>
        <v>0</v>
      </c>
      <c r="HH56" s="90"/>
      <c r="HI56" s="90"/>
      <c r="HJ56" s="90"/>
      <c r="HK56" s="116"/>
      <c r="HL56" s="16">
        <f t="shared" si="42"/>
        <v>0</v>
      </c>
      <c r="HM56" s="90"/>
      <c r="HN56" s="90"/>
      <c r="HO56" s="90"/>
      <c r="HP56" s="116"/>
      <c r="HQ56" s="16">
        <f t="shared" si="43"/>
        <v>0</v>
      </c>
      <c r="HR56" s="90"/>
      <c r="HS56" s="90"/>
      <c r="HT56" s="90"/>
      <c r="HU56" s="116"/>
      <c r="HV56" s="16">
        <f t="shared" si="44"/>
        <v>0</v>
      </c>
      <c r="HW56" s="90"/>
      <c r="HX56" s="90"/>
      <c r="HY56" s="90"/>
      <c r="HZ56" s="116"/>
      <c r="IA56" s="16">
        <f t="shared" si="45"/>
        <v>0</v>
      </c>
      <c r="IB56" s="90"/>
      <c r="IC56" s="90"/>
      <c r="ID56" s="90"/>
      <c r="IE56" s="116"/>
      <c r="IF56" s="16">
        <f t="shared" si="46"/>
        <v>0</v>
      </c>
      <c r="IG56" s="90"/>
      <c r="IH56" s="90"/>
      <c r="II56" s="90"/>
      <c r="IJ56" s="116"/>
      <c r="IK56" s="16">
        <f t="shared" si="47"/>
        <v>0</v>
      </c>
      <c r="IL56" s="90"/>
      <c r="IM56" s="90"/>
      <c r="IN56" s="90"/>
      <c r="IO56" s="116"/>
      <c r="IP56" s="16">
        <f t="shared" si="48"/>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49"/>
        <v>0</v>
      </c>
      <c r="BD57" s="90"/>
      <c r="BE57" s="90"/>
      <c r="BF57" s="90"/>
      <c r="BG57" s="116"/>
      <c r="BH57" s="16">
        <f t="shared" si="11"/>
        <v>0</v>
      </c>
      <c r="BI57" s="90"/>
      <c r="BJ57" s="90"/>
      <c r="BK57" s="90"/>
      <c r="BL57" s="116"/>
      <c r="BM57" s="16">
        <f t="shared" si="12"/>
        <v>0</v>
      </c>
      <c r="BN57" s="90"/>
      <c r="BO57" s="90"/>
      <c r="BP57" s="90"/>
      <c r="BQ57" s="116"/>
      <c r="BR57" s="16">
        <f t="shared" si="13"/>
        <v>0</v>
      </c>
      <c r="BS57" s="90"/>
      <c r="BT57" s="90"/>
      <c r="BU57" s="90"/>
      <c r="BV57" s="116"/>
      <c r="BW57" s="16">
        <f t="shared" si="14"/>
        <v>0</v>
      </c>
      <c r="BX57" s="90"/>
      <c r="BY57" s="90"/>
      <c r="BZ57" s="90"/>
      <c r="CA57" s="116"/>
      <c r="CB57" s="16">
        <f t="shared" si="15"/>
        <v>0</v>
      </c>
      <c r="CC57" s="90"/>
      <c r="CD57" s="90"/>
      <c r="CE57" s="90"/>
      <c r="CF57" s="116"/>
      <c r="CG57" s="16">
        <f t="shared" si="16"/>
        <v>0</v>
      </c>
      <c r="CH57" s="90"/>
      <c r="CI57" s="90"/>
      <c r="CJ57" s="90"/>
      <c r="CK57" s="116"/>
      <c r="CL57" s="16">
        <f t="shared" si="17"/>
        <v>0</v>
      </c>
      <c r="CM57" s="90"/>
      <c r="CN57" s="90"/>
      <c r="CO57" s="90"/>
      <c r="CP57" s="116"/>
      <c r="CQ57" s="16">
        <f t="shared" si="18"/>
        <v>0</v>
      </c>
      <c r="CR57" s="90"/>
      <c r="CS57" s="90"/>
      <c r="CT57" s="90"/>
      <c r="CU57" s="116"/>
      <c r="CV57" s="16">
        <f t="shared" si="19"/>
        <v>0</v>
      </c>
      <c r="CW57" s="90"/>
      <c r="CX57" s="90"/>
      <c r="CY57" s="90"/>
      <c r="CZ57" s="116"/>
      <c r="DA57" s="16">
        <f t="shared" si="20"/>
        <v>0</v>
      </c>
      <c r="DB57" s="90"/>
      <c r="DC57" s="90"/>
      <c r="DD57" s="90"/>
      <c r="DE57" s="116"/>
      <c r="DF57" s="16">
        <f t="shared" si="21"/>
        <v>0</v>
      </c>
      <c r="DG57" s="90"/>
      <c r="DH57" s="90"/>
      <c r="DI57" s="90"/>
      <c r="DJ57" s="116"/>
      <c r="DK57" s="16">
        <f t="shared" si="22"/>
        <v>0</v>
      </c>
      <c r="DL57" s="90"/>
      <c r="DM57" s="90"/>
      <c r="DN57" s="90"/>
      <c r="DO57" s="116"/>
      <c r="DP57" s="16">
        <f t="shared" si="23"/>
        <v>0</v>
      </c>
      <c r="DQ57" s="90"/>
      <c r="DR57" s="90"/>
      <c r="DS57" s="90"/>
      <c r="DT57" s="116"/>
      <c r="DU57" s="16">
        <f t="shared" si="24"/>
        <v>0</v>
      </c>
      <c r="DV57" s="90"/>
      <c r="DW57" s="90"/>
      <c r="DX57" s="90"/>
      <c r="DY57" s="116"/>
      <c r="DZ57" s="16">
        <f t="shared" si="25"/>
        <v>0</v>
      </c>
      <c r="EA57" s="90"/>
      <c r="EB57" s="90"/>
      <c r="EC57" s="90"/>
      <c r="ED57" s="116"/>
      <c r="EE57" s="16">
        <f t="shared" si="26"/>
        <v>0</v>
      </c>
      <c r="EF57" s="90"/>
      <c r="EG57" s="90"/>
      <c r="EH57" s="90"/>
      <c r="EI57" s="116"/>
      <c r="EJ57" s="16">
        <f t="shared" si="27"/>
        <v>0</v>
      </c>
      <c r="EK57" s="90"/>
      <c r="EL57" s="90"/>
      <c r="EM57" s="90"/>
      <c r="EN57" s="116"/>
      <c r="EO57" s="16">
        <f t="shared" si="28"/>
        <v>0</v>
      </c>
      <c r="EP57" s="90"/>
      <c r="EQ57" s="90"/>
      <c r="ER57" s="90"/>
      <c r="ES57" s="116"/>
      <c r="ET57" s="16">
        <f t="shared" si="29"/>
        <v>0</v>
      </c>
      <c r="EU57" s="90"/>
      <c r="EV57" s="90"/>
      <c r="EW57" s="90"/>
      <c r="EX57" s="116"/>
      <c r="EY57" s="16">
        <f t="shared" si="30"/>
        <v>0</v>
      </c>
      <c r="EZ57" s="90"/>
      <c r="FA57" s="90"/>
      <c r="FB57" s="90"/>
      <c r="FC57" s="116"/>
      <c r="FD57" s="16">
        <f t="shared" si="31"/>
        <v>0</v>
      </c>
      <c r="FE57" s="90"/>
      <c r="FF57" s="90"/>
      <c r="FG57" s="90"/>
      <c r="FH57" s="116"/>
      <c r="FI57" s="16">
        <f t="shared" si="50"/>
        <v>0</v>
      </c>
      <c r="FJ57" s="90"/>
      <c r="FK57" s="90"/>
      <c r="FL57" s="90"/>
      <c r="FM57" s="116"/>
      <c r="FN57" s="16">
        <f t="shared" si="32"/>
        <v>0</v>
      </c>
      <c r="FO57" s="90"/>
      <c r="FP57" s="90"/>
      <c r="FQ57" s="90"/>
      <c r="FR57" s="116"/>
      <c r="FS57" s="16">
        <f t="shared" si="33"/>
        <v>0</v>
      </c>
      <c r="FT57" s="90"/>
      <c r="FU57" s="90"/>
      <c r="FV57" s="90"/>
      <c r="FW57" s="116"/>
      <c r="FX57" s="16">
        <f t="shared" si="34"/>
        <v>0</v>
      </c>
      <c r="FY57" s="90"/>
      <c r="FZ57" s="90"/>
      <c r="GA57" s="90"/>
      <c r="GB57" s="116"/>
      <c r="GC57" s="16">
        <f t="shared" si="35"/>
        <v>0</v>
      </c>
      <c r="GD57" s="90"/>
      <c r="GE57" s="90"/>
      <c r="GF57" s="90"/>
      <c r="GG57" s="116"/>
      <c r="GH57" s="16">
        <f t="shared" si="36"/>
        <v>0</v>
      </c>
      <c r="GI57" s="90"/>
      <c r="GJ57" s="90"/>
      <c r="GK57" s="90"/>
      <c r="GL57" s="116"/>
      <c r="GM57" s="16">
        <f t="shared" si="37"/>
        <v>0</v>
      </c>
      <c r="GN57" s="90"/>
      <c r="GO57" s="90"/>
      <c r="GP57" s="90"/>
      <c r="GQ57" s="116"/>
      <c r="GR57" s="16">
        <f t="shared" si="38"/>
        <v>0</v>
      </c>
      <c r="GS57" s="90"/>
      <c r="GT57" s="90"/>
      <c r="GU57" s="90"/>
      <c r="GV57" s="116"/>
      <c r="GW57" s="16">
        <f t="shared" si="39"/>
        <v>0</v>
      </c>
      <c r="GX57" s="90"/>
      <c r="GY57" s="90"/>
      <c r="GZ57" s="90"/>
      <c r="HA57" s="116"/>
      <c r="HB57" s="16">
        <f t="shared" si="40"/>
        <v>0</v>
      </c>
      <c r="HC57" s="90"/>
      <c r="HD57" s="90"/>
      <c r="HE57" s="90"/>
      <c r="HF57" s="116"/>
      <c r="HG57" s="16">
        <f t="shared" si="41"/>
        <v>0</v>
      </c>
      <c r="HH57" s="90"/>
      <c r="HI57" s="90"/>
      <c r="HJ57" s="90"/>
      <c r="HK57" s="116"/>
      <c r="HL57" s="16">
        <f t="shared" si="42"/>
        <v>0</v>
      </c>
      <c r="HM57" s="90"/>
      <c r="HN57" s="90"/>
      <c r="HO57" s="90"/>
      <c r="HP57" s="116"/>
      <c r="HQ57" s="16">
        <f t="shared" si="43"/>
        <v>0</v>
      </c>
      <c r="HR57" s="90"/>
      <c r="HS57" s="90"/>
      <c r="HT57" s="90"/>
      <c r="HU57" s="116"/>
      <c r="HV57" s="16">
        <f t="shared" si="44"/>
        <v>0</v>
      </c>
      <c r="HW57" s="90"/>
      <c r="HX57" s="90"/>
      <c r="HY57" s="90"/>
      <c r="HZ57" s="116"/>
      <c r="IA57" s="16">
        <f t="shared" si="45"/>
        <v>0</v>
      </c>
      <c r="IB57" s="90"/>
      <c r="IC57" s="90"/>
      <c r="ID57" s="90"/>
      <c r="IE57" s="116"/>
      <c r="IF57" s="16">
        <f t="shared" si="46"/>
        <v>0</v>
      </c>
      <c r="IG57" s="90"/>
      <c r="IH57" s="90"/>
      <c r="II57" s="90"/>
      <c r="IJ57" s="116"/>
      <c r="IK57" s="16">
        <f t="shared" si="47"/>
        <v>0</v>
      </c>
      <c r="IL57" s="90"/>
      <c r="IM57" s="90"/>
      <c r="IN57" s="90"/>
      <c r="IO57" s="116"/>
      <c r="IP57" s="16">
        <f t="shared" si="48"/>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49"/>
        <v>0</v>
      </c>
      <c r="BD58" s="90"/>
      <c r="BE58" s="90"/>
      <c r="BF58" s="90"/>
      <c r="BG58" s="116"/>
      <c r="BH58" s="16">
        <f t="shared" si="11"/>
        <v>0</v>
      </c>
      <c r="BI58" s="90"/>
      <c r="BJ58" s="90"/>
      <c r="BK58" s="90"/>
      <c r="BL58" s="116"/>
      <c r="BM58" s="16">
        <f t="shared" si="12"/>
        <v>0</v>
      </c>
      <c r="BN58" s="90"/>
      <c r="BO58" s="90"/>
      <c r="BP58" s="90"/>
      <c r="BQ58" s="116"/>
      <c r="BR58" s="16">
        <f t="shared" si="13"/>
        <v>0</v>
      </c>
      <c r="BS58" s="90"/>
      <c r="BT58" s="90"/>
      <c r="BU58" s="90"/>
      <c r="BV58" s="116"/>
      <c r="BW58" s="16">
        <f t="shared" si="14"/>
        <v>0</v>
      </c>
      <c r="BX58" s="90"/>
      <c r="BY58" s="90"/>
      <c r="BZ58" s="90"/>
      <c r="CA58" s="116"/>
      <c r="CB58" s="16">
        <f t="shared" si="15"/>
        <v>0</v>
      </c>
      <c r="CC58" s="90"/>
      <c r="CD58" s="90"/>
      <c r="CE58" s="90"/>
      <c r="CF58" s="116"/>
      <c r="CG58" s="16">
        <f t="shared" si="16"/>
        <v>0</v>
      </c>
      <c r="CH58" s="90"/>
      <c r="CI58" s="90"/>
      <c r="CJ58" s="90"/>
      <c r="CK58" s="116"/>
      <c r="CL58" s="16">
        <f t="shared" si="17"/>
        <v>0</v>
      </c>
      <c r="CM58" s="90"/>
      <c r="CN58" s="90"/>
      <c r="CO58" s="90"/>
      <c r="CP58" s="116"/>
      <c r="CQ58" s="16">
        <f t="shared" si="18"/>
        <v>0</v>
      </c>
      <c r="CR58" s="90"/>
      <c r="CS58" s="90"/>
      <c r="CT58" s="90"/>
      <c r="CU58" s="116"/>
      <c r="CV58" s="16">
        <f t="shared" si="19"/>
        <v>0</v>
      </c>
      <c r="CW58" s="90"/>
      <c r="CX58" s="90"/>
      <c r="CY58" s="90"/>
      <c r="CZ58" s="116"/>
      <c r="DA58" s="16">
        <f t="shared" si="20"/>
        <v>0</v>
      </c>
      <c r="DB58" s="90"/>
      <c r="DC58" s="90"/>
      <c r="DD58" s="90"/>
      <c r="DE58" s="116"/>
      <c r="DF58" s="16">
        <f t="shared" si="21"/>
        <v>0</v>
      </c>
      <c r="DG58" s="90"/>
      <c r="DH58" s="90"/>
      <c r="DI58" s="90"/>
      <c r="DJ58" s="116"/>
      <c r="DK58" s="16">
        <f t="shared" si="22"/>
        <v>0</v>
      </c>
      <c r="DL58" s="90"/>
      <c r="DM58" s="90"/>
      <c r="DN58" s="90"/>
      <c r="DO58" s="116"/>
      <c r="DP58" s="16">
        <f t="shared" si="23"/>
        <v>0</v>
      </c>
      <c r="DQ58" s="90"/>
      <c r="DR58" s="90"/>
      <c r="DS58" s="90"/>
      <c r="DT58" s="116"/>
      <c r="DU58" s="16">
        <f t="shared" si="24"/>
        <v>0</v>
      </c>
      <c r="DV58" s="90"/>
      <c r="DW58" s="90"/>
      <c r="DX58" s="90"/>
      <c r="DY58" s="116"/>
      <c r="DZ58" s="16">
        <f t="shared" si="25"/>
        <v>0</v>
      </c>
      <c r="EA58" s="90"/>
      <c r="EB58" s="90"/>
      <c r="EC58" s="90"/>
      <c r="ED58" s="116"/>
      <c r="EE58" s="16">
        <f t="shared" si="26"/>
        <v>0</v>
      </c>
      <c r="EF58" s="90"/>
      <c r="EG58" s="90"/>
      <c r="EH58" s="90"/>
      <c r="EI58" s="116"/>
      <c r="EJ58" s="16">
        <f t="shared" si="27"/>
        <v>0</v>
      </c>
      <c r="EK58" s="90"/>
      <c r="EL58" s="90"/>
      <c r="EM58" s="90"/>
      <c r="EN58" s="116"/>
      <c r="EO58" s="16">
        <f t="shared" si="28"/>
        <v>0</v>
      </c>
      <c r="EP58" s="90"/>
      <c r="EQ58" s="90"/>
      <c r="ER58" s="90"/>
      <c r="ES58" s="116"/>
      <c r="ET58" s="16">
        <f t="shared" si="29"/>
        <v>0</v>
      </c>
      <c r="EU58" s="90"/>
      <c r="EV58" s="90"/>
      <c r="EW58" s="90"/>
      <c r="EX58" s="116"/>
      <c r="EY58" s="16">
        <f t="shared" si="30"/>
        <v>0</v>
      </c>
      <c r="EZ58" s="90"/>
      <c r="FA58" s="90"/>
      <c r="FB58" s="90"/>
      <c r="FC58" s="116"/>
      <c r="FD58" s="16">
        <f t="shared" si="31"/>
        <v>0</v>
      </c>
      <c r="FE58" s="90"/>
      <c r="FF58" s="90"/>
      <c r="FG58" s="90"/>
      <c r="FH58" s="116"/>
      <c r="FI58" s="16">
        <f t="shared" si="50"/>
        <v>0</v>
      </c>
      <c r="FJ58" s="90"/>
      <c r="FK58" s="90"/>
      <c r="FL58" s="90"/>
      <c r="FM58" s="116"/>
      <c r="FN58" s="16">
        <f t="shared" si="32"/>
        <v>0</v>
      </c>
      <c r="FO58" s="90"/>
      <c r="FP58" s="90"/>
      <c r="FQ58" s="90"/>
      <c r="FR58" s="116"/>
      <c r="FS58" s="16">
        <f t="shared" si="33"/>
        <v>0</v>
      </c>
      <c r="FT58" s="90"/>
      <c r="FU58" s="90"/>
      <c r="FV58" s="90"/>
      <c r="FW58" s="116"/>
      <c r="FX58" s="16">
        <f t="shared" si="34"/>
        <v>0</v>
      </c>
      <c r="FY58" s="90"/>
      <c r="FZ58" s="90"/>
      <c r="GA58" s="90"/>
      <c r="GB58" s="116"/>
      <c r="GC58" s="16">
        <f t="shared" si="35"/>
        <v>0</v>
      </c>
      <c r="GD58" s="90"/>
      <c r="GE58" s="90"/>
      <c r="GF58" s="90"/>
      <c r="GG58" s="116"/>
      <c r="GH58" s="16">
        <f t="shared" si="36"/>
        <v>0</v>
      </c>
      <c r="GI58" s="90"/>
      <c r="GJ58" s="90"/>
      <c r="GK58" s="90"/>
      <c r="GL58" s="116"/>
      <c r="GM58" s="16">
        <f t="shared" si="37"/>
        <v>0</v>
      </c>
      <c r="GN58" s="90"/>
      <c r="GO58" s="90"/>
      <c r="GP58" s="90"/>
      <c r="GQ58" s="116"/>
      <c r="GR58" s="16">
        <f t="shared" si="38"/>
        <v>0</v>
      </c>
      <c r="GS58" s="90"/>
      <c r="GT58" s="90"/>
      <c r="GU58" s="90"/>
      <c r="GV58" s="116"/>
      <c r="GW58" s="16">
        <f t="shared" si="39"/>
        <v>0</v>
      </c>
      <c r="GX58" s="90"/>
      <c r="GY58" s="90"/>
      <c r="GZ58" s="90"/>
      <c r="HA58" s="116"/>
      <c r="HB58" s="16">
        <f t="shared" si="40"/>
        <v>0</v>
      </c>
      <c r="HC58" s="90"/>
      <c r="HD58" s="90"/>
      <c r="HE58" s="90"/>
      <c r="HF58" s="116"/>
      <c r="HG58" s="16">
        <f t="shared" si="41"/>
        <v>0</v>
      </c>
      <c r="HH58" s="90"/>
      <c r="HI58" s="90"/>
      <c r="HJ58" s="90"/>
      <c r="HK58" s="116"/>
      <c r="HL58" s="16">
        <f t="shared" si="42"/>
        <v>0</v>
      </c>
      <c r="HM58" s="90"/>
      <c r="HN58" s="90"/>
      <c r="HO58" s="90"/>
      <c r="HP58" s="116"/>
      <c r="HQ58" s="16">
        <f t="shared" si="43"/>
        <v>0</v>
      </c>
      <c r="HR58" s="90"/>
      <c r="HS58" s="90"/>
      <c r="HT58" s="90"/>
      <c r="HU58" s="116"/>
      <c r="HV58" s="16">
        <f t="shared" si="44"/>
        <v>0</v>
      </c>
      <c r="HW58" s="90"/>
      <c r="HX58" s="90"/>
      <c r="HY58" s="90"/>
      <c r="HZ58" s="116"/>
      <c r="IA58" s="16">
        <f t="shared" si="45"/>
        <v>0</v>
      </c>
      <c r="IB58" s="90"/>
      <c r="IC58" s="90"/>
      <c r="ID58" s="90"/>
      <c r="IE58" s="116"/>
      <c r="IF58" s="16">
        <f t="shared" si="46"/>
        <v>0</v>
      </c>
      <c r="IG58" s="90"/>
      <c r="IH58" s="90"/>
      <c r="II58" s="90"/>
      <c r="IJ58" s="116"/>
      <c r="IK58" s="16">
        <f t="shared" si="47"/>
        <v>0</v>
      </c>
      <c r="IL58" s="90"/>
      <c r="IM58" s="90"/>
      <c r="IN58" s="90"/>
      <c r="IO58" s="116"/>
      <c r="IP58" s="16">
        <f t="shared" si="48"/>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49"/>
        <v>0</v>
      </c>
      <c r="BD59" s="90"/>
      <c r="BE59" s="90"/>
      <c r="BF59" s="90"/>
      <c r="BG59" s="116"/>
      <c r="BH59" s="16">
        <f t="shared" si="11"/>
        <v>0</v>
      </c>
      <c r="BI59" s="90"/>
      <c r="BJ59" s="90"/>
      <c r="BK59" s="90"/>
      <c r="BL59" s="116"/>
      <c r="BM59" s="16">
        <f t="shared" si="12"/>
        <v>0</v>
      </c>
      <c r="BN59" s="90"/>
      <c r="BO59" s="90"/>
      <c r="BP59" s="90"/>
      <c r="BQ59" s="116"/>
      <c r="BR59" s="16">
        <f t="shared" si="13"/>
        <v>0</v>
      </c>
      <c r="BS59" s="90"/>
      <c r="BT59" s="90"/>
      <c r="BU59" s="90"/>
      <c r="BV59" s="116"/>
      <c r="BW59" s="16">
        <f t="shared" si="14"/>
        <v>0</v>
      </c>
      <c r="BX59" s="90"/>
      <c r="BY59" s="90"/>
      <c r="BZ59" s="90"/>
      <c r="CA59" s="116"/>
      <c r="CB59" s="16">
        <f t="shared" si="15"/>
        <v>0</v>
      </c>
      <c r="CC59" s="90"/>
      <c r="CD59" s="90"/>
      <c r="CE59" s="90"/>
      <c r="CF59" s="116"/>
      <c r="CG59" s="16">
        <f t="shared" si="16"/>
        <v>0</v>
      </c>
      <c r="CH59" s="90"/>
      <c r="CI59" s="90"/>
      <c r="CJ59" s="90"/>
      <c r="CK59" s="116"/>
      <c r="CL59" s="16">
        <f t="shared" si="17"/>
        <v>0</v>
      </c>
      <c r="CM59" s="90"/>
      <c r="CN59" s="90"/>
      <c r="CO59" s="90"/>
      <c r="CP59" s="116"/>
      <c r="CQ59" s="16">
        <f t="shared" si="18"/>
        <v>0</v>
      </c>
      <c r="CR59" s="90"/>
      <c r="CS59" s="90"/>
      <c r="CT59" s="90"/>
      <c r="CU59" s="116"/>
      <c r="CV59" s="16">
        <f t="shared" si="19"/>
        <v>0</v>
      </c>
      <c r="CW59" s="90"/>
      <c r="CX59" s="90"/>
      <c r="CY59" s="90"/>
      <c r="CZ59" s="116"/>
      <c r="DA59" s="16">
        <f t="shared" si="20"/>
        <v>0</v>
      </c>
      <c r="DB59" s="90"/>
      <c r="DC59" s="90"/>
      <c r="DD59" s="90"/>
      <c r="DE59" s="116"/>
      <c r="DF59" s="16">
        <f t="shared" si="21"/>
        <v>0</v>
      </c>
      <c r="DG59" s="90"/>
      <c r="DH59" s="90"/>
      <c r="DI59" s="90"/>
      <c r="DJ59" s="116"/>
      <c r="DK59" s="16">
        <f t="shared" si="22"/>
        <v>0</v>
      </c>
      <c r="DL59" s="90"/>
      <c r="DM59" s="90"/>
      <c r="DN59" s="90"/>
      <c r="DO59" s="116"/>
      <c r="DP59" s="16">
        <f t="shared" si="23"/>
        <v>0</v>
      </c>
      <c r="DQ59" s="90"/>
      <c r="DR59" s="90"/>
      <c r="DS59" s="90"/>
      <c r="DT59" s="116"/>
      <c r="DU59" s="16">
        <f t="shared" si="24"/>
        <v>0</v>
      </c>
      <c r="DV59" s="90"/>
      <c r="DW59" s="90"/>
      <c r="DX59" s="90"/>
      <c r="DY59" s="116"/>
      <c r="DZ59" s="16">
        <f t="shared" si="25"/>
        <v>0</v>
      </c>
      <c r="EA59" s="90"/>
      <c r="EB59" s="90"/>
      <c r="EC59" s="90"/>
      <c r="ED59" s="116"/>
      <c r="EE59" s="16">
        <f t="shared" si="26"/>
        <v>0</v>
      </c>
      <c r="EF59" s="90"/>
      <c r="EG59" s="90"/>
      <c r="EH59" s="90"/>
      <c r="EI59" s="116"/>
      <c r="EJ59" s="16">
        <f t="shared" si="27"/>
        <v>0</v>
      </c>
      <c r="EK59" s="90"/>
      <c r="EL59" s="90"/>
      <c r="EM59" s="90"/>
      <c r="EN59" s="116"/>
      <c r="EO59" s="16">
        <f t="shared" si="28"/>
        <v>0</v>
      </c>
      <c r="EP59" s="90"/>
      <c r="EQ59" s="90"/>
      <c r="ER59" s="90"/>
      <c r="ES59" s="116"/>
      <c r="ET59" s="16">
        <f t="shared" si="29"/>
        <v>0</v>
      </c>
      <c r="EU59" s="90"/>
      <c r="EV59" s="90"/>
      <c r="EW59" s="90"/>
      <c r="EX59" s="116"/>
      <c r="EY59" s="16">
        <f t="shared" si="30"/>
        <v>0</v>
      </c>
      <c r="EZ59" s="90"/>
      <c r="FA59" s="90"/>
      <c r="FB59" s="90"/>
      <c r="FC59" s="116"/>
      <c r="FD59" s="16">
        <f t="shared" si="31"/>
        <v>0</v>
      </c>
      <c r="FE59" s="90"/>
      <c r="FF59" s="90"/>
      <c r="FG59" s="90"/>
      <c r="FH59" s="116"/>
      <c r="FI59" s="16">
        <f t="shared" si="50"/>
        <v>0</v>
      </c>
      <c r="FJ59" s="90"/>
      <c r="FK59" s="90"/>
      <c r="FL59" s="90"/>
      <c r="FM59" s="116"/>
      <c r="FN59" s="16">
        <f t="shared" si="32"/>
        <v>0</v>
      </c>
      <c r="FO59" s="90"/>
      <c r="FP59" s="90"/>
      <c r="FQ59" s="90"/>
      <c r="FR59" s="116"/>
      <c r="FS59" s="16">
        <f t="shared" si="33"/>
        <v>0</v>
      </c>
      <c r="FT59" s="90"/>
      <c r="FU59" s="90"/>
      <c r="FV59" s="90"/>
      <c r="FW59" s="116"/>
      <c r="FX59" s="16">
        <f t="shared" si="34"/>
        <v>0</v>
      </c>
      <c r="FY59" s="90"/>
      <c r="FZ59" s="90"/>
      <c r="GA59" s="90"/>
      <c r="GB59" s="116"/>
      <c r="GC59" s="16">
        <f t="shared" si="35"/>
        <v>0</v>
      </c>
      <c r="GD59" s="90"/>
      <c r="GE59" s="90"/>
      <c r="GF59" s="90"/>
      <c r="GG59" s="116"/>
      <c r="GH59" s="16">
        <f t="shared" si="36"/>
        <v>0</v>
      </c>
      <c r="GI59" s="90"/>
      <c r="GJ59" s="90"/>
      <c r="GK59" s="90"/>
      <c r="GL59" s="116"/>
      <c r="GM59" s="16">
        <f t="shared" si="37"/>
        <v>0</v>
      </c>
      <c r="GN59" s="90"/>
      <c r="GO59" s="90"/>
      <c r="GP59" s="90"/>
      <c r="GQ59" s="116"/>
      <c r="GR59" s="16">
        <f t="shared" si="38"/>
        <v>0</v>
      </c>
      <c r="GS59" s="90"/>
      <c r="GT59" s="90"/>
      <c r="GU59" s="90"/>
      <c r="GV59" s="116"/>
      <c r="GW59" s="16">
        <f t="shared" si="39"/>
        <v>0</v>
      </c>
      <c r="GX59" s="90"/>
      <c r="GY59" s="90"/>
      <c r="GZ59" s="90"/>
      <c r="HA59" s="116"/>
      <c r="HB59" s="16">
        <f t="shared" si="40"/>
        <v>0</v>
      </c>
      <c r="HC59" s="90"/>
      <c r="HD59" s="90"/>
      <c r="HE59" s="90"/>
      <c r="HF59" s="116"/>
      <c r="HG59" s="16">
        <f t="shared" si="41"/>
        <v>0</v>
      </c>
      <c r="HH59" s="90"/>
      <c r="HI59" s="90"/>
      <c r="HJ59" s="90"/>
      <c r="HK59" s="116"/>
      <c r="HL59" s="16">
        <f t="shared" si="42"/>
        <v>0</v>
      </c>
      <c r="HM59" s="90"/>
      <c r="HN59" s="90"/>
      <c r="HO59" s="90"/>
      <c r="HP59" s="116"/>
      <c r="HQ59" s="16">
        <f t="shared" si="43"/>
        <v>0</v>
      </c>
      <c r="HR59" s="90"/>
      <c r="HS59" s="90"/>
      <c r="HT59" s="90"/>
      <c r="HU59" s="116"/>
      <c r="HV59" s="16">
        <f t="shared" si="44"/>
        <v>0</v>
      </c>
      <c r="HW59" s="90"/>
      <c r="HX59" s="90"/>
      <c r="HY59" s="90"/>
      <c r="HZ59" s="116"/>
      <c r="IA59" s="16">
        <f t="shared" si="45"/>
        <v>0</v>
      </c>
      <c r="IB59" s="90"/>
      <c r="IC59" s="90"/>
      <c r="ID59" s="90"/>
      <c r="IE59" s="116"/>
      <c r="IF59" s="16">
        <f t="shared" si="46"/>
        <v>0</v>
      </c>
      <c r="IG59" s="90"/>
      <c r="IH59" s="90"/>
      <c r="II59" s="90"/>
      <c r="IJ59" s="116"/>
      <c r="IK59" s="16">
        <f t="shared" si="47"/>
        <v>0</v>
      </c>
      <c r="IL59" s="90"/>
      <c r="IM59" s="90"/>
      <c r="IN59" s="90"/>
      <c r="IO59" s="116"/>
      <c r="IP59" s="16">
        <f t="shared" si="48"/>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49"/>
        <v>0</v>
      </c>
      <c r="BD60" s="90"/>
      <c r="BE60" s="90"/>
      <c r="BF60" s="90"/>
      <c r="BG60" s="116"/>
      <c r="BH60" s="16">
        <f t="shared" si="11"/>
        <v>0</v>
      </c>
      <c r="BI60" s="90"/>
      <c r="BJ60" s="90"/>
      <c r="BK60" s="90"/>
      <c r="BL60" s="116"/>
      <c r="BM60" s="16">
        <f t="shared" si="12"/>
        <v>0</v>
      </c>
      <c r="BN60" s="90"/>
      <c r="BO60" s="90"/>
      <c r="BP60" s="90"/>
      <c r="BQ60" s="116"/>
      <c r="BR60" s="16">
        <f t="shared" si="13"/>
        <v>0</v>
      </c>
      <c r="BS60" s="90"/>
      <c r="BT60" s="90"/>
      <c r="BU60" s="90"/>
      <c r="BV60" s="116"/>
      <c r="BW60" s="16">
        <f t="shared" si="14"/>
        <v>0</v>
      </c>
      <c r="BX60" s="90"/>
      <c r="BY60" s="90"/>
      <c r="BZ60" s="90"/>
      <c r="CA60" s="116"/>
      <c r="CB60" s="16">
        <f t="shared" si="15"/>
        <v>0</v>
      </c>
      <c r="CC60" s="90"/>
      <c r="CD60" s="90"/>
      <c r="CE60" s="90"/>
      <c r="CF60" s="116"/>
      <c r="CG60" s="16">
        <f t="shared" si="16"/>
        <v>0</v>
      </c>
      <c r="CH60" s="90"/>
      <c r="CI60" s="90"/>
      <c r="CJ60" s="90"/>
      <c r="CK60" s="116"/>
      <c r="CL60" s="16">
        <f t="shared" si="17"/>
        <v>0</v>
      </c>
      <c r="CM60" s="90"/>
      <c r="CN60" s="90"/>
      <c r="CO60" s="90"/>
      <c r="CP60" s="116"/>
      <c r="CQ60" s="16">
        <f t="shared" si="18"/>
        <v>0</v>
      </c>
      <c r="CR60" s="90"/>
      <c r="CS60" s="90"/>
      <c r="CT60" s="90"/>
      <c r="CU60" s="116"/>
      <c r="CV60" s="16">
        <f t="shared" si="19"/>
        <v>0</v>
      </c>
      <c r="CW60" s="90"/>
      <c r="CX60" s="90"/>
      <c r="CY60" s="90"/>
      <c r="CZ60" s="116"/>
      <c r="DA60" s="16">
        <f t="shared" si="20"/>
        <v>0</v>
      </c>
      <c r="DB60" s="90"/>
      <c r="DC60" s="90"/>
      <c r="DD60" s="90"/>
      <c r="DE60" s="116"/>
      <c r="DF60" s="16">
        <f t="shared" si="21"/>
        <v>0</v>
      </c>
      <c r="DG60" s="90"/>
      <c r="DH60" s="90"/>
      <c r="DI60" s="90"/>
      <c r="DJ60" s="116"/>
      <c r="DK60" s="16">
        <f t="shared" si="22"/>
        <v>0</v>
      </c>
      <c r="DL60" s="90"/>
      <c r="DM60" s="90"/>
      <c r="DN60" s="90"/>
      <c r="DO60" s="116"/>
      <c r="DP60" s="16">
        <f t="shared" si="23"/>
        <v>0</v>
      </c>
      <c r="DQ60" s="90"/>
      <c r="DR60" s="90"/>
      <c r="DS60" s="90"/>
      <c r="DT60" s="116"/>
      <c r="DU60" s="16">
        <f t="shared" si="24"/>
        <v>0</v>
      </c>
      <c r="DV60" s="90"/>
      <c r="DW60" s="90"/>
      <c r="DX60" s="90"/>
      <c r="DY60" s="116"/>
      <c r="DZ60" s="16">
        <f t="shared" si="25"/>
        <v>0</v>
      </c>
      <c r="EA60" s="90"/>
      <c r="EB60" s="90"/>
      <c r="EC60" s="90"/>
      <c r="ED60" s="116"/>
      <c r="EE60" s="16">
        <f t="shared" si="26"/>
        <v>0</v>
      </c>
      <c r="EF60" s="90"/>
      <c r="EG60" s="90"/>
      <c r="EH60" s="90"/>
      <c r="EI60" s="116"/>
      <c r="EJ60" s="16">
        <f t="shared" si="27"/>
        <v>0</v>
      </c>
      <c r="EK60" s="90"/>
      <c r="EL60" s="90"/>
      <c r="EM60" s="90"/>
      <c r="EN60" s="116"/>
      <c r="EO60" s="16">
        <f t="shared" si="28"/>
        <v>0</v>
      </c>
      <c r="EP60" s="90"/>
      <c r="EQ60" s="90"/>
      <c r="ER60" s="90"/>
      <c r="ES60" s="116"/>
      <c r="ET60" s="16">
        <f t="shared" si="29"/>
        <v>0</v>
      </c>
      <c r="EU60" s="90"/>
      <c r="EV60" s="90"/>
      <c r="EW60" s="90"/>
      <c r="EX60" s="116"/>
      <c r="EY60" s="16">
        <f t="shared" si="30"/>
        <v>0</v>
      </c>
      <c r="EZ60" s="90"/>
      <c r="FA60" s="90"/>
      <c r="FB60" s="90"/>
      <c r="FC60" s="116"/>
      <c r="FD60" s="16">
        <f t="shared" si="31"/>
        <v>0</v>
      </c>
      <c r="FE60" s="90"/>
      <c r="FF60" s="90"/>
      <c r="FG60" s="90"/>
      <c r="FH60" s="116"/>
      <c r="FI60" s="16">
        <f t="shared" si="50"/>
        <v>0</v>
      </c>
      <c r="FJ60" s="90"/>
      <c r="FK60" s="90"/>
      <c r="FL60" s="90"/>
      <c r="FM60" s="116"/>
      <c r="FN60" s="16">
        <f t="shared" si="32"/>
        <v>0</v>
      </c>
      <c r="FO60" s="90"/>
      <c r="FP60" s="90"/>
      <c r="FQ60" s="90"/>
      <c r="FR60" s="116"/>
      <c r="FS60" s="16">
        <f t="shared" si="33"/>
        <v>0</v>
      </c>
      <c r="FT60" s="90"/>
      <c r="FU60" s="90"/>
      <c r="FV60" s="90"/>
      <c r="FW60" s="116"/>
      <c r="FX60" s="16">
        <f t="shared" si="34"/>
        <v>0</v>
      </c>
      <c r="FY60" s="90"/>
      <c r="FZ60" s="90"/>
      <c r="GA60" s="90"/>
      <c r="GB60" s="116"/>
      <c r="GC60" s="16">
        <f t="shared" si="35"/>
        <v>0</v>
      </c>
      <c r="GD60" s="90"/>
      <c r="GE60" s="90"/>
      <c r="GF60" s="90"/>
      <c r="GG60" s="116"/>
      <c r="GH60" s="16">
        <f t="shared" si="36"/>
        <v>0</v>
      </c>
      <c r="GI60" s="90"/>
      <c r="GJ60" s="90"/>
      <c r="GK60" s="90"/>
      <c r="GL60" s="116"/>
      <c r="GM60" s="16">
        <f t="shared" si="37"/>
        <v>0</v>
      </c>
      <c r="GN60" s="90"/>
      <c r="GO60" s="90"/>
      <c r="GP60" s="90"/>
      <c r="GQ60" s="116"/>
      <c r="GR60" s="16">
        <f t="shared" si="38"/>
        <v>0</v>
      </c>
      <c r="GS60" s="90"/>
      <c r="GT60" s="90"/>
      <c r="GU60" s="90"/>
      <c r="GV60" s="116"/>
      <c r="GW60" s="16">
        <f t="shared" si="39"/>
        <v>0</v>
      </c>
      <c r="GX60" s="90"/>
      <c r="GY60" s="90"/>
      <c r="GZ60" s="90"/>
      <c r="HA60" s="116"/>
      <c r="HB60" s="16">
        <f t="shared" si="40"/>
        <v>0</v>
      </c>
      <c r="HC60" s="90"/>
      <c r="HD60" s="90"/>
      <c r="HE60" s="90"/>
      <c r="HF60" s="116"/>
      <c r="HG60" s="16">
        <f t="shared" si="41"/>
        <v>0</v>
      </c>
      <c r="HH60" s="90"/>
      <c r="HI60" s="90"/>
      <c r="HJ60" s="90"/>
      <c r="HK60" s="116"/>
      <c r="HL60" s="16">
        <f t="shared" si="42"/>
        <v>0</v>
      </c>
      <c r="HM60" s="90"/>
      <c r="HN60" s="90"/>
      <c r="HO60" s="90"/>
      <c r="HP60" s="116"/>
      <c r="HQ60" s="16">
        <f t="shared" si="43"/>
        <v>0</v>
      </c>
      <c r="HR60" s="90"/>
      <c r="HS60" s="90"/>
      <c r="HT60" s="90"/>
      <c r="HU60" s="116"/>
      <c r="HV60" s="16">
        <f t="shared" si="44"/>
        <v>0</v>
      </c>
      <c r="HW60" s="90"/>
      <c r="HX60" s="90"/>
      <c r="HY60" s="90"/>
      <c r="HZ60" s="116"/>
      <c r="IA60" s="16">
        <f t="shared" si="45"/>
        <v>0</v>
      </c>
      <c r="IB60" s="90"/>
      <c r="IC60" s="90"/>
      <c r="ID60" s="90"/>
      <c r="IE60" s="116"/>
      <c r="IF60" s="16">
        <f t="shared" si="46"/>
        <v>0</v>
      </c>
      <c r="IG60" s="90"/>
      <c r="IH60" s="90"/>
      <c r="II60" s="90"/>
      <c r="IJ60" s="116"/>
      <c r="IK60" s="16">
        <f t="shared" si="47"/>
        <v>0</v>
      </c>
      <c r="IL60" s="90"/>
      <c r="IM60" s="90"/>
      <c r="IN60" s="90"/>
      <c r="IO60" s="116"/>
      <c r="IP60" s="16">
        <f t="shared" si="48"/>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49"/>
        <v>0</v>
      </c>
      <c r="BD61" s="90"/>
      <c r="BE61" s="90"/>
      <c r="BF61" s="90"/>
      <c r="BG61" s="116"/>
      <c r="BH61" s="16">
        <f t="shared" si="11"/>
        <v>0</v>
      </c>
      <c r="BI61" s="90"/>
      <c r="BJ61" s="90"/>
      <c r="BK61" s="90"/>
      <c r="BL61" s="116"/>
      <c r="BM61" s="16">
        <f t="shared" si="12"/>
        <v>0</v>
      </c>
      <c r="BN61" s="90"/>
      <c r="BO61" s="90"/>
      <c r="BP61" s="90"/>
      <c r="BQ61" s="116"/>
      <c r="BR61" s="16">
        <f t="shared" si="13"/>
        <v>0</v>
      </c>
      <c r="BS61" s="90"/>
      <c r="BT61" s="90"/>
      <c r="BU61" s="90"/>
      <c r="BV61" s="116"/>
      <c r="BW61" s="16">
        <f t="shared" si="14"/>
        <v>0</v>
      </c>
      <c r="BX61" s="90"/>
      <c r="BY61" s="90"/>
      <c r="BZ61" s="90"/>
      <c r="CA61" s="116"/>
      <c r="CB61" s="16">
        <f t="shared" si="15"/>
        <v>0</v>
      </c>
      <c r="CC61" s="90"/>
      <c r="CD61" s="90"/>
      <c r="CE61" s="90"/>
      <c r="CF61" s="116"/>
      <c r="CG61" s="16">
        <f t="shared" si="16"/>
        <v>0</v>
      </c>
      <c r="CH61" s="90"/>
      <c r="CI61" s="90"/>
      <c r="CJ61" s="90"/>
      <c r="CK61" s="116"/>
      <c r="CL61" s="16">
        <f t="shared" si="17"/>
        <v>0</v>
      </c>
      <c r="CM61" s="90"/>
      <c r="CN61" s="90"/>
      <c r="CO61" s="90"/>
      <c r="CP61" s="116"/>
      <c r="CQ61" s="16">
        <f t="shared" si="18"/>
        <v>0</v>
      </c>
      <c r="CR61" s="90"/>
      <c r="CS61" s="90"/>
      <c r="CT61" s="90"/>
      <c r="CU61" s="116"/>
      <c r="CV61" s="16">
        <f t="shared" si="19"/>
        <v>0</v>
      </c>
      <c r="CW61" s="90"/>
      <c r="CX61" s="90"/>
      <c r="CY61" s="90"/>
      <c r="CZ61" s="116"/>
      <c r="DA61" s="16">
        <f t="shared" si="20"/>
        <v>0</v>
      </c>
      <c r="DB61" s="90"/>
      <c r="DC61" s="90"/>
      <c r="DD61" s="90"/>
      <c r="DE61" s="116"/>
      <c r="DF61" s="16">
        <f t="shared" si="21"/>
        <v>0</v>
      </c>
      <c r="DG61" s="90"/>
      <c r="DH61" s="90"/>
      <c r="DI61" s="90"/>
      <c r="DJ61" s="116"/>
      <c r="DK61" s="16">
        <f t="shared" si="22"/>
        <v>0</v>
      </c>
      <c r="DL61" s="90"/>
      <c r="DM61" s="90"/>
      <c r="DN61" s="90"/>
      <c r="DO61" s="116"/>
      <c r="DP61" s="16">
        <f t="shared" si="23"/>
        <v>0</v>
      </c>
      <c r="DQ61" s="90"/>
      <c r="DR61" s="90"/>
      <c r="DS61" s="90"/>
      <c r="DT61" s="116"/>
      <c r="DU61" s="16">
        <f t="shared" si="24"/>
        <v>0</v>
      </c>
      <c r="DV61" s="90"/>
      <c r="DW61" s="90"/>
      <c r="DX61" s="90"/>
      <c r="DY61" s="116"/>
      <c r="DZ61" s="16">
        <f t="shared" si="25"/>
        <v>0</v>
      </c>
      <c r="EA61" s="90"/>
      <c r="EB61" s="90"/>
      <c r="EC61" s="90"/>
      <c r="ED61" s="116"/>
      <c r="EE61" s="16">
        <f t="shared" si="26"/>
        <v>0</v>
      </c>
      <c r="EF61" s="90"/>
      <c r="EG61" s="90"/>
      <c r="EH61" s="90"/>
      <c r="EI61" s="116"/>
      <c r="EJ61" s="16">
        <f t="shared" si="27"/>
        <v>0</v>
      </c>
      <c r="EK61" s="90"/>
      <c r="EL61" s="90"/>
      <c r="EM61" s="90"/>
      <c r="EN61" s="116"/>
      <c r="EO61" s="16">
        <f t="shared" si="28"/>
        <v>0</v>
      </c>
      <c r="EP61" s="90"/>
      <c r="EQ61" s="90"/>
      <c r="ER61" s="90"/>
      <c r="ES61" s="116"/>
      <c r="ET61" s="16">
        <f t="shared" si="29"/>
        <v>0</v>
      </c>
      <c r="EU61" s="90"/>
      <c r="EV61" s="90"/>
      <c r="EW61" s="90"/>
      <c r="EX61" s="116"/>
      <c r="EY61" s="16">
        <f t="shared" si="30"/>
        <v>0</v>
      </c>
      <c r="EZ61" s="90"/>
      <c r="FA61" s="90"/>
      <c r="FB61" s="90"/>
      <c r="FC61" s="116"/>
      <c r="FD61" s="16">
        <f t="shared" si="31"/>
        <v>0</v>
      </c>
      <c r="FE61" s="90"/>
      <c r="FF61" s="90"/>
      <c r="FG61" s="90"/>
      <c r="FH61" s="116"/>
      <c r="FI61" s="16">
        <f t="shared" si="50"/>
        <v>0</v>
      </c>
      <c r="FJ61" s="90"/>
      <c r="FK61" s="90"/>
      <c r="FL61" s="90"/>
      <c r="FM61" s="116"/>
      <c r="FN61" s="16">
        <f t="shared" si="32"/>
        <v>0</v>
      </c>
      <c r="FO61" s="90"/>
      <c r="FP61" s="90"/>
      <c r="FQ61" s="90"/>
      <c r="FR61" s="116"/>
      <c r="FS61" s="16">
        <f t="shared" si="33"/>
        <v>0</v>
      </c>
      <c r="FT61" s="90"/>
      <c r="FU61" s="90"/>
      <c r="FV61" s="90"/>
      <c r="FW61" s="116"/>
      <c r="FX61" s="16">
        <f t="shared" si="34"/>
        <v>0</v>
      </c>
      <c r="FY61" s="90"/>
      <c r="FZ61" s="90"/>
      <c r="GA61" s="90"/>
      <c r="GB61" s="116"/>
      <c r="GC61" s="16">
        <f t="shared" si="35"/>
        <v>0</v>
      </c>
      <c r="GD61" s="90"/>
      <c r="GE61" s="90"/>
      <c r="GF61" s="90"/>
      <c r="GG61" s="116"/>
      <c r="GH61" s="16">
        <f t="shared" si="36"/>
        <v>0</v>
      </c>
      <c r="GI61" s="90"/>
      <c r="GJ61" s="90"/>
      <c r="GK61" s="90"/>
      <c r="GL61" s="116"/>
      <c r="GM61" s="16">
        <f t="shared" si="37"/>
        <v>0</v>
      </c>
      <c r="GN61" s="90"/>
      <c r="GO61" s="90"/>
      <c r="GP61" s="90"/>
      <c r="GQ61" s="116"/>
      <c r="GR61" s="16">
        <f t="shared" si="38"/>
        <v>0</v>
      </c>
      <c r="GS61" s="90"/>
      <c r="GT61" s="90"/>
      <c r="GU61" s="90"/>
      <c r="GV61" s="116"/>
      <c r="GW61" s="16">
        <f t="shared" si="39"/>
        <v>0</v>
      </c>
      <c r="GX61" s="90"/>
      <c r="GY61" s="90"/>
      <c r="GZ61" s="90"/>
      <c r="HA61" s="116"/>
      <c r="HB61" s="16">
        <f t="shared" si="40"/>
        <v>0</v>
      </c>
      <c r="HC61" s="90"/>
      <c r="HD61" s="90"/>
      <c r="HE61" s="90"/>
      <c r="HF61" s="116"/>
      <c r="HG61" s="16">
        <f t="shared" si="41"/>
        <v>0</v>
      </c>
      <c r="HH61" s="90"/>
      <c r="HI61" s="90"/>
      <c r="HJ61" s="90"/>
      <c r="HK61" s="116"/>
      <c r="HL61" s="16">
        <f t="shared" si="42"/>
        <v>0</v>
      </c>
      <c r="HM61" s="90"/>
      <c r="HN61" s="90"/>
      <c r="HO61" s="90"/>
      <c r="HP61" s="116"/>
      <c r="HQ61" s="16">
        <f t="shared" si="43"/>
        <v>0</v>
      </c>
      <c r="HR61" s="90"/>
      <c r="HS61" s="90"/>
      <c r="HT61" s="90"/>
      <c r="HU61" s="116"/>
      <c r="HV61" s="16">
        <f t="shared" si="44"/>
        <v>0</v>
      </c>
      <c r="HW61" s="90"/>
      <c r="HX61" s="90"/>
      <c r="HY61" s="90"/>
      <c r="HZ61" s="116"/>
      <c r="IA61" s="16">
        <f t="shared" si="45"/>
        <v>0</v>
      </c>
      <c r="IB61" s="90"/>
      <c r="IC61" s="90"/>
      <c r="ID61" s="90"/>
      <c r="IE61" s="116"/>
      <c r="IF61" s="16">
        <f t="shared" si="46"/>
        <v>0</v>
      </c>
      <c r="IG61" s="90"/>
      <c r="IH61" s="90"/>
      <c r="II61" s="90"/>
      <c r="IJ61" s="116"/>
      <c r="IK61" s="16">
        <f t="shared" si="47"/>
        <v>0</v>
      </c>
      <c r="IL61" s="90"/>
      <c r="IM61" s="90"/>
      <c r="IN61" s="90"/>
      <c r="IO61" s="116"/>
      <c r="IP61" s="16">
        <f t="shared" si="48"/>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49"/>
        <v>0</v>
      </c>
      <c r="BD62" s="90"/>
      <c r="BE62" s="90"/>
      <c r="BF62" s="90"/>
      <c r="BG62" s="116"/>
      <c r="BH62" s="16">
        <f t="shared" si="11"/>
        <v>0</v>
      </c>
      <c r="BI62" s="90"/>
      <c r="BJ62" s="90"/>
      <c r="BK62" s="90"/>
      <c r="BL62" s="116"/>
      <c r="BM62" s="16">
        <f t="shared" si="12"/>
        <v>0</v>
      </c>
      <c r="BN62" s="90"/>
      <c r="BO62" s="90"/>
      <c r="BP62" s="90"/>
      <c r="BQ62" s="116"/>
      <c r="BR62" s="16">
        <f t="shared" si="13"/>
        <v>0</v>
      </c>
      <c r="BS62" s="90"/>
      <c r="BT62" s="90"/>
      <c r="BU62" s="90"/>
      <c r="BV62" s="116"/>
      <c r="BW62" s="16">
        <f t="shared" si="14"/>
        <v>0</v>
      </c>
      <c r="BX62" s="90"/>
      <c r="BY62" s="90"/>
      <c r="BZ62" s="90"/>
      <c r="CA62" s="116"/>
      <c r="CB62" s="16">
        <f t="shared" si="15"/>
        <v>0</v>
      </c>
      <c r="CC62" s="90"/>
      <c r="CD62" s="90"/>
      <c r="CE62" s="90"/>
      <c r="CF62" s="116"/>
      <c r="CG62" s="16">
        <f t="shared" si="16"/>
        <v>0</v>
      </c>
      <c r="CH62" s="90"/>
      <c r="CI62" s="90"/>
      <c r="CJ62" s="90"/>
      <c r="CK62" s="116"/>
      <c r="CL62" s="16">
        <f t="shared" si="17"/>
        <v>0</v>
      </c>
      <c r="CM62" s="90"/>
      <c r="CN62" s="90"/>
      <c r="CO62" s="90"/>
      <c r="CP62" s="116"/>
      <c r="CQ62" s="16">
        <f t="shared" si="18"/>
        <v>0</v>
      </c>
      <c r="CR62" s="90"/>
      <c r="CS62" s="90"/>
      <c r="CT62" s="90"/>
      <c r="CU62" s="116"/>
      <c r="CV62" s="16">
        <f t="shared" si="19"/>
        <v>0</v>
      </c>
      <c r="CW62" s="90"/>
      <c r="CX62" s="90"/>
      <c r="CY62" s="90"/>
      <c r="CZ62" s="116"/>
      <c r="DA62" s="16">
        <f t="shared" si="20"/>
        <v>0</v>
      </c>
      <c r="DB62" s="90"/>
      <c r="DC62" s="90"/>
      <c r="DD62" s="90"/>
      <c r="DE62" s="116"/>
      <c r="DF62" s="16">
        <f t="shared" si="21"/>
        <v>0</v>
      </c>
      <c r="DG62" s="90"/>
      <c r="DH62" s="90"/>
      <c r="DI62" s="90"/>
      <c r="DJ62" s="116"/>
      <c r="DK62" s="16">
        <f t="shared" si="22"/>
        <v>0</v>
      </c>
      <c r="DL62" s="90"/>
      <c r="DM62" s="90"/>
      <c r="DN62" s="90"/>
      <c r="DO62" s="116"/>
      <c r="DP62" s="16">
        <f t="shared" si="23"/>
        <v>0</v>
      </c>
      <c r="DQ62" s="90"/>
      <c r="DR62" s="90"/>
      <c r="DS62" s="90"/>
      <c r="DT62" s="116"/>
      <c r="DU62" s="16">
        <f t="shared" si="24"/>
        <v>0</v>
      </c>
      <c r="DV62" s="90"/>
      <c r="DW62" s="90"/>
      <c r="DX62" s="90"/>
      <c r="DY62" s="116"/>
      <c r="DZ62" s="16">
        <f t="shared" si="25"/>
        <v>0</v>
      </c>
      <c r="EA62" s="90"/>
      <c r="EB62" s="90"/>
      <c r="EC62" s="90"/>
      <c r="ED62" s="116"/>
      <c r="EE62" s="16">
        <f t="shared" si="26"/>
        <v>0</v>
      </c>
      <c r="EF62" s="90"/>
      <c r="EG62" s="90"/>
      <c r="EH62" s="90"/>
      <c r="EI62" s="116"/>
      <c r="EJ62" s="16">
        <f t="shared" si="27"/>
        <v>0</v>
      </c>
      <c r="EK62" s="90"/>
      <c r="EL62" s="90"/>
      <c r="EM62" s="90"/>
      <c r="EN62" s="116"/>
      <c r="EO62" s="16">
        <f t="shared" si="28"/>
        <v>0</v>
      </c>
      <c r="EP62" s="90"/>
      <c r="EQ62" s="90"/>
      <c r="ER62" s="90"/>
      <c r="ES62" s="116"/>
      <c r="ET62" s="16">
        <f t="shared" si="29"/>
        <v>0</v>
      </c>
      <c r="EU62" s="90"/>
      <c r="EV62" s="90"/>
      <c r="EW62" s="90"/>
      <c r="EX62" s="116"/>
      <c r="EY62" s="16">
        <f t="shared" si="30"/>
        <v>0</v>
      </c>
      <c r="EZ62" s="90"/>
      <c r="FA62" s="90"/>
      <c r="FB62" s="90"/>
      <c r="FC62" s="116"/>
      <c r="FD62" s="16">
        <f t="shared" si="31"/>
        <v>0</v>
      </c>
      <c r="FE62" s="90"/>
      <c r="FF62" s="90"/>
      <c r="FG62" s="90"/>
      <c r="FH62" s="116"/>
      <c r="FI62" s="16">
        <f t="shared" si="50"/>
        <v>0</v>
      </c>
      <c r="FJ62" s="90"/>
      <c r="FK62" s="90"/>
      <c r="FL62" s="90"/>
      <c r="FM62" s="116"/>
      <c r="FN62" s="16">
        <f t="shared" si="32"/>
        <v>0</v>
      </c>
      <c r="FO62" s="90"/>
      <c r="FP62" s="90"/>
      <c r="FQ62" s="90"/>
      <c r="FR62" s="116"/>
      <c r="FS62" s="16">
        <f t="shared" si="33"/>
        <v>0</v>
      </c>
      <c r="FT62" s="90"/>
      <c r="FU62" s="90"/>
      <c r="FV62" s="90"/>
      <c r="FW62" s="116"/>
      <c r="FX62" s="16">
        <f t="shared" si="34"/>
        <v>0</v>
      </c>
      <c r="FY62" s="90"/>
      <c r="FZ62" s="90"/>
      <c r="GA62" s="90"/>
      <c r="GB62" s="116"/>
      <c r="GC62" s="16">
        <f t="shared" si="35"/>
        <v>0</v>
      </c>
      <c r="GD62" s="90"/>
      <c r="GE62" s="90"/>
      <c r="GF62" s="90"/>
      <c r="GG62" s="116"/>
      <c r="GH62" s="16">
        <f t="shared" si="36"/>
        <v>0</v>
      </c>
      <c r="GI62" s="90"/>
      <c r="GJ62" s="90"/>
      <c r="GK62" s="90"/>
      <c r="GL62" s="116"/>
      <c r="GM62" s="16">
        <f t="shared" si="37"/>
        <v>0</v>
      </c>
      <c r="GN62" s="90"/>
      <c r="GO62" s="90"/>
      <c r="GP62" s="90"/>
      <c r="GQ62" s="116"/>
      <c r="GR62" s="16">
        <f t="shared" si="38"/>
        <v>0</v>
      </c>
      <c r="GS62" s="90"/>
      <c r="GT62" s="90"/>
      <c r="GU62" s="90"/>
      <c r="GV62" s="116"/>
      <c r="GW62" s="16">
        <f t="shared" si="39"/>
        <v>0</v>
      </c>
      <c r="GX62" s="90"/>
      <c r="GY62" s="90"/>
      <c r="GZ62" s="90"/>
      <c r="HA62" s="116"/>
      <c r="HB62" s="16">
        <f t="shared" si="40"/>
        <v>0</v>
      </c>
      <c r="HC62" s="90"/>
      <c r="HD62" s="90"/>
      <c r="HE62" s="90"/>
      <c r="HF62" s="116"/>
      <c r="HG62" s="16">
        <f t="shared" si="41"/>
        <v>0</v>
      </c>
      <c r="HH62" s="90"/>
      <c r="HI62" s="90"/>
      <c r="HJ62" s="90"/>
      <c r="HK62" s="116"/>
      <c r="HL62" s="16">
        <f t="shared" si="42"/>
        <v>0</v>
      </c>
      <c r="HM62" s="90"/>
      <c r="HN62" s="90"/>
      <c r="HO62" s="90"/>
      <c r="HP62" s="116"/>
      <c r="HQ62" s="16">
        <f t="shared" si="43"/>
        <v>0</v>
      </c>
      <c r="HR62" s="90"/>
      <c r="HS62" s="90"/>
      <c r="HT62" s="90"/>
      <c r="HU62" s="116"/>
      <c r="HV62" s="16">
        <f t="shared" si="44"/>
        <v>0</v>
      </c>
      <c r="HW62" s="90"/>
      <c r="HX62" s="90"/>
      <c r="HY62" s="90"/>
      <c r="HZ62" s="116"/>
      <c r="IA62" s="16">
        <f t="shared" si="45"/>
        <v>0</v>
      </c>
      <c r="IB62" s="90"/>
      <c r="IC62" s="90"/>
      <c r="ID62" s="90"/>
      <c r="IE62" s="116"/>
      <c r="IF62" s="16">
        <f t="shared" si="46"/>
        <v>0</v>
      </c>
      <c r="IG62" s="90"/>
      <c r="IH62" s="90"/>
      <c r="II62" s="90"/>
      <c r="IJ62" s="116"/>
      <c r="IK62" s="16">
        <f t="shared" si="47"/>
        <v>0</v>
      </c>
      <c r="IL62" s="90"/>
      <c r="IM62" s="90"/>
      <c r="IN62" s="90"/>
      <c r="IO62" s="116"/>
      <c r="IP62" s="16">
        <f t="shared" si="48"/>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49"/>
        <v>0</v>
      </c>
      <c r="BD63" s="90"/>
      <c r="BE63" s="90"/>
      <c r="BF63" s="90"/>
      <c r="BG63" s="116"/>
      <c r="BH63" s="16">
        <f t="shared" si="11"/>
        <v>0</v>
      </c>
      <c r="BI63" s="90"/>
      <c r="BJ63" s="90"/>
      <c r="BK63" s="90"/>
      <c r="BL63" s="116"/>
      <c r="BM63" s="16">
        <f t="shared" si="12"/>
        <v>0</v>
      </c>
      <c r="BN63" s="90"/>
      <c r="BO63" s="90"/>
      <c r="BP63" s="90"/>
      <c r="BQ63" s="116"/>
      <c r="BR63" s="16">
        <f t="shared" si="13"/>
        <v>0</v>
      </c>
      <c r="BS63" s="90"/>
      <c r="BT63" s="90"/>
      <c r="BU63" s="90"/>
      <c r="BV63" s="116"/>
      <c r="BW63" s="16">
        <f t="shared" si="14"/>
        <v>0</v>
      </c>
      <c r="BX63" s="90"/>
      <c r="BY63" s="90"/>
      <c r="BZ63" s="90"/>
      <c r="CA63" s="116"/>
      <c r="CB63" s="16">
        <f t="shared" si="15"/>
        <v>0</v>
      </c>
      <c r="CC63" s="90"/>
      <c r="CD63" s="90"/>
      <c r="CE63" s="90"/>
      <c r="CF63" s="116"/>
      <c r="CG63" s="16">
        <f t="shared" si="16"/>
        <v>0</v>
      </c>
      <c r="CH63" s="90"/>
      <c r="CI63" s="90"/>
      <c r="CJ63" s="90"/>
      <c r="CK63" s="116"/>
      <c r="CL63" s="16">
        <f t="shared" si="17"/>
        <v>0</v>
      </c>
      <c r="CM63" s="90"/>
      <c r="CN63" s="90"/>
      <c r="CO63" s="90"/>
      <c r="CP63" s="116"/>
      <c r="CQ63" s="16">
        <f t="shared" si="18"/>
        <v>0</v>
      </c>
      <c r="CR63" s="90"/>
      <c r="CS63" s="90"/>
      <c r="CT63" s="90"/>
      <c r="CU63" s="116"/>
      <c r="CV63" s="16">
        <f t="shared" si="19"/>
        <v>0</v>
      </c>
      <c r="CW63" s="90"/>
      <c r="CX63" s="90"/>
      <c r="CY63" s="90"/>
      <c r="CZ63" s="116"/>
      <c r="DA63" s="16">
        <f t="shared" si="20"/>
        <v>0</v>
      </c>
      <c r="DB63" s="90"/>
      <c r="DC63" s="90"/>
      <c r="DD63" s="90"/>
      <c r="DE63" s="116"/>
      <c r="DF63" s="16">
        <f t="shared" si="21"/>
        <v>0</v>
      </c>
      <c r="DG63" s="90"/>
      <c r="DH63" s="90"/>
      <c r="DI63" s="90"/>
      <c r="DJ63" s="116"/>
      <c r="DK63" s="16">
        <f t="shared" si="22"/>
        <v>0</v>
      </c>
      <c r="DL63" s="90"/>
      <c r="DM63" s="90"/>
      <c r="DN63" s="90"/>
      <c r="DO63" s="116"/>
      <c r="DP63" s="16">
        <f t="shared" si="23"/>
        <v>0</v>
      </c>
      <c r="DQ63" s="90"/>
      <c r="DR63" s="90"/>
      <c r="DS63" s="90"/>
      <c r="DT63" s="116"/>
      <c r="DU63" s="16">
        <f t="shared" si="24"/>
        <v>0</v>
      </c>
      <c r="DV63" s="90"/>
      <c r="DW63" s="90"/>
      <c r="DX63" s="90"/>
      <c r="DY63" s="116"/>
      <c r="DZ63" s="16">
        <f t="shared" si="25"/>
        <v>0</v>
      </c>
      <c r="EA63" s="90"/>
      <c r="EB63" s="90"/>
      <c r="EC63" s="90"/>
      <c r="ED63" s="116"/>
      <c r="EE63" s="16">
        <f t="shared" si="26"/>
        <v>0</v>
      </c>
      <c r="EF63" s="90"/>
      <c r="EG63" s="90"/>
      <c r="EH63" s="90"/>
      <c r="EI63" s="116"/>
      <c r="EJ63" s="16">
        <f t="shared" si="27"/>
        <v>0</v>
      </c>
      <c r="EK63" s="90"/>
      <c r="EL63" s="90"/>
      <c r="EM63" s="90"/>
      <c r="EN63" s="116"/>
      <c r="EO63" s="16">
        <f t="shared" si="28"/>
        <v>0</v>
      </c>
      <c r="EP63" s="90"/>
      <c r="EQ63" s="90"/>
      <c r="ER63" s="90"/>
      <c r="ES63" s="116"/>
      <c r="ET63" s="16">
        <f t="shared" si="29"/>
        <v>0</v>
      </c>
      <c r="EU63" s="90"/>
      <c r="EV63" s="90"/>
      <c r="EW63" s="90"/>
      <c r="EX63" s="116"/>
      <c r="EY63" s="16">
        <f t="shared" si="30"/>
        <v>0</v>
      </c>
      <c r="EZ63" s="90"/>
      <c r="FA63" s="90"/>
      <c r="FB63" s="90"/>
      <c r="FC63" s="116"/>
      <c r="FD63" s="16">
        <f t="shared" si="31"/>
        <v>0</v>
      </c>
      <c r="FE63" s="90"/>
      <c r="FF63" s="90"/>
      <c r="FG63" s="90"/>
      <c r="FH63" s="116"/>
      <c r="FI63" s="16">
        <f t="shared" si="50"/>
        <v>0</v>
      </c>
      <c r="FJ63" s="90"/>
      <c r="FK63" s="90"/>
      <c r="FL63" s="90"/>
      <c r="FM63" s="116"/>
      <c r="FN63" s="16">
        <f t="shared" si="32"/>
        <v>0</v>
      </c>
      <c r="FO63" s="90"/>
      <c r="FP63" s="90"/>
      <c r="FQ63" s="90"/>
      <c r="FR63" s="116"/>
      <c r="FS63" s="16">
        <f t="shared" si="33"/>
        <v>0</v>
      </c>
      <c r="FT63" s="90"/>
      <c r="FU63" s="90"/>
      <c r="FV63" s="90"/>
      <c r="FW63" s="116"/>
      <c r="FX63" s="16">
        <f t="shared" si="34"/>
        <v>0</v>
      </c>
      <c r="FY63" s="90"/>
      <c r="FZ63" s="90"/>
      <c r="GA63" s="90"/>
      <c r="GB63" s="116"/>
      <c r="GC63" s="16">
        <f t="shared" si="35"/>
        <v>0</v>
      </c>
      <c r="GD63" s="90"/>
      <c r="GE63" s="90"/>
      <c r="GF63" s="90"/>
      <c r="GG63" s="116"/>
      <c r="GH63" s="16">
        <f t="shared" si="36"/>
        <v>0</v>
      </c>
      <c r="GI63" s="90"/>
      <c r="GJ63" s="90"/>
      <c r="GK63" s="90"/>
      <c r="GL63" s="116"/>
      <c r="GM63" s="16">
        <f t="shared" si="37"/>
        <v>0</v>
      </c>
      <c r="GN63" s="90"/>
      <c r="GO63" s="90"/>
      <c r="GP63" s="90"/>
      <c r="GQ63" s="116"/>
      <c r="GR63" s="16">
        <f t="shared" si="38"/>
        <v>0</v>
      </c>
      <c r="GS63" s="90"/>
      <c r="GT63" s="90"/>
      <c r="GU63" s="90"/>
      <c r="GV63" s="116"/>
      <c r="GW63" s="16">
        <f t="shared" si="39"/>
        <v>0</v>
      </c>
      <c r="GX63" s="90"/>
      <c r="GY63" s="90"/>
      <c r="GZ63" s="90"/>
      <c r="HA63" s="116"/>
      <c r="HB63" s="16">
        <f t="shared" si="40"/>
        <v>0</v>
      </c>
      <c r="HC63" s="90"/>
      <c r="HD63" s="90"/>
      <c r="HE63" s="90"/>
      <c r="HF63" s="116"/>
      <c r="HG63" s="16">
        <f t="shared" si="41"/>
        <v>0</v>
      </c>
      <c r="HH63" s="90"/>
      <c r="HI63" s="90"/>
      <c r="HJ63" s="90"/>
      <c r="HK63" s="116"/>
      <c r="HL63" s="16">
        <f t="shared" si="42"/>
        <v>0</v>
      </c>
      <c r="HM63" s="90"/>
      <c r="HN63" s="90"/>
      <c r="HO63" s="90"/>
      <c r="HP63" s="116"/>
      <c r="HQ63" s="16">
        <f t="shared" si="43"/>
        <v>0</v>
      </c>
      <c r="HR63" s="90"/>
      <c r="HS63" s="90"/>
      <c r="HT63" s="90"/>
      <c r="HU63" s="116"/>
      <c r="HV63" s="16">
        <f t="shared" si="44"/>
        <v>0</v>
      </c>
      <c r="HW63" s="90"/>
      <c r="HX63" s="90"/>
      <c r="HY63" s="90"/>
      <c r="HZ63" s="116"/>
      <c r="IA63" s="16">
        <f t="shared" si="45"/>
        <v>0</v>
      </c>
      <c r="IB63" s="90"/>
      <c r="IC63" s="90"/>
      <c r="ID63" s="90"/>
      <c r="IE63" s="116"/>
      <c r="IF63" s="16">
        <f t="shared" si="46"/>
        <v>0</v>
      </c>
      <c r="IG63" s="90"/>
      <c r="IH63" s="90"/>
      <c r="II63" s="90"/>
      <c r="IJ63" s="116"/>
      <c r="IK63" s="16">
        <f t="shared" si="47"/>
        <v>0</v>
      </c>
      <c r="IL63" s="90"/>
      <c r="IM63" s="90"/>
      <c r="IN63" s="90"/>
      <c r="IO63" s="116"/>
      <c r="IP63" s="16">
        <f t="shared" si="48"/>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49"/>
        <v>0</v>
      </c>
      <c r="BD64" s="90"/>
      <c r="BE64" s="90"/>
      <c r="BF64" s="90"/>
      <c r="BG64" s="116"/>
      <c r="BH64" s="16">
        <f t="shared" si="11"/>
        <v>0</v>
      </c>
      <c r="BI64" s="90"/>
      <c r="BJ64" s="90"/>
      <c r="BK64" s="90"/>
      <c r="BL64" s="116"/>
      <c r="BM64" s="16">
        <f t="shared" si="12"/>
        <v>0</v>
      </c>
      <c r="BN64" s="90"/>
      <c r="BO64" s="90"/>
      <c r="BP64" s="90"/>
      <c r="BQ64" s="116"/>
      <c r="BR64" s="16">
        <f t="shared" si="13"/>
        <v>0</v>
      </c>
      <c r="BS64" s="90"/>
      <c r="BT64" s="90"/>
      <c r="BU64" s="90"/>
      <c r="BV64" s="116"/>
      <c r="BW64" s="16">
        <f t="shared" si="14"/>
        <v>0</v>
      </c>
      <c r="BX64" s="90"/>
      <c r="BY64" s="90"/>
      <c r="BZ64" s="90"/>
      <c r="CA64" s="116"/>
      <c r="CB64" s="16">
        <f t="shared" si="15"/>
        <v>0</v>
      </c>
      <c r="CC64" s="90"/>
      <c r="CD64" s="90"/>
      <c r="CE64" s="90"/>
      <c r="CF64" s="116"/>
      <c r="CG64" s="16">
        <f t="shared" si="16"/>
        <v>0</v>
      </c>
      <c r="CH64" s="90"/>
      <c r="CI64" s="90"/>
      <c r="CJ64" s="90"/>
      <c r="CK64" s="116"/>
      <c r="CL64" s="16">
        <f t="shared" si="17"/>
        <v>0</v>
      </c>
      <c r="CM64" s="90"/>
      <c r="CN64" s="90"/>
      <c r="CO64" s="90"/>
      <c r="CP64" s="116"/>
      <c r="CQ64" s="16">
        <f t="shared" si="18"/>
        <v>0</v>
      </c>
      <c r="CR64" s="90"/>
      <c r="CS64" s="90"/>
      <c r="CT64" s="90"/>
      <c r="CU64" s="116"/>
      <c r="CV64" s="16">
        <f t="shared" si="19"/>
        <v>0</v>
      </c>
      <c r="CW64" s="90"/>
      <c r="CX64" s="90"/>
      <c r="CY64" s="90"/>
      <c r="CZ64" s="116"/>
      <c r="DA64" s="16">
        <f t="shared" si="20"/>
        <v>0</v>
      </c>
      <c r="DB64" s="90"/>
      <c r="DC64" s="90"/>
      <c r="DD64" s="90"/>
      <c r="DE64" s="116"/>
      <c r="DF64" s="16">
        <f t="shared" si="21"/>
        <v>0</v>
      </c>
      <c r="DG64" s="90"/>
      <c r="DH64" s="90"/>
      <c r="DI64" s="90"/>
      <c r="DJ64" s="116"/>
      <c r="DK64" s="16">
        <f t="shared" si="22"/>
        <v>0</v>
      </c>
      <c r="DL64" s="90"/>
      <c r="DM64" s="90"/>
      <c r="DN64" s="90"/>
      <c r="DO64" s="116"/>
      <c r="DP64" s="16">
        <f t="shared" si="23"/>
        <v>0</v>
      </c>
      <c r="DQ64" s="90"/>
      <c r="DR64" s="90"/>
      <c r="DS64" s="90"/>
      <c r="DT64" s="116"/>
      <c r="DU64" s="16">
        <f t="shared" si="24"/>
        <v>0</v>
      </c>
      <c r="DV64" s="90"/>
      <c r="DW64" s="90"/>
      <c r="DX64" s="90"/>
      <c r="DY64" s="116"/>
      <c r="DZ64" s="16">
        <f t="shared" si="25"/>
        <v>0</v>
      </c>
      <c r="EA64" s="90"/>
      <c r="EB64" s="90"/>
      <c r="EC64" s="90"/>
      <c r="ED64" s="116"/>
      <c r="EE64" s="16">
        <f t="shared" si="26"/>
        <v>0</v>
      </c>
      <c r="EF64" s="90"/>
      <c r="EG64" s="90"/>
      <c r="EH64" s="90"/>
      <c r="EI64" s="116"/>
      <c r="EJ64" s="16">
        <f t="shared" si="27"/>
        <v>0</v>
      </c>
      <c r="EK64" s="90"/>
      <c r="EL64" s="90"/>
      <c r="EM64" s="90"/>
      <c r="EN64" s="116"/>
      <c r="EO64" s="16">
        <f t="shared" si="28"/>
        <v>0</v>
      </c>
      <c r="EP64" s="90"/>
      <c r="EQ64" s="90"/>
      <c r="ER64" s="90"/>
      <c r="ES64" s="116"/>
      <c r="ET64" s="16">
        <f t="shared" si="29"/>
        <v>0</v>
      </c>
      <c r="EU64" s="90"/>
      <c r="EV64" s="90"/>
      <c r="EW64" s="90"/>
      <c r="EX64" s="116"/>
      <c r="EY64" s="16">
        <f t="shared" si="30"/>
        <v>0</v>
      </c>
      <c r="EZ64" s="90"/>
      <c r="FA64" s="90"/>
      <c r="FB64" s="90"/>
      <c r="FC64" s="116"/>
      <c r="FD64" s="16">
        <f t="shared" si="31"/>
        <v>0</v>
      </c>
      <c r="FE64" s="90"/>
      <c r="FF64" s="90"/>
      <c r="FG64" s="90"/>
      <c r="FH64" s="116"/>
      <c r="FI64" s="16">
        <f t="shared" si="50"/>
        <v>0</v>
      </c>
      <c r="FJ64" s="90"/>
      <c r="FK64" s="90"/>
      <c r="FL64" s="90"/>
      <c r="FM64" s="116"/>
      <c r="FN64" s="16">
        <f t="shared" si="32"/>
        <v>0</v>
      </c>
      <c r="FO64" s="90"/>
      <c r="FP64" s="90"/>
      <c r="FQ64" s="90"/>
      <c r="FR64" s="116"/>
      <c r="FS64" s="16">
        <f t="shared" si="33"/>
        <v>0</v>
      </c>
      <c r="FT64" s="90"/>
      <c r="FU64" s="90"/>
      <c r="FV64" s="90"/>
      <c r="FW64" s="116"/>
      <c r="FX64" s="16">
        <f t="shared" si="34"/>
        <v>0</v>
      </c>
      <c r="FY64" s="90"/>
      <c r="FZ64" s="90"/>
      <c r="GA64" s="90"/>
      <c r="GB64" s="116"/>
      <c r="GC64" s="16">
        <f t="shared" si="35"/>
        <v>0</v>
      </c>
      <c r="GD64" s="90"/>
      <c r="GE64" s="90"/>
      <c r="GF64" s="90"/>
      <c r="GG64" s="116"/>
      <c r="GH64" s="16">
        <f t="shared" si="36"/>
        <v>0</v>
      </c>
      <c r="GI64" s="90"/>
      <c r="GJ64" s="90"/>
      <c r="GK64" s="90"/>
      <c r="GL64" s="116"/>
      <c r="GM64" s="16">
        <f t="shared" si="37"/>
        <v>0</v>
      </c>
      <c r="GN64" s="90"/>
      <c r="GO64" s="90"/>
      <c r="GP64" s="90"/>
      <c r="GQ64" s="116"/>
      <c r="GR64" s="16">
        <f t="shared" si="38"/>
        <v>0</v>
      </c>
      <c r="GS64" s="90"/>
      <c r="GT64" s="90"/>
      <c r="GU64" s="90"/>
      <c r="GV64" s="116"/>
      <c r="GW64" s="16">
        <f t="shared" si="39"/>
        <v>0</v>
      </c>
      <c r="GX64" s="90"/>
      <c r="GY64" s="90"/>
      <c r="GZ64" s="90"/>
      <c r="HA64" s="116"/>
      <c r="HB64" s="16">
        <f t="shared" si="40"/>
        <v>0</v>
      </c>
      <c r="HC64" s="90"/>
      <c r="HD64" s="90"/>
      <c r="HE64" s="90"/>
      <c r="HF64" s="116"/>
      <c r="HG64" s="16">
        <f t="shared" si="41"/>
        <v>0</v>
      </c>
      <c r="HH64" s="90"/>
      <c r="HI64" s="90"/>
      <c r="HJ64" s="90"/>
      <c r="HK64" s="116"/>
      <c r="HL64" s="16">
        <f t="shared" si="42"/>
        <v>0</v>
      </c>
      <c r="HM64" s="90"/>
      <c r="HN64" s="90"/>
      <c r="HO64" s="90"/>
      <c r="HP64" s="116"/>
      <c r="HQ64" s="16">
        <f t="shared" si="43"/>
        <v>0</v>
      </c>
      <c r="HR64" s="90"/>
      <c r="HS64" s="90"/>
      <c r="HT64" s="90"/>
      <c r="HU64" s="116"/>
      <c r="HV64" s="16">
        <f t="shared" si="44"/>
        <v>0</v>
      </c>
      <c r="HW64" s="90"/>
      <c r="HX64" s="90"/>
      <c r="HY64" s="90"/>
      <c r="HZ64" s="116"/>
      <c r="IA64" s="16">
        <f t="shared" si="45"/>
        <v>0</v>
      </c>
      <c r="IB64" s="90"/>
      <c r="IC64" s="90"/>
      <c r="ID64" s="90"/>
      <c r="IE64" s="116"/>
      <c r="IF64" s="16">
        <f t="shared" si="46"/>
        <v>0</v>
      </c>
      <c r="IG64" s="90"/>
      <c r="IH64" s="90"/>
      <c r="II64" s="90"/>
      <c r="IJ64" s="116"/>
      <c r="IK64" s="16">
        <f t="shared" si="47"/>
        <v>0</v>
      </c>
      <c r="IL64" s="90"/>
      <c r="IM64" s="90"/>
      <c r="IN64" s="90"/>
      <c r="IO64" s="116"/>
      <c r="IP64" s="16">
        <f t="shared" si="48"/>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49"/>
        <v>0</v>
      </c>
      <c r="BD65" s="90"/>
      <c r="BE65" s="90"/>
      <c r="BF65" s="90"/>
      <c r="BG65" s="116"/>
      <c r="BH65" s="16">
        <f t="shared" si="11"/>
        <v>0</v>
      </c>
      <c r="BI65" s="90"/>
      <c r="BJ65" s="90"/>
      <c r="BK65" s="90"/>
      <c r="BL65" s="116"/>
      <c r="BM65" s="16">
        <f t="shared" si="12"/>
        <v>0</v>
      </c>
      <c r="BN65" s="90"/>
      <c r="BO65" s="90"/>
      <c r="BP65" s="90"/>
      <c r="BQ65" s="116"/>
      <c r="BR65" s="16">
        <f t="shared" si="13"/>
        <v>0</v>
      </c>
      <c r="BS65" s="90"/>
      <c r="BT65" s="90"/>
      <c r="BU65" s="90"/>
      <c r="BV65" s="116"/>
      <c r="BW65" s="16">
        <f t="shared" si="14"/>
        <v>0</v>
      </c>
      <c r="BX65" s="90"/>
      <c r="BY65" s="90"/>
      <c r="BZ65" s="90"/>
      <c r="CA65" s="116"/>
      <c r="CB65" s="16">
        <f t="shared" si="15"/>
        <v>0</v>
      </c>
      <c r="CC65" s="90"/>
      <c r="CD65" s="90"/>
      <c r="CE65" s="90"/>
      <c r="CF65" s="116"/>
      <c r="CG65" s="16">
        <f t="shared" si="16"/>
        <v>0</v>
      </c>
      <c r="CH65" s="90"/>
      <c r="CI65" s="90"/>
      <c r="CJ65" s="90"/>
      <c r="CK65" s="116"/>
      <c r="CL65" s="16">
        <f t="shared" si="17"/>
        <v>0</v>
      </c>
      <c r="CM65" s="90"/>
      <c r="CN65" s="90"/>
      <c r="CO65" s="90"/>
      <c r="CP65" s="116"/>
      <c r="CQ65" s="16">
        <f t="shared" si="18"/>
        <v>0</v>
      </c>
      <c r="CR65" s="90"/>
      <c r="CS65" s="90"/>
      <c r="CT65" s="90"/>
      <c r="CU65" s="116"/>
      <c r="CV65" s="16">
        <f t="shared" si="19"/>
        <v>0</v>
      </c>
      <c r="CW65" s="90"/>
      <c r="CX65" s="90"/>
      <c r="CY65" s="90"/>
      <c r="CZ65" s="116"/>
      <c r="DA65" s="16">
        <f t="shared" si="20"/>
        <v>0</v>
      </c>
      <c r="DB65" s="90"/>
      <c r="DC65" s="90"/>
      <c r="DD65" s="90"/>
      <c r="DE65" s="116"/>
      <c r="DF65" s="16">
        <f t="shared" si="21"/>
        <v>0</v>
      </c>
      <c r="DG65" s="90"/>
      <c r="DH65" s="90"/>
      <c r="DI65" s="90"/>
      <c r="DJ65" s="116"/>
      <c r="DK65" s="16">
        <f t="shared" si="22"/>
        <v>0</v>
      </c>
      <c r="DL65" s="90"/>
      <c r="DM65" s="90"/>
      <c r="DN65" s="90"/>
      <c r="DO65" s="116"/>
      <c r="DP65" s="16">
        <f t="shared" si="23"/>
        <v>0</v>
      </c>
      <c r="DQ65" s="90"/>
      <c r="DR65" s="90"/>
      <c r="DS65" s="90"/>
      <c r="DT65" s="116"/>
      <c r="DU65" s="16">
        <f t="shared" si="24"/>
        <v>0</v>
      </c>
      <c r="DV65" s="90"/>
      <c r="DW65" s="90"/>
      <c r="DX65" s="90"/>
      <c r="DY65" s="116"/>
      <c r="DZ65" s="16">
        <f t="shared" si="25"/>
        <v>0</v>
      </c>
      <c r="EA65" s="90"/>
      <c r="EB65" s="90"/>
      <c r="EC65" s="90"/>
      <c r="ED65" s="116"/>
      <c r="EE65" s="16">
        <f t="shared" si="26"/>
        <v>0</v>
      </c>
      <c r="EF65" s="90"/>
      <c r="EG65" s="90"/>
      <c r="EH65" s="90"/>
      <c r="EI65" s="116"/>
      <c r="EJ65" s="16">
        <f t="shared" si="27"/>
        <v>0</v>
      </c>
      <c r="EK65" s="90"/>
      <c r="EL65" s="90"/>
      <c r="EM65" s="90"/>
      <c r="EN65" s="116"/>
      <c r="EO65" s="16">
        <f t="shared" si="28"/>
        <v>0</v>
      </c>
      <c r="EP65" s="90"/>
      <c r="EQ65" s="90"/>
      <c r="ER65" s="90"/>
      <c r="ES65" s="116"/>
      <c r="ET65" s="16">
        <f t="shared" si="29"/>
        <v>0</v>
      </c>
      <c r="EU65" s="90"/>
      <c r="EV65" s="90"/>
      <c r="EW65" s="90"/>
      <c r="EX65" s="116"/>
      <c r="EY65" s="16">
        <f t="shared" si="30"/>
        <v>0</v>
      </c>
      <c r="EZ65" s="90"/>
      <c r="FA65" s="90"/>
      <c r="FB65" s="90"/>
      <c r="FC65" s="116"/>
      <c r="FD65" s="16">
        <f t="shared" si="31"/>
        <v>0</v>
      </c>
      <c r="FE65" s="90"/>
      <c r="FF65" s="90"/>
      <c r="FG65" s="90"/>
      <c r="FH65" s="116"/>
      <c r="FI65" s="16">
        <f t="shared" si="50"/>
        <v>0</v>
      </c>
      <c r="FJ65" s="90"/>
      <c r="FK65" s="90"/>
      <c r="FL65" s="90"/>
      <c r="FM65" s="116"/>
      <c r="FN65" s="16">
        <f t="shared" si="32"/>
        <v>0</v>
      </c>
      <c r="FO65" s="90"/>
      <c r="FP65" s="90"/>
      <c r="FQ65" s="90"/>
      <c r="FR65" s="116"/>
      <c r="FS65" s="16">
        <f t="shared" si="33"/>
        <v>0</v>
      </c>
      <c r="FT65" s="90"/>
      <c r="FU65" s="90"/>
      <c r="FV65" s="90"/>
      <c r="FW65" s="116"/>
      <c r="FX65" s="16">
        <f t="shared" si="34"/>
        <v>0</v>
      </c>
      <c r="FY65" s="90"/>
      <c r="FZ65" s="90"/>
      <c r="GA65" s="90"/>
      <c r="GB65" s="116"/>
      <c r="GC65" s="16">
        <f t="shared" si="35"/>
        <v>0</v>
      </c>
      <c r="GD65" s="90"/>
      <c r="GE65" s="90"/>
      <c r="GF65" s="90"/>
      <c r="GG65" s="116"/>
      <c r="GH65" s="16">
        <f t="shared" si="36"/>
        <v>0</v>
      </c>
      <c r="GI65" s="90"/>
      <c r="GJ65" s="90"/>
      <c r="GK65" s="90"/>
      <c r="GL65" s="116"/>
      <c r="GM65" s="16">
        <f t="shared" si="37"/>
        <v>0</v>
      </c>
      <c r="GN65" s="90"/>
      <c r="GO65" s="90"/>
      <c r="GP65" s="90"/>
      <c r="GQ65" s="116"/>
      <c r="GR65" s="16">
        <f t="shared" si="38"/>
        <v>0</v>
      </c>
      <c r="GS65" s="90"/>
      <c r="GT65" s="90"/>
      <c r="GU65" s="90"/>
      <c r="GV65" s="116"/>
      <c r="GW65" s="16">
        <f t="shared" si="39"/>
        <v>0</v>
      </c>
      <c r="GX65" s="90"/>
      <c r="GY65" s="90"/>
      <c r="GZ65" s="90"/>
      <c r="HA65" s="116"/>
      <c r="HB65" s="16">
        <f t="shared" si="40"/>
        <v>0</v>
      </c>
      <c r="HC65" s="90"/>
      <c r="HD65" s="90"/>
      <c r="HE65" s="90"/>
      <c r="HF65" s="116"/>
      <c r="HG65" s="16">
        <f t="shared" si="41"/>
        <v>0</v>
      </c>
      <c r="HH65" s="90"/>
      <c r="HI65" s="90"/>
      <c r="HJ65" s="90"/>
      <c r="HK65" s="116"/>
      <c r="HL65" s="16">
        <f t="shared" si="42"/>
        <v>0</v>
      </c>
      <c r="HM65" s="90"/>
      <c r="HN65" s="90"/>
      <c r="HO65" s="90"/>
      <c r="HP65" s="116"/>
      <c r="HQ65" s="16">
        <f t="shared" si="43"/>
        <v>0</v>
      </c>
      <c r="HR65" s="90"/>
      <c r="HS65" s="90"/>
      <c r="HT65" s="90"/>
      <c r="HU65" s="116"/>
      <c r="HV65" s="16">
        <f t="shared" si="44"/>
        <v>0</v>
      </c>
      <c r="HW65" s="90"/>
      <c r="HX65" s="90"/>
      <c r="HY65" s="90"/>
      <c r="HZ65" s="116"/>
      <c r="IA65" s="16">
        <f t="shared" si="45"/>
        <v>0</v>
      </c>
      <c r="IB65" s="90"/>
      <c r="IC65" s="90"/>
      <c r="ID65" s="90"/>
      <c r="IE65" s="116"/>
      <c r="IF65" s="16">
        <f t="shared" si="46"/>
        <v>0</v>
      </c>
      <c r="IG65" s="90"/>
      <c r="IH65" s="90"/>
      <c r="II65" s="90"/>
      <c r="IJ65" s="116"/>
      <c r="IK65" s="16">
        <f t="shared" si="47"/>
        <v>0</v>
      </c>
      <c r="IL65" s="90"/>
      <c r="IM65" s="90"/>
      <c r="IN65" s="90"/>
      <c r="IO65" s="116"/>
      <c r="IP65" s="16">
        <f t="shared" si="48"/>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49"/>
        <v>0</v>
      </c>
      <c r="BD66" s="90"/>
      <c r="BE66" s="90"/>
      <c r="BF66" s="90"/>
      <c r="BG66" s="116"/>
      <c r="BH66" s="16">
        <f t="shared" si="11"/>
        <v>0</v>
      </c>
      <c r="BI66" s="90"/>
      <c r="BJ66" s="90"/>
      <c r="BK66" s="90"/>
      <c r="BL66" s="116"/>
      <c r="BM66" s="16">
        <f t="shared" si="12"/>
        <v>0</v>
      </c>
      <c r="BN66" s="90"/>
      <c r="BO66" s="90"/>
      <c r="BP66" s="90"/>
      <c r="BQ66" s="116"/>
      <c r="BR66" s="16">
        <f t="shared" si="13"/>
        <v>0</v>
      </c>
      <c r="BS66" s="90"/>
      <c r="BT66" s="90"/>
      <c r="BU66" s="90"/>
      <c r="BV66" s="116"/>
      <c r="BW66" s="16">
        <f t="shared" si="14"/>
        <v>0</v>
      </c>
      <c r="BX66" s="90"/>
      <c r="BY66" s="90"/>
      <c r="BZ66" s="90"/>
      <c r="CA66" s="116"/>
      <c r="CB66" s="16">
        <f t="shared" si="15"/>
        <v>0</v>
      </c>
      <c r="CC66" s="90"/>
      <c r="CD66" s="90"/>
      <c r="CE66" s="90"/>
      <c r="CF66" s="116"/>
      <c r="CG66" s="16">
        <f t="shared" si="16"/>
        <v>0</v>
      </c>
      <c r="CH66" s="90"/>
      <c r="CI66" s="90"/>
      <c r="CJ66" s="90"/>
      <c r="CK66" s="116"/>
      <c r="CL66" s="16">
        <f t="shared" si="17"/>
        <v>0</v>
      </c>
      <c r="CM66" s="90"/>
      <c r="CN66" s="90"/>
      <c r="CO66" s="90"/>
      <c r="CP66" s="116"/>
      <c r="CQ66" s="16">
        <f t="shared" si="18"/>
        <v>0</v>
      </c>
      <c r="CR66" s="90"/>
      <c r="CS66" s="90"/>
      <c r="CT66" s="90"/>
      <c r="CU66" s="116"/>
      <c r="CV66" s="16">
        <f t="shared" si="19"/>
        <v>0</v>
      </c>
      <c r="CW66" s="90"/>
      <c r="CX66" s="90"/>
      <c r="CY66" s="90"/>
      <c r="CZ66" s="116"/>
      <c r="DA66" s="16">
        <f t="shared" si="20"/>
        <v>0</v>
      </c>
      <c r="DB66" s="90"/>
      <c r="DC66" s="90"/>
      <c r="DD66" s="90"/>
      <c r="DE66" s="116"/>
      <c r="DF66" s="16">
        <f t="shared" si="21"/>
        <v>0</v>
      </c>
      <c r="DG66" s="90"/>
      <c r="DH66" s="90"/>
      <c r="DI66" s="90"/>
      <c r="DJ66" s="116"/>
      <c r="DK66" s="16">
        <f t="shared" si="22"/>
        <v>0</v>
      </c>
      <c r="DL66" s="90"/>
      <c r="DM66" s="90"/>
      <c r="DN66" s="90"/>
      <c r="DO66" s="116"/>
      <c r="DP66" s="16">
        <f t="shared" si="23"/>
        <v>0</v>
      </c>
      <c r="DQ66" s="90"/>
      <c r="DR66" s="90"/>
      <c r="DS66" s="90"/>
      <c r="DT66" s="116"/>
      <c r="DU66" s="16">
        <f t="shared" si="24"/>
        <v>0</v>
      </c>
      <c r="DV66" s="90"/>
      <c r="DW66" s="90"/>
      <c r="DX66" s="90"/>
      <c r="DY66" s="116"/>
      <c r="DZ66" s="16">
        <f t="shared" si="25"/>
        <v>0</v>
      </c>
      <c r="EA66" s="90"/>
      <c r="EB66" s="90"/>
      <c r="EC66" s="90"/>
      <c r="ED66" s="116"/>
      <c r="EE66" s="16">
        <f t="shared" si="26"/>
        <v>0</v>
      </c>
      <c r="EF66" s="90"/>
      <c r="EG66" s="90"/>
      <c r="EH66" s="90"/>
      <c r="EI66" s="116"/>
      <c r="EJ66" s="16">
        <f t="shared" si="27"/>
        <v>0</v>
      </c>
      <c r="EK66" s="90"/>
      <c r="EL66" s="90"/>
      <c r="EM66" s="90"/>
      <c r="EN66" s="116"/>
      <c r="EO66" s="16">
        <f t="shared" si="28"/>
        <v>0</v>
      </c>
      <c r="EP66" s="90"/>
      <c r="EQ66" s="90"/>
      <c r="ER66" s="90"/>
      <c r="ES66" s="116"/>
      <c r="ET66" s="16">
        <f t="shared" si="29"/>
        <v>0</v>
      </c>
      <c r="EU66" s="90"/>
      <c r="EV66" s="90"/>
      <c r="EW66" s="90"/>
      <c r="EX66" s="116"/>
      <c r="EY66" s="16">
        <f t="shared" si="30"/>
        <v>0</v>
      </c>
      <c r="EZ66" s="90"/>
      <c r="FA66" s="90"/>
      <c r="FB66" s="90"/>
      <c r="FC66" s="116"/>
      <c r="FD66" s="16">
        <f t="shared" si="31"/>
        <v>0</v>
      </c>
      <c r="FE66" s="90"/>
      <c r="FF66" s="90"/>
      <c r="FG66" s="90"/>
      <c r="FH66" s="116"/>
      <c r="FI66" s="16">
        <f t="shared" si="50"/>
        <v>0</v>
      </c>
      <c r="FJ66" s="90"/>
      <c r="FK66" s="90"/>
      <c r="FL66" s="90"/>
      <c r="FM66" s="116"/>
      <c r="FN66" s="16">
        <f t="shared" si="32"/>
        <v>0</v>
      </c>
      <c r="FO66" s="90"/>
      <c r="FP66" s="90"/>
      <c r="FQ66" s="90"/>
      <c r="FR66" s="116"/>
      <c r="FS66" s="16">
        <f t="shared" si="33"/>
        <v>0</v>
      </c>
      <c r="FT66" s="90"/>
      <c r="FU66" s="90"/>
      <c r="FV66" s="90"/>
      <c r="FW66" s="116"/>
      <c r="FX66" s="16">
        <f t="shared" si="34"/>
        <v>0</v>
      </c>
      <c r="FY66" s="90"/>
      <c r="FZ66" s="90"/>
      <c r="GA66" s="90"/>
      <c r="GB66" s="116"/>
      <c r="GC66" s="16">
        <f t="shared" si="35"/>
        <v>0</v>
      </c>
      <c r="GD66" s="90"/>
      <c r="GE66" s="90"/>
      <c r="GF66" s="90"/>
      <c r="GG66" s="116"/>
      <c r="GH66" s="16">
        <f t="shared" si="36"/>
        <v>0</v>
      </c>
      <c r="GI66" s="90"/>
      <c r="GJ66" s="90"/>
      <c r="GK66" s="90"/>
      <c r="GL66" s="116"/>
      <c r="GM66" s="16">
        <f t="shared" si="37"/>
        <v>0</v>
      </c>
      <c r="GN66" s="90"/>
      <c r="GO66" s="90"/>
      <c r="GP66" s="90"/>
      <c r="GQ66" s="116"/>
      <c r="GR66" s="16">
        <f t="shared" si="38"/>
        <v>0</v>
      </c>
      <c r="GS66" s="90"/>
      <c r="GT66" s="90"/>
      <c r="GU66" s="90"/>
      <c r="GV66" s="116"/>
      <c r="GW66" s="16">
        <f t="shared" si="39"/>
        <v>0</v>
      </c>
      <c r="GX66" s="90"/>
      <c r="GY66" s="90"/>
      <c r="GZ66" s="90"/>
      <c r="HA66" s="116"/>
      <c r="HB66" s="16">
        <f t="shared" si="40"/>
        <v>0</v>
      </c>
      <c r="HC66" s="90"/>
      <c r="HD66" s="90"/>
      <c r="HE66" s="90"/>
      <c r="HF66" s="116"/>
      <c r="HG66" s="16">
        <f t="shared" si="41"/>
        <v>0</v>
      </c>
      <c r="HH66" s="90"/>
      <c r="HI66" s="90"/>
      <c r="HJ66" s="90"/>
      <c r="HK66" s="116"/>
      <c r="HL66" s="16">
        <f t="shared" si="42"/>
        <v>0</v>
      </c>
      <c r="HM66" s="90"/>
      <c r="HN66" s="90"/>
      <c r="HO66" s="90"/>
      <c r="HP66" s="116"/>
      <c r="HQ66" s="16">
        <f t="shared" si="43"/>
        <v>0</v>
      </c>
      <c r="HR66" s="90"/>
      <c r="HS66" s="90"/>
      <c r="HT66" s="90"/>
      <c r="HU66" s="116"/>
      <c r="HV66" s="16">
        <f t="shared" si="44"/>
        <v>0</v>
      </c>
      <c r="HW66" s="90"/>
      <c r="HX66" s="90"/>
      <c r="HY66" s="90"/>
      <c r="HZ66" s="116"/>
      <c r="IA66" s="16">
        <f t="shared" si="45"/>
        <v>0</v>
      </c>
      <c r="IB66" s="90"/>
      <c r="IC66" s="90"/>
      <c r="ID66" s="90"/>
      <c r="IE66" s="116"/>
      <c r="IF66" s="16">
        <f t="shared" si="46"/>
        <v>0</v>
      </c>
      <c r="IG66" s="90"/>
      <c r="IH66" s="90"/>
      <c r="II66" s="90"/>
      <c r="IJ66" s="116"/>
      <c r="IK66" s="16">
        <f t="shared" si="47"/>
        <v>0</v>
      </c>
      <c r="IL66" s="90"/>
      <c r="IM66" s="90"/>
      <c r="IN66" s="90"/>
      <c r="IO66" s="116"/>
      <c r="IP66" s="16">
        <f t="shared" si="48"/>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49"/>
        <v>0</v>
      </c>
      <c r="BD67" s="90"/>
      <c r="BE67" s="90"/>
      <c r="BF67" s="90"/>
      <c r="BG67" s="116"/>
      <c r="BH67" s="16">
        <f t="shared" si="11"/>
        <v>0</v>
      </c>
      <c r="BI67" s="90"/>
      <c r="BJ67" s="90"/>
      <c r="BK67" s="90"/>
      <c r="BL67" s="116"/>
      <c r="BM67" s="16">
        <f t="shared" si="12"/>
        <v>0</v>
      </c>
      <c r="BN67" s="90"/>
      <c r="BO67" s="90"/>
      <c r="BP67" s="90"/>
      <c r="BQ67" s="116"/>
      <c r="BR67" s="16">
        <f t="shared" si="13"/>
        <v>0</v>
      </c>
      <c r="BS67" s="90"/>
      <c r="BT67" s="90"/>
      <c r="BU67" s="90"/>
      <c r="BV67" s="116"/>
      <c r="BW67" s="16">
        <f t="shared" si="14"/>
        <v>0</v>
      </c>
      <c r="BX67" s="90"/>
      <c r="BY67" s="90"/>
      <c r="BZ67" s="90"/>
      <c r="CA67" s="116"/>
      <c r="CB67" s="16">
        <f t="shared" si="15"/>
        <v>0</v>
      </c>
      <c r="CC67" s="90"/>
      <c r="CD67" s="90"/>
      <c r="CE67" s="90"/>
      <c r="CF67" s="116"/>
      <c r="CG67" s="16">
        <f t="shared" si="16"/>
        <v>0</v>
      </c>
      <c r="CH67" s="90"/>
      <c r="CI67" s="90"/>
      <c r="CJ67" s="90"/>
      <c r="CK67" s="116"/>
      <c r="CL67" s="16">
        <f t="shared" si="17"/>
        <v>0</v>
      </c>
      <c r="CM67" s="90"/>
      <c r="CN67" s="90"/>
      <c r="CO67" s="90"/>
      <c r="CP67" s="116"/>
      <c r="CQ67" s="16">
        <f t="shared" si="18"/>
        <v>0</v>
      </c>
      <c r="CR67" s="90"/>
      <c r="CS67" s="90"/>
      <c r="CT67" s="90"/>
      <c r="CU67" s="116"/>
      <c r="CV67" s="16">
        <f t="shared" si="19"/>
        <v>0</v>
      </c>
      <c r="CW67" s="90"/>
      <c r="CX67" s="90"/>
      <c r="CY67" s="90"/>
      <c r="CZ67" s="116"/>
      <c r="DA67" s="16">
        <f t="shared" si="20"/>
        <v>0</v>
      </c>
      <c r="DB67" s="90"/>
      <c r="DC67" s="90"/>
      <c r="DD67" s="90"/>
      <c r="DE67" s="116"/>
      <c r="DF67" s="16">
        <f t="shared" si="21"/>
        <v>0</v>
      </c>
      <c r="DG67" s="90"/>
      <c r="DH67" s="90"/>
      <c r="DI67" s="90"/>
      <c r="DJ67" s="116"/>
      <c r="DK67" s="16">
        <f t="shared" si="22"/>
        <v>0</v>
      </c>
      <c r="DL67" s="90"/>
      <c r="DM67" s="90"/>
      <c r="DN67" s="90"/>
      <c r="DO67" s="116"/>
      <c r="DP67" s="16">
        <f t="shared" si="23"/>
        <v>0</v>
      </c>
      <c r="DQ67" s="90"/>
      <c r="DR67" s="90"/>
      <c r="DS67" s="90"/>
      <c r="DT67" s="116"/>
      <c r="DU67" s="16">
        <f t="shared" si="24"/>
        <v>0</v>
      </c>
      <c r="DV67" s="90"/>
      <c r="DW67" s="90"/>
      <c r="DX67" s="90"/>
      <c r="DY67" s="116"/>
      <c r="DZ67" s="16">
        <f t="shared" si="25"/>
        <v>0</v>
      </c>
      <c r="EA67" s="90"/>
      <c r="EB67" s="90"/>
      <c r="EC67" s="90"/>
      <c r="ED67" s="116"/>
      <c r="EE67" s="16">
        <f t="shared" si="26"/>
        <v>0</v>
      </c>
      <c r="EF67" s="90"/>
      <c r="EG67" s="90"/>
      <c r="EH67" s="90"/>
      <c r="EI67" s="116"/>
      <c r="EJ67" s="16">
        <f t="shared" si="27"/>
        <v>0</v>
      </c>
      <c r="EK67" s="90"/>
      <c r="EL67" s="90"/>
      <c r="EM67" s="90"/>
      <c r="EN67" s="116"/>
      <c r="EO67" s="16">
        <f t="shared" si="28"/>
        <v>0</v>
      </c>
      <c r="EP67" s="90"/>
      <c r="EQ67" s="90"/>
      <c r="ER67" s="90"/>
      <c r="ES67" s="116"/>
      <c r="ET67" s="16">
        <f t="shared" si="29"/>
        <v>0</v>
      </c>
      <c r="EU67" s="90"/>
      <c r="EV67" s="90"/>
      <c r="EW67" s="90"/>
      <c r="EX67" s="116"/>
      <c r="EY67" s="16">
        <f t="shared" si="30"/>
        <v>0</v>
      </c>
      <c r="EZ67" s="90"/>
      <c r="FA67" s="90"/>
      <c r="FB67" s="90"/>
      <c r="FC67" s="116"/>
      <c r="FD67" s="16">
        <f t="shared" si="31"/>
        <v>0</v>
      </c>
      <c r="FE67" s="90"/>
      <c r="FF67" s="90"/>
      <c r="FG67" s="90"/>
      <c r="FH67" s="116"/>
      <c r="FI67" s="16">
        <f t="shared" si="50"/>
        <v>0</v>
      </c>
      <c r="FJ67" s="90"/>
      <c r="FK67" s="90"/>
      <c r="FL67" s="90"/>
      <c r="FM67" s="116"/>
      <c r="FN67" s="16">
        <f t="shared" si="32"/>
        <v>0</v>
      </c>
      <c r="FO67" s="90"/>
      <c r="FP67" s="90"/>
      <c r="FQ67" s="90"/>
      <c r="FR67" s="116"/>
      <c r="FS67" s="16">
        <f t="shared" si="33"/>
        <v>0</v>
      </c>
      <c r="FT67" s="90"/>
      <c r="FU67" s="90"/>
      <c r="FV67" s="90"/>
      <c r="FW67" s="116"/>
      <c r="FX67" s="16">
        <f t="shared" si="34"/>
        <v>0</v>
      </c>
      <c r="FY67" s="90"/>
      <c r="FZ67" s="90"/>
      <c r="GA67" s="90"/>
      <c r="GB67" s="116"/>
      <c r="GC67" s="16">
        <f t="shared" si="35"/>
        <v>0</v>
      </c>
      <c r="GD67" s="90"/>
      <c r="GE67" s="90"/>
      <c r="GF67" s="90"/>
      <c r="GG67" s="116"/>
      <c r="GH67" s="16">
        <f t="shared" si="36"/>
        <v>0</v>
      </c>
      <c r="GI67" s="90"/>
      <c r="GJ67" s="90"/>
      <c r="GK67" s="90"/>
      <c r="GL67" s="116"/>
      <c r="GM67" s="16">
        <f t="shared" si="37"/>
        <v>0</v>
      </c>
      <c r="GN67" s="90"/>
      <c r="GO67" s="90"/>
      <c r="GP67" s="90"/>
      <c r="GQ67" s="116"/>
      <c r="GR67" s="16">
        <f t="shared" si="38"/>
        <v>0</v>
      </c>
      <c r="GS67" s="90"/>
      <c r="GT67" s="90"/>
      <c r="GU67" s="90"/>
      <c r="GV67" s="116"/>
      <c r="GW67" s="16">
        <f t="shared" si="39"/>
        <v>0</v>
      </c>
      <c r="GX67" s="90"/>
      <c r="GY67" s="90"/>
      <c r="GZ67" s="90"/>
      <c r="HA67" s="116"/>
      <c r="HB67" s="16">
        <f t="shared" si="40"/>
        <v>0</v>
      </c>
      <c r="HC67" s="90"/>
      <c r="HD67" s="90"/>
      <c r="HE67" s="90"/>
      <c r="HF67" s="116"/>
      <c r="HG67" s="16">
        <f t="shared" si="41"/>
        <v>0</v>
      </c>
      <c r="HH67" s="90"/>
      <c r="HI67" s="90"/>
      <c r="HJ67" s="90"/>
      <c r="HK67" s="116"/>
      <c r="HL67" s="16">
        <f t="shared" si="42"/>
        <v>0</v>
      </c>
      <c r="HM67" s="90"/>
      <c r="HN67" s="90"/>
      <c r="HO67" s="90"/>
      <c r="HP67" s="116"/>
      <c r="HQ67" s="16">
        <f t="shared" si="43"/>
        <v>0</v>
      </c>
      <c r="HR67" s="90"/>
      <c r="HS67" s="90"/>
      <c r="HT67" s="90"/>
      <c r="HU67" s="116"/>
      <c r="HV67" s="16">
        <f t="shared" si="44"/>
        <v>0</v>
      </c>
      <c r="HW67" s="90"/>
      <c r="HX67" s="90"/>
      <c r="HY67" s="90"/>
      <c r="HZ67" s="116"/>
      <c r="IA67" s="16">
        <f t="shared" si="45"/>
        <v>0</v>
      </c>
      <c r="IB67" s="90"/>
      <c r="IC67" s="90"/>
      <c r="ID67" s="90"/>
      <c r="IE67" s="116"/>
      <c r="IF67" s="16">
        <f t="shared" si="46"/>
        <v>0</v>
      </c>
      <c r="IG67" s="90"/>
      <c r="IH67" s="90"/>
      <c r="II67" s="90"/>
      <c r="IJ67" s="116"/>
      <c r="IK67" s="16">
        <f t="shared" si="47"/>
        <v>0</v>
      </c>
      <c r="IL67" s="90"/>
      <c r="IM67" s="90"/>
      <c r="IN67" s="90"/>
      <c r="IO67" s="116"/>
      <c r="IP67" s="16">
        <f t="shared" si="48"/>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49"/>
        <v>0</v>
      </c>
      <c r="BD68" s="90"/>
      <c r="BE68" s="90"/>
      <c r="BF68" s="90"/>
      <c r="BG68" s="116"/>
      <c r="BH68" s="16">
        <f t="shared" si="11"/>
        <v>0</v>
      </c>
      <c r="BI68" s="90"/>
      <c r="BJ68" s="90"/>
      <c r="BK68" s="90"/>
      <c r="BL68" s="116"/>
      <c r="BM68" s="16">
        <f t="shared" si="12"/>
        <v>0</v>
      </c>
      <c r="BN68" s="90"/>
      <c r="BO68" s="90"/>
      <c r="BP68" s="90"/>
      <c r="BQ68" s="116"/>
      <c r="BR68" s="16">
        <f t="shared" si="13"/>
        <v>0</v>
      </c>
      <c r="BS68" s="90"/>
      <c r="BT68" s="90"/>
      <c r="BU68" s="90"/>
      <c r="BV68" s="116"/>
      <c r="BW68" s="16">
        <f t="shared" si="14"/>
        <v>0</v>
      </c>
      <c r="BX68" s="90"/>
      <c r="BY68" s="90"/>
      <c r="BZ68" s="90"/>
      <c r="CA68" s="116"/>
      <c r="CB68" s="16">
        <f t="shared" si="15"/>
        <v>0</v>
      </c>
      <c r="CC68" s="90"/>
      <c r="CD68" s="90"/>
      <c r="CE68" s="90"/>
      <c r="CF68" s="116"/>
      <c r="CG68" s="16">
        <f t="shared" si="16"/>
        <v>0</v>
      </c>
      <c r="CH68" s="90"/>
      <c r="CI68" s="90"/>
      <c r="CJ68" s="90"/>
      <c r="CK68" s="116"/>
      <c r="CL68" s="16">
        <f t="shared" si="17"/>
        <v>0</v>
      </c>
      <c r="CM68" s="90"/>
      <c r="CN68" s="90"/>
      <c r="CO68" s="90"/>
      <c r="CP68" s="116"/>
      <c r="CQ68" s="16">
        <f t="shared" si="18"/>
        <v>0</v>
      </c>
      <c r="CR68" s="90"/>
      <c r="CS68" s="90"/>
      <c r="CT68" s="90"/>
      <c r="CU68" s="116"/>
      <c r="CV68" s="16">
        <f t="shared" si="19"/>
        <v>0</v>
      </c>
      <c r="CW68" s="90"/>
      <c r="CX68" s="90"/>
      <c r="CY68" s="90"/>
      <c r="CZ68" s="116"/>
      <c r="DA68" s="16">
        <f t="shared" si="20"/>
        <v>0</v>
      </c>
      <c r="DB68" s="90"/>
      <c r="DC68" s="90"/>
      <c r="DD68" s="90"/>
      <c r="DE68" s="116"/>
      <c r="DF68" s="16">
        <f t="shared" si="21"/>
        <v>0</v>
      </c>
      <c r="DG68" s="90"/>
      <c r="DH68" s="90"/>
      <c r="DI68" s="90"/>
      <c r="DJ68" s="116"/>
      <c r="DK68" s="16">
        <f t="shared" si="22"/>
        <v>0</v>
      </c>
      <c r="DL68" s="90"/>
      <c r="DM68" s="90"/>
      <c r="DN68" s="90"/>
      <c r="DO68" s="116"/>
      <c r="DP68" s="16">
        <f t="shared" si="23"/>
        <v>0</v>
      </c>
      <c r="DQ68" s="90"/>
      <c r="DR68" s="90"/>
      <c r="DS68" s="90"/>
      <c r="DT68" s="116"/>
      <c r="DU68" s="16">
        <f t="shared" si="24"/>
        <v>0</v>
      </c>
      <c r="DV68" s="90"/>
      <c r="DW68" s="90"/>
      <c r="DX68" s="90"/>
      <c r="DY68" s="116"/>
      <c r="DZ68" s="16">
        <f t="shared" si="25"/>
        <v>0</v>
      </c>
      <c r="EA68" s="90"/>
      <c r="EB68" s="90"/>
      <c r="EC68" s="90"/>
      <c r="ED68" s="116"/>
      <c r="EE68" s="16">
        <f t="shared" si="26"/>
        <v>0</v>
      </c>
      <c r="EF68" s="90"/>
      <c r="EG68" s="90"/>
      <c r="EH68" s="90"/>
      <c r="EI68" s="116"/>
      <c r="EJ68" s="16">
        <f t="shared" si="27"/>
        <v>0</v>
      </c>
      <c r="EK68" s="90"/>
      <c r="EL68" s="90"/>
      <c r="EM68" s="90"/>
      <c r="EN68" s="116"/>
      <c r="EO68" s="16">
        <f t="shared" si="28"/>
        <v>0</v>
      </c>
      <c r="EP68" s="90"/>
      <c r="EQ68" s="90"/>
      <c r="ER68" s="90"/>
      <c r="ES68" s="116"/>
      <c r="ET68" s="16">
        <f t="shared" si="29"/>
        <v>0</v>
      </c>
      <c r="EU68" s="90"/>
      <c r="EV68" s="90"/>
      <c r="EW68" s="90"/>
      <c r="EX68" s="116"/>
      <c r="EY68" s="16">
        <f t="shared" si="30"/>
        <v>0</v>
      </c>
      <c r="EZ68" s="90"/>
      <c r="FA68" s="90"/>
      <c r="FB68" s="90"/>
      <c r="FC68" s="116"/>
      <c r="FD68" s="16">
        <f t="shared" si="31"/>
        <v>0</v>
      </c>
      <c r="FE68" s="90"/>
      <c r="FF68" s="90"/>
      <c r="FG68" s="90"/>
      <c r="FH68" s="116"/>
      <c r="FI68" s="16">
        <f t="shared" si="50"/>
        <v>0</v>
      </c>
      <c r="FJ68" s="90"/>
      <c r="FK68" s="90"/>
      <c r="FL68" s="90"/>
      <c r="FM68" s="116"/>
      <c r="FN68" s="16">
        <f t="shared" si="32"/>
        <v>0</v>
      </c>
      <c r="FO68" s="90"/>
      <c r="FP68" s="90"/>
      <c r="FQ68" s="90"/>
      <c r="FR68" s="116"/>
      <c r="FS68" s="16">
        <f t="shared" si="33"/>
        <v>0</v>
      </c>
      <c r="FT68" s="90"/>
      <c r="FU68" s="90"/>
      <c r="FV68" s="90"/>
      <c r="FW68" s="116"/>
      <c r="FX68" s="16">
        <f t="shared" si="34"/>
        <v>0</v>
      </c>
      <c r="FY68" s="90"/>
      <c r="FZ68" s="90"/>
      <c r="GA68" s="90"/>
      <c r="GB68" s="116"/>
      <c r="GC68" s="16">
        <f t="shared" si="35"/>
        <v>0</v>
      </c>
      <c r="GD68" s="90"/>
      <c r="GE68" s="90"/>
      <c r="GF68" s="90"/>
      <c r="GG68" s="116"/>
      <c r="GH68" s="16">
        <f t="shared" si="36"/>
        <v>0</v>
      </c>
      <c r="GI68" s="90"/>
      <c r="GJ68" s="90"/>
      <c r="GK68" s="90"/>
      <c r="GL68" s="116"/>
      <c r="GM68" s="16">
        <f t="shared" si="37"/>
        <v>0</v>
      </c>
      <c r="GN68" s="90"/>
      <c r="GO68" s="90"/>
      <c r="GP68" s="90"/>
      <c r="GQ68" s="116"/>
      <c r="GR68" s="16">
        <f t="shared" si="38"/>
        <v>0</v>
      </c>
      <c r="GS68" s="90"/>
      <c r="GT68" s="90"/>
      <c r="GU68" s="90"/>
      <c r="GV68" s="116"/>
      <c r="GW68" s="16">
        <f t="shared" si="39"/>
        <v>0</v>
      </c>
      <c r="GX68" s="90"/>
      <c r="GY68" s="90"/>
      <c r="GZ68" s="90"/>
      <c r="HA68" s="116"/>
      <c r="HB68" s="16">
        <f t="shared" si="40"/>
        <v>0</v>
      </c>
      <c r="HC68" s="90"/>
      <c r="HD68" s="90"/>
      <c r="HE68" s="90"/>
      <c r="HF68" s="116"/>
      <c r="HG68" s="16">
        <f t="shared" si="41"/>
        <v>0</v>
      </c>
      <c r="HH68" s="90"/>
      <c r="HI68" s="90"/>
      <c r="HJ68" s="90"/>
      <c r="HK68" s="116"/>
      <c r="HL68" s="16">
        <f t="shared" si="42"/>
        <v>0</v>
      </c>
      <c r="HM68" s="90"/>
      <c r="HN68" s="90"/>
      <c r="HO68" s="90"/>
      <c r="HP68" s="116"/>
      <c r="HQ68" s="16">
        <f t="shared" si="43"/>
        <v>0</v>
      </c>
      <c r="HR68" s="90"/>
      <c r="HS68" s="90"/>
      <c r="HT68" s="90"/>
      <c r="HU68" s="116"/>
      <c r="HV68" s="16">
        <f t="shared" si="44"/>
        <v>0</v>
      </c>
      <c r="HW68" s="90"/>
      <c r="HX68" s="90"/>
      <c r="HY68" s="90"/>
      <c r="HZ68" s="116"/>
      <c r="IA68" s="16">
        <f t="shared" si="45"/>
        <v>0</v>
      </c>
      <c r="IB68" s="90"/>
      <c r="IC68" s="90"/>
      <c r="ID68" s="90"/>
      <c r="IE68" s="116"/>
      <c r="IF68" s="16">
        <f t="shared" si="46"/>
        <v>0</v>
      </c>
      <c r="IG68" s="90"/>
      <c r="IH68" s="90"/>
      <c r="II68" s="90"/>
      <c r="IJ68" s="116"/>
      <c r="IK68" s="16">
        <f t="shared" si="47"/>
        <v>0</v>
      </c>
      <c r="IL68" s="90"/>
      <c r="IM68" s="90"/>
      <c r="IN68" s="90"/>
      <c r="IO68" s="116"/>
      <c r="IP68" s="16">
        <f t="shared" si="48"/>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49"/>
        <v>0</v>
      </c>
      <c r="BD69" s="90"/>
      <c r="BE69" s="90"/>
      <c r="BF69" s="90"/>
      <c r="BG69" s="116"/>
      <c r="BH69" s="16">
        <f t="shared" si="11"/>
        <v>0</v>
      </c>
      <c r="BI69" s="90"/>
      <c r="BJ69" s="90"/>
      <c r="BK69" s="90"/>
      <c r="BL69" s="116"/>
      <c r="BM69" s="16">
        <f t="shared" si="12"/>
        <v>0</v>
      </c>
      <c r="BN69" s="90"/>
      <c r="BO69" s="90"/>
      <c r="BP69" s="90"/>
      <c r="BQ69" s="116"/>
      <c r="BR69" s="16">
        <f t="shared" si="13"/>
        <v>0</v>
      </c>
      <c r="BS69" s="90"/>
      <c r="BT69" s="90"/>
      <c r="BU69" s="90"/>
      <c r="BV69" s="116"/>
      <c r="BW69" s="16">
        <f t="shared" si="14"/>
        <v>0</v>
      </c>
      <c r="BX69" s="90"/>
      <c r="BY69" s="90"/>
      <c r="BZ69" s="90"/>
      <c r="CA69" s="116"/>
      <c r="CB69" s="16">
        <f t="shared" si="15"/>
        <v>0</v>
      </c>
      <c r="CC69" s="90"/>
      <c r="CD69" s="90"/>
      <c r="CE69" s="90"/>
      <c r="CF69" s="116"/>
      <c r="CG69" s="16">
        <f t="shared" si="16"/>
        <v>0</v>
      </c>
      <c r="CH69" s="90"/>
      <c r="CI69" s="90"/>
      <c r="CJ69" s="90"/>
      <c r="CK69" s="116"/>
      <c r="CL69" s="16">
        <f t="shared" si="17"/>
        <v>0</v>
      </c>
      <c r="CM69" s="90"/>
      <c r="CN69" s="90"/>
      <c r="CO69" s="90"/>
      <c r="CP69" s="116"/>
      <c r="CQ69" s="16">
        <f t="shared" si="18"/>
        <v>0</v>
      </c>
      <c r="CR69" s="90"/>
      <c r="CS69" s="90"/>
      <c r="CT69" s="90"/>
      <c r="CU69" s="116"/>
      <c r="CV69" s="16">
        <f t="shared" si="19"/>
        <v>0</v>
      </c>
      <c r="CW69" s="90"/>
      <c r="CX69" s="90"/>
      <c r="CY69" s="90"/>
      <c r="CZ69" s="116"/>
      <c r="DA69" s="16">
        <f t="shared" si="20"/>
        <v>0</v>
      </c>
      <c r="DB69" s="90"/>
      <c r="DC69" s="90"/>
      <c r="DD69" s="90"/>
      <c r="DE69" s="116"/>
      <c r="DF69" s="16">
        <f t="shared" si="21"/>
        <v>0</v>
      </c>
      <c r="DG69" s="90"/>
      <c r="DH69" s="90"/>
      <c r="DI69" s="90"/>
      <c r="DJ69" s="116"/>
      <c r="DK69" s="16">
        <f t="shared" si="22"/>
        <v>0</v>
      </c>
      <c r="DL69" s="90"/>
      <c r="DM69" s="90"/>
      <c r="DN69" s="90"/>
      <c r="DO69" s="116"/>
      <c r="DP69" s="16">
        <f t="shared" si="23"/>
        <v>0</v>
      </c>
      <c r="DQ69" s="90"/>
      <c r="DR69" s="90"/>
      <c r="DS69" s="90"/>
      <c r="DT69" s="116"/>
      <c r="DU69" s="16">
        <f t="shared" si="24"/>
        <v>0</v>
      </c>
      <c r="DV69" s="90"/>
      <c r="DW69" s="90"/>
      <c r="DX69" s="90"/>
      <c r="DY69" s="116"/>
      <c r="DZ69" s="16">
        <f t="shared" si="25"/>
        <v>0</v>
      </c>
      <c r="EA69" s="90"/>
      <c r="EB69" s="90"/>
      <c r="EC69" s="90"/>
      <c r="ED69" s="116"/>
      <c r="EE69" s="16">
        <f t="shared" si="26"/>
        <v>0</v>
      </c>
      <c r="EF69" s="90"/>
      <c r="EG69" s="90"/>
      <c r="EH69" s="90"/>
      <c r="EI69" s="116"/>
      <c r="EJ69" s="16">
        <f t="shared" si="27"/>
        <v>0</v>
      </c>
      <c r="EK69" s="90"/>
      <c r="EL69" s="90"/>
      <c r="EM69" s="90"/>
      <c r="EN69" s="116"/>
      <c r="EO69" s="16">
        <f t="shared" si="28"/>
        <v>0</v>
      </c>
      <c r="EP69" s="90"/>
      <c r="EQ69" s="90"/>
      <c r="ER69" s="90"/>
      <c r="ES69" s="116"/>
      <c r="ET69" s="16">
        <f t="shared" si="29"/>
        <v>0</v>
      </c>
      <c r="EU69" s="90"/>
      <c r="EV69" s="90"/>
      <c r="EW69" s="90"/>
      <c r="EX69" s="116"/>
      <c r="EY69" s="16">
        <f t="shared" si="30"/>
        <v>0</v>
      </c>
      <c r="EZ69" s="90"/>
      <c r="FA69" s="90"/>
      <c r="FB69" s="90"/>
      <c r="FC69" s="116"/>
      <c r="FD69" s="16">
        <f t="shared" si="31"/>
        <v>0</v>
      </c>
      <c r="FE69" s="90"/>
      <c r="FF69" s="90"/>
      <c r="FG69" s="90"/>
      <c r="FH69" s="116"/>
      <c r="FI69" s="16">
        <f t="shared" si="50"/>
        <v>0</v>
      </c>
      <c r="FJ69" s="90"/>
      <c r="FK69" s="90"/>
      <c r="FL69" s="90"/>
      <c r="FM69" s="116"/>
      <c r="FN69" s="16">
        <f t="shared" si="32"/>
        <v>0</v>
      </c>
      <c r="FO69" s="90"/>
      <c r="FP69" s="90"/>
      <c r="FQ69" s="90"/>
      <c r="FR69" s="116"/>
      <c r="FS69" s="16">
        <f t="shared" si="33"/>
        <v>0</v>
      </c>
      <c r="FT69" s="90"/>
      <c r="FU69" s="90"/>
      <c r="FV69" s="90"/>
      <c r="FW69" s="116"/>
      <c r="FX69" s="16">
        <f t="shared" si="34"/>
        <v>0</v>
      </c>
      <c r="FY69" s="90"/>
      <c r="FZ69" s="90"/>
      <c r="GA69" s="90"/>
      <c r="GB69" s="116"/>
      <c r="GC69" s="16">
        <f t="shared" si="35"/>
        <v>0</v>
      </c>
      <c r="GD69" s="90"/>
      <c r="GE69" s="90"/>
      <c r="GF69" s="90"/>
      <c r="GG69" s="116"/>
      <c r="GH69" s="16">
        <f t="shared" si="36"/>
        <v>0</v>
      </c>
      <c r="GI69" s="90"/>
      <c r="GJ69" s="90"/>
      <c r="GK69" s="90"/>
      <c r="GL69" s="116"/>
      <c r="GM69" s="16">
        <f t="shared" si="37"/>
        <v>0</v>
      </c>
      <c r="GN69" s="90"/>
      <c r="GO69" s="90"/>
      <c r="GP69" s="90"/>
      <c r="GQ69" s="116"/>
      <c r="GR69" s="16">
        <f t="shared" si="38"/>
        <v>0</v>
      </c>
      <c r="GS69" s="90"/>
      <c r="GT69" s="90"/>
      <c r="GU69" s="90"/>
      <c r="GV69" s="116"/>
      <c r="GW69" s="16">
        <f t="shared" si="39"/>
        <v>0</v>
      </c>
      <c r="GX69" s="90"/>
      <c r="GY69" s="90"/>
      <c r="GZ69" s="90"/>
      <c r="HA69" s="116"/>
      <c r="HB69" s="16">
        <f t="shared" si="40"/>
        <v>0</v>
      </c>
      <c r="HC69" s="90"/>
      <c r="HD69" s="90"/>
      <c r="HE69" s="90"/>
      <c r="HF69" s="116"/>
      <c r="HG69" s="16">
        <f t="shared" si="41"/>
        <v>0</v>
      </c>
      <c r="HH69" s="90"/>
      <c r="HI69" s="90"/>
      <c r="HJ69" s="90"/>
      <c r="HK69" s="116"/>
      <c r="HL69" s="16">
        <f t="shared" si="42"/>
        <v>0</v>
      </c>
      <c r="HM69" s="90"/>
      <c r="HN69" s="90"/>
      <c r="HO69" s="90"/>
      <c r="HP69" s="116"/>
      <c r="HQ69" s="16">
        <f t="shared" si="43"/>
        <v>0</v>
      </c>
      <c r="HR69" s="90"/>
      <c r="HS69" s="90"/>
      <c r="HT69" s="90"/>
      <c r="HU69" s="116"/>
      <c r="HV69" s="16">
        <f t="shared" si="44"/>
        <v>0</v>
      </c>
      <c r="HW69" s="90"/>
      <c r="HX69" s="90"/>
      <c r="HY69" s="90"/>
      <c r="HZ69" s="116"/>
      <c r="IA69" s="16">
        <f t="shared" si="45"/>
        <v>0</v>
      </c>
      <c r="IB69" s="90"/>
      <c r="IC69" s="90"/>
      <c r="ID69" s="90"/>
      <c r="IE69" s="116"/>
      <c r="IF69" s="16">
        <f t="shared" si="46"/>
        <v>0</v>
      </c>
      <c r="IG69" s="90"/>
      <c r="IH69" s="90"/>
      <c r="II69" s="90"/>
      <c r="IJ69" s="116"/>
      <c r="IK69" s="16">
        <f t="shared" si="47"/>
        <v>0</v>
      </c>
      <c r="IL69" s="90"/>
      <c r="IM69" s="90"/>
      <c r="IN69" s="90"/>
      <c r="IO69" s="116"/>
      <c r="IP69" s="16">
        <f t="shared" si="48"/>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49"/>
        <v>0</v>
      </c>
      <c r="BD70" s="90"/>
      <c r="BE70" s="90"/>
      <c r="BF70" s="90"/>
      <c r="BG70" s="116"/>
      <c r="BH70" s="16">
        <f t="shared" si="11"/>
        <v>0</v>
      </c>
      <c r="BI70" s="90"/>
      <c r="BJ70" s="90"/>
      <c r="BK70" s="90"/>
      <c r="BL70" s="116"/>
      <c r="BM70" s="16">
        <f t="shared" si="12"/>
        <v>0</v>
      </c>
      <c r="BN70" s="90"/>
      <c r="BO70" s="90"/>
      <c r="BP70" s="90"/>
      <c r="BQ70" s="116"/>
      <c r="BR70" s="16">
        <f t="shared" si="13"/>
        <v>0</v>
      </c>
      <c r="BS70" s="90"/>
      <c r="BT70" s="90"/>
      <c r="BU70" s="90"/>
      <c r="BV70" s="116"/>
      <c r="BW70" s="16">
        <f t="shared" si="14"/>
        <v>0</v>
      </c>
      <c r="BX70" s="90"/>
      <c r="BY70" s="90"/>
      <c r="BZ70" s="90"/>
      <c r="CA70" s="116"/>
      <c r="CB70" s="16">
        <f t="shared" si="15"/>
        <v>0</v>
      </c>
      <c r="CC70" s="90"/>
      <c r="CD70" s="90"/>
      <c r="CE70" s="90"/>
      <c r="CF70" s="116"/>
      <c r="CG70" s="16">
        <f t="shared" si="16"/>
        <v>0</v>
      </c>
      <c r="CH70" s="90"/>
      <c r="CI70" s="90"/>
      <c r="CJ70" s="90"/>
      <c r="CK70" s="116"/>
      <c r="CL70" s="16">
        <f t="shared" si="17"/>
        <v>0</v>
      </c>
      <c r="CM70" s="90"/>
      <c r="CN70" s="90"/>
      <c r="CO70" s="90"/>
      <c r="CP70" s="116"/>
      <c r="CQ70" s="16">
        <f t="shared" si="18"/>
        <v>0</v>
      </c>
      <c r="CR70" s="90"/>
      <c r="CS70" s="90"/>
      <c r="CT70" s="90"/>
      <c r="CU70" s="116"/>
      <c r="CV70" s="16">
        <f t="shared" si="19"/>
        <v>0</v>
      </c>
      <c r="CW70" s="90"/>
      <c r="CX70" s="90"/>
      <c r="CY70" s="90"/>
      <c r="CZ70" s="116"/>
      <c r="DA70" s="16">
        <f t="shared" si="20"/>
        <v>0</v>
      </c>
      <c r="DB70" s="90"/>
      <c r="DC70" s="90"/>
      <c r="DD70" s="90"/>
      <c r="DE70" s="116"/>
      <c r="DF70" s="16">
        <f t="shared" si="21"/>
        <v>0</v>
      </c>
      <c r="DG70" s="90"/>
      <c r="DH70" s="90"/>
      <c r="DI70" s="90"/>
      <c r="DJ70" s="116"/>
      <c r="DK70" s="16">
        <f t="shared" si="22"/>
        <v>0</v>
      </c>
      <c r="DL70" s="90"/>
      <c r="DM70" s="90"/>
      <c r="DN70" s="90"/>
      <c r="DO70" s="116"/>
      <c r="DP70" s="16">
        <f t="shared" si="23"/>
        <v>0</v>
      </c>
      <c r="DQ70" s="90"/>
      <c r="DR70" s="90"/>
      <c r="DS70" s="90"/>
      <c r="DT70" s="116"/>
      <c r="DU70" s="16">
        <f t="shared" si="24"/>
        <v>0</v>
      </c>
      <c r="DV70" s="90"/>
      <c r="DW70" s="90"/>
      <c r="DX70" s="90"/>
      <c r="DY70" s="116"/>
      <c r="DZ70" s="16">
        <f t="shared" si="25"/>
        <v>0</v>
      </c>
      <c r="EA70" s="90"/>
      <c r="EB70" s="90"/>
      <c r="EC70" s="90"/>
      <c r="ED70" s="116"/>
      <c r="EE70" s="16">
        <f t="shared" si="26"/>
        <v>0</v>
      </c>
      <c r="EF70" s="90"/>
      <c r="EG70" s="90"/>
      <c r="EH70" s="90"/>
      <c r="EI70" s="116"/>
      <c r="EJ70" s="16">
        <f t="shared" si="27"/>
        <v>0</v>
      </c>
      <c r="EK70" s="90"/>
      <c r="EL70" s="90"/>
      <c r="EM70" s="90"/>
      <c r="EN70" s="116"/>
      <c r="EO70" s="16">
        <f t="shared" si="28"/>
        <v>0</v>
      </c>
      <c r="EP70" s="90"/>
      <c r="EQ70" s="90"/>
      <c r="ER70" s="90"/>
      <c r="ES70" s="116"/>
      <c r="ET70" s="16">
        <f t="shared" si="29"/>
        <v>0</v>
      </c>
      <c r="EU70" s="90"/>
      <c r="EV70" s="90"/>
      <c r="EW70" s="90"/>
      <c r="EX70" s="116"/>
      <c r="EY70" s="16">
        <f t="shared" si="30"/>
        <v>0</v>
      </c>
      <c r="EZ70" s="90"/>
      <c r="FA70" s="90"/>
      <c r="FB70" s="90"/>
      <c r="FC70" s="116"/>
      <c r="FD70" s="16">
        <f t="shared" si="31"/>
        <v>0</v>
      </c>
      <c r="FE70" s="90"/>
      <c r="FF70" s="90"/>
      <c r="FG70" s="90"/>
      <c r="FH70" s="116"/>
      <c r="FI70" s="16">
        <f t="shared" si="50"/>
        <v>0</v>
      </c>
      <c r="FJ70" s="90"/>
      <c r="FK70" s="90"/>
      <c r="FL70" s="90"/>
      <c r="FM70" s="116"/>
      <c r="FN70" s="16">
        <f t="shared" si="32"/>
        <v>0</v>
      </c>
      <c r="FO70" s="90"/>
      <c r="FP70" s="90"/>
      <c r="FQ70" s="90"/>
      <c r="FR70" s="116"/>
      <c r="FS70" s="16">
        <f t="shared" si="33"/>
        <v>0</v>
      </c>
      <c r="FT70" s="90"/>
      <c r="FU70" s="90"/>
      <c r="FV70" s="90"/>
      <c r="FW70" s="116"/>
      <c r="FX70" s="16">
        <f t="shared" si="34"/>
        <v>0</v>
      </c>
      <c r="FY70" s="90"/>
      <c r="FZ70" s="90"/>
      <c r="GA70" s="90"/>
      <c r="GB70" s="116"/>
      <c r="GC70" s="16">
        <f t="shared" si="35"/>
        <v>0</v>
      </c>
      <c r="GD70" s="90"/>
      <c r="GE70" s="90"/>
      <c r="GF70" s="90"/>
      <c r="GG70" s="116"/>
      <c r="GH70" s="16">
        <f t="shared" si="36"/>
        <v>0</v>
      </c>
      <c r="GI70" s="90"/>
      <c r="GJ70" s="90"/>
      <c r="GK70" s="90"/>
      <c r="GL70" s="116"/>
      <c r="GM70" s="16">
        <f t="shared" si="37"/>
        <v>0</v>
      </c>
      <c r="GN70" s="90"/>
      <c r="GO70" s="90"/>
      <c r="GP70" s="90"/>
      <c r="GQ70" s="116"/>
      <c r="GR70" s="16">
        <f t="shared" si="38"/>
        <v>0</v>
      </c>
      <c r="GS70" s="90"/>
      <c r="GT70" s="90"/>
      <c r="GU70" s="90"/>
      <c r="GV70" s="116"/>
      <c r="GW70" s="16">
        <f t="shared" si="39"/>
        <v>0</v>
      </c>
      <c r="GX70" s="90"/>
      <c r="GY70" s="90"/>
      <c r="GZ70" s="90"/>
      <c r="HA70" s="116"/>
      <c r="HB70" s="16">
        <f t="shared" si="40"/>
        <v>0</v>
      </c>
      <c r="HC70" s="90"/>
      <c r="HD70" s="90"/>
      <c r="HE70" s="90"/>
      <c r="HF70" s="116"/>
      <c r="HG70" s="16">
        <f t="shared" si="41"/>
        <v>0</v>
      </c>
      <c r="HH70" s="90"/>
      <c r="HI70" s="90"/>
      <c r="HJ70" s="90"/>
      <c r="HK70" s="116"/>
      <c r="HL70" s="16">
        <f t="shared" si="42"/>
        <v>0</v>
      </c>
      <c r="HM70" s="90"/>
      <c r="HN70" s="90"/>
      <c r="HO70" s="90"/>
      <c r="HP70" s="116"/>
      <c r="HQ70" s="16">
        <f t="shared" si="43"/>
        <v>0</v>
      </c>
      <c r="HR70" s="90"/>
      <c r="HS70" s="90"/>
      <c r="HT70" s="90"/>
      <c r="HU70" s="116"/>
      <c r="HV70" s="16">
        <f t="shared" si="44"/>
        <v>0</v>
      </c>
      <c r="HW70" s="90"/>
      <c r="HX70" s="90"/>
      <c r="HY70" s="90"/>
      <c r="HZ70" s="116"/>
      <c r="IA70" s="16">
        <f t="shared" si="45"/>
        <v>0</v>
      </c>
      <c r="IB70" s="90"/>
      <c r="IC70" s="90"/>
      <c r="ID70" s="90"/>
      <c r="IE70" s="116"/>
      <c r="IF70" s="16">
        <f t="shared" si="46"/>
        <v>0</v>
      </c>
      <c r="IG70" s="90"/>
      <c r="IH70" s="90"/>
      <c r="II70" s="90"/>
      <c r="IJ70" s="116"/>
      <c r="IK70" s="16">
        <f t="shared" si="47"/>
        <v>0</v>
      </c>
      <c r="IL70" s="90"/>
      <c r="IM70" s="90"/>
      <c r="IN70" s="90"/>
      <c r="IO70" s="116"/>
      <c r="IP70" s="16">
        <f t="shared" si="48"/>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49"/>
        <v>0</v>
      </c>
      <c r="BD71" s="90"/>
      <c r="BE71" s="90"/>
      <c r="BF71" s="90"/>
      <c r="BG71" s="116"/>
      <c r="BH71" s="16">
        <f t="shared" si="11"/>
        <v>0</v>
      </c>
      <c r="BI71" s="90"/>
      <c r="BJ71" s="90"/>
      <c r="BK71" s="90"/>
      <c r="BL71" s="116"/>
      <c r="BM71" s="16">
        <f t="shared" si="12"/>
        <v>0</v>
      </c>
      <c r="BN71" s="90"/>
      <c r="BO71" s="90"/>
      <c r="BP71" s="90"/>
      <c r="BQ71" s="116"/>
      <c r="BR71" s="16">
        <f t="shared" si="13"/>
        <v>0</v>
      </c>
      <c r="BS71" s="90"/>
      <c r="BT71" s="90"/>
      <c r="BU71" s="90"/>
      <c r="BV71" s="116"/>
      <c r="BW71" s="16">
        <f t="shared" si="14"/>
        <v>0</v>
      </c>
      <c r="BX71" s="90"/>
      <c r="BY71" s="90"/>
      <c r="BZ71" s="90"/>
      <c r="CA71" s="116"/>
      <c r="CB71" s="16">
        <f t="shared" si="15"/>
        <v>0</v>
      </c>
      <c r="CC71" s="90"/>
      <c r="CD71" s="90"/>
      <c r="CE71" s="90"/>
      <c r="CF71" s="116"/>
      <c r="CG71" s="16">
        <f t="shared" si="16"/>
        <v>0</v>
      </c>
      <c r="CH71" s="90"/>
      <c r="CI71" s="90"/>
      <c r="CJ71" s="90"/>
      <c r="CK71" s="116"/>
      <c r="CL71" s="16">
        <f t="shared" si="17"/>
        <v>0</v>
      </c>
      <c r="CM71" s="90"/>
      <c r="CN71" s="90"/>
      <c r="CO71" s="90"/>
      <c r="CP71" s="116"/>
      <c r="CQ71" s="16">
        <f t="shared" si="18"/>
        <v>0</v>
      </c>
      <c r="CR71" s="90"/>
      <c r="CS71" s="90"/>
      <c r="CT71" s="90"/>
      <c r="CU71" s="116"/>
      <c r="CV71" s="16">
        <f t="shared" si="19"/>
        <v>0</v>
      </c>
      <c r="CW71" s="90"/>
      <c r="CX71" s="90"/>
      <c r="CY71" s="90"/>
      <c r="CZ71" s="116"/>
      <c r="DA71" s="16">
        <f t="shared" si="20"/>
        <v>0</v>
      </c>
      <c r="DB71" s="90"/>
      <c r="DC71" s="90"/>
      <c r="DD71" s="90"/>
      <c r="DE71" s="116"/>
      <c r="DF71" s="16">
        <f t="shared" si="21"/>
        <v>0</v>
      </c>
      <c r="DG71" s="90"/>
      <c r="DH71" s="90"/>
      <c r="DI71" s="90"/>
      <c r="DJ71" s="116"/>
      <c r="DK71" s="16">
        <f t="shared" si="22"/>
        <v>0</v>
      </c>
      <c r="DL71" s="90"/>
      <c r="DM71" s="90"/>
      <c r="DN71" s="90"/>
      <c r="DO71" s="116"/>
      <c r="DP71" s="16">
        <f t="shared" si="23"/>
        <v>0</v>
      </c>
      <c r="DQ71" s="90"/>
      <c r="DR71" s="90"/>
      <c r="DS71" s="90"/>
      <c r="DT71" s="116"/>
      <c r="DU71" s="16">
        <f t="shared" si="24"/>
        <v>0</v>
      </c>
      <c r="DV71" s="90"/>
      <c r="DW71" s="90"/>
      <c r="DX71" s="90"/>
      <c r="DY71" s="116"/>
      <c r="DZ71" s="16">
        <f t="shared" si="25"/>
        <v>0</v>
      </c>
      <c r="EA71" s="90"/>
      <c r="EB71" s="90"/>
      <c r="EC71" s="90"/>
      <c r="ED71" s="116"/>
      <c r="EE71" s="16">
        <f t="shared" si="26"/>
        <v>0</v>
      </c>
      <c r="EF71" s="90"/>
      <c r="EG71" s="90"/>
      <c r="EH71" s="90"/>
      <c r="EI71" s="116"/>
      <c r="EJ71" s="16">
        <f t="shared" si="27"/>
        <v>0</v>
      </c>
      <c r="EK71" s="90"/>
      <c r="EL71" s="90"/>
      <c r="EM71" s="90"/>
      <c r="EN71" s="116"/>
      <c r="EO71" s="16">
        <f t="shared" si="28"/>
        <v>0</v>
      </c>
      <c r="EP71" s="90"/>
      <c r="EQ71" s="90"/>
      <c r="ER71" s="90"/>
      <c r="ES71" s="116"/>
      <c r="ET71" s="16">
        <f t="shared" si="29"/>
        <v>0</v>
      </c>
      <c r="EU71" s="90"/>
      <c r="EV71" s="90"/>
      <c r="EW71" s="90"/>
      <c r="EX71" s="116"/>
      <c r="EY71" s="16">
        <f t="shared" si="30"/>
        <v>0</v>
      </c>
      <c r="EZ71" s="90"/>
      <c r="FA71" s="90"/>
      <c r="FB71" s="90"/>
      <c r="FC71" s="116"/>
      <c r="FD71" s="16">
        <f t="shared" si="31"/>
        <v>0</v>
      </c>
      <c r="FE71" s="90"/>
      <c r="FF71" s="90"/>
      <c r="FG71" s="90"/>
      <c r="FH71" s="116"/>
      <c r="FI71" s="16">
        <f t="shared" si="50"/>
        <v>0</v>
      </c>
      <c r="FJ71" s="90"/>
      <c r="FK71" s="90"/>
      <c r="FL71" s="90"/>
      <c r="FM71" s="116"/>
      <c r="FN71" s="16">
        <f t="shared" si="32"/>
        <v>0</v>
      </c>
      <c r="FO71" s="90"/>
      <c r="FP71" s="90"/>
      <c r="FQ71" s="90"/>
      <c r="FR71" s="116"/>
      <c r="FS71" s="16">
        <f t="shared" si="33"/>
        <v>0</v>
      </c>
      <c r="FT71" s="90"/>
      <c r="FU71" s="90"/>
      <c r="FV71" s="90"/>
      <c r="FW71" s="116"/>
      <c r="FX71" s="16">
        <f t="shared" si="34"/>
        <v>0</v>
      </c>
      <c r="FY71" s="90"/>
      <c r="FZ71" s="90"/>
      <c r="GA71" s="90"/>
      <c r="GB71" s="116"/>
      <c r="GC71" s="16">
        <f t="shared" si="35"/>
        <v>0</v>
      </c>
      <c r="GD71" s="90"/>
      <c r="GE71" s="90"/>
      <c r="GF71" s="90"/>
      <c r="GG71" s="116"/>
      <c r="GH71" s="16">
        <f t="shared" si="36"/>
        <v>0</v>
      </c>
      <c r="GI71" s="90"/>
      <c r="GJ71" s="90"/>
      <c r="GK71" s="90"/>
      <c r="GL71" s="116"/>
      <c r="GM71" s="16">
        <f t="shared" si="37"/>
        <v>0</v>
      </c>
      <c r="GN71" s="90"/>
      <c r="GO71" s="90"/>
      <c r="GP71" s="90"/>
      <c r="GQ71" s="116"/>
      <c r="GR71" s="16">
        <f t="shared" si="38"/>
        <v>0</v>
      </c>
      <c r="GS71" s="90"/>
      <c r="GT71" s="90"/>
      <c r="GU71" s="90"/>
      <c r="GV71" s="116"/>
      <c r="GW71" s="16">
        <f t="shared" si="39"/>
        <v>0</v>
      </c>
      <c r="GX71" s="90"/>
      <c r="GY71" s="90"/>
      <c r="GZ71" s="90"/>
      <c r="HA71" s="116"/>
      <c r="HB71" s="16">
        <f t="shared" si="40"/>
        <v>0</v>
      </c>
      <c r="HC71" s="90"/>
      <c r="HD71" s="90"/>
      <c r="HE71" s="90"/>
      <c r="HF71" s="116"/>
      <c r="HG71" s="16">
        <f t="shared" si="41"/>
        <v>0</v>
      </c>
      <c r="HH71" s="90"/>
      <c r="HI71" s="90"/>
      <c r="HJ71" s="90"/>
      <c r="HK71" s="116"/>
      <c r="HL71" s="16">
        <f t="shared" si="42"/>
        <v>0</v>
      </c>
      <c r="HM71" s="90"/>
      <c r="HN71" s="90"/>
      <c r="HO71" s="90"/>
      <c r="HP71" s="116"/>
      <c r="HQ71" s="16">
        <f t="shared" si="43"/>
        <v>0</v>
      </c>
      <c r="HR71" s="90"/>
      <c r="HS71" s="90"/>
      <c r="HT71" s="90"/>
      <c r="HU71" s="116"/>
      <c r="HV71" s="16">
        <f t="shared" si="44"/>
        <v>0</v>
      </c>
      <c r="HW71" s="90"/>
      <c r="HX71" s="90"/>
      <c r="HY71" s="90"/>
      <c r="HZ71" s="116"/>
      <c r="IA71" s="16">
        <f t="shared" si="45"/>
        <v>0</v>
      </c>
      <c r="IB71" s="90"/>
      <c r="IC71" s="90"/>
      <c r="ID71" s="90"/>
      <c r="IE71" s="116"/>
      <c r="IF71" s="16">
        <f t="shared" si="46"/>
        <v>0</v>
      </c>
      <c r="IG71" s="90"/>
      <c r="IH71" s="90"/>
      <c r="II71" s="90"/>
      <c r="IJ71" s="116"/>
      <c r="IK71" s="16">
        <f t="shared" si="47"/>
        <v>0</v>
      </c>
      <c r="IL71" s="90"/>
      <c r="IM71" s="90"/>
      <c r="IN71" s="90"/>
      <c r="IO71" s="116"/>
      <c r="IP71" s="16">
        <f t="shared" si="48"/>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49"/>
        <v>0</v>
      </c>
      <c r="BD72" s="90"/>
      <c r="BE72" s="90"/>
      <c r="BF72" s="90"/>
      <c r="BG72" s="116"/>
      <c r="BH72" s="16">
        <f t="shared" si="11"/>
        <v>0</v>
      </c>
      <c r="BI72" s="90"/>
      <c r="BJ72" s="90"/>
      <c r="BK72" s="90"/>
      <c r="BL72" s="116"/>
      <c r="BM72" s="16">
        <f t="shared" si="12"/>
        <v>0</v>
      </c>
      <c r="BN72" s="90"/>
      <c r="BO72" s="90"/>
      <c r="BP72" s="90"/>
      <c r="BQ72" s="116"/>
      <c r="BR72" s="16">
        <f t="shared" si="13"/>
        <v>0</v>
      </c>
      <c r="BS72" s="90"/>
      <c r="BT72" s="90"/>
      <c r="BU72" s="90"/>
      <c r="BV72" s="116"/>
      <c r="BW72" s="16">
        <f t="shared" si="14"/>
        <v>0</v>
      </c>
      <c r="BX72" s="90"/>
      <c r="BY72" s="90"/>
      <c r="BZ72" s="90"/>
      <c r="CA72" s="116"/>
      <c r="CB72" s="16">
        <f t="shared" si="15"/>
        <v>0</v>
      </c>
      <c r="CC72" s="90"/>
      <c r="CD72" s="90"/>
      <c r="CE72" s="90"/>
      <c r="CF72" s="116"/>
      <c r="CG72" s="16">
        <f t="shared" si="16"/>
        <v>0</v>
      </c>
      <c r="CH72" s="90"/>
      <c r="CI72" s="90"/>
      <c r="CJ72" s="90"/>
      <c r="CK72" s="116"/>
      <c r="CL72" s="16">
        <f t="shared" si="17"/>
        <v>0</v>
      </c>
      <c r="CM72" s="90"/>
      <c r="CN72" s="90"/>
      <c r="CO72" s="90"/>
      <c r="CP72" s="116"/>
      <c r="CQ72" s="16">
        <f t="shared" si="18"/>
        <v>0</v>
      </c>
      <c r="CR72" s="90"/>
      <c r="CS72" s="90"/>
      <c r="CT72" s="90"/>
      <c r="CU72" s="116"/>
      <c r="CV72" s="16">
        <f t="shared" si="19"/>
        <v>0</v>
      </c>
      <c r="CW72" s="90"/>
      <c r="CX72" s="90"/>
      <c r="CY72" s="90"/>
      <c r="CZ72" s="116"/>
      <c r="DA72" s="16">
        <f t="shared" si="20"/>
        <v>0</v>
      </c>
      <c r="DB72" s="90"/>
      <c r="DC72" s="90"/>
      <c r="DD72" s="90"/>
      <c r="DE72" s="116"/>
      <c r="DF72" s="16">
        <f t="shared" si="21"/>
        <v>0</v>
      </c>
      <c r="DG72" s="90"/>
      <c r="DH72" s="90"/>
      <c r="DI72" s="90"/>
      <c r="DJ72" s="116"/>
      <c r="DK72" s="16">
        <f t="shared" si="22"/>
        <v>0</v>
      </c>
      <c r="DL72" s="90"/>
      <c r="DM72" s="90"/>
      <c r="DN72" s="90"/>
      <c r="DO72" s="116"/>
      <c r="DP72" s="16">
        <f t="shared" si="23"/>
        <v>0</v>
      </c>
      <c r="DQ72" s="90"/>
      <c r="DR72" s="90"/>
      <c r="DS72" s="90"/>
      <c r="DT72" s="116"/>
      <c r="DU72" s="16">
        <f t="shared" si="24"/>
        <v>0</v>
      </c>
      <c r="DV72" s="90"/>
      <c r="DW72" s="90"/>
      <c r="DX72" s="90"/>
      <c r="DY72" s="116"/>
      <c r="DZ72" s="16">
        <f t="shared" si="25"/>
        <v>0</v>
      </c>
      <c r="EA72" s="90"/>
      <c r="EB72" s="90"/>
      <c r="EC72" s="90"/>
      <c r="ED72" s="116"/>
      <c r="EE72" s="16">
        <f t="shared" si="26"/>
        <v>0</v>
      </c>
      <c r="EF72" s="90"/>
      <c r="EG72" s="90"/>
      <c r="EH72" s="90"/>
      <c r="EI72" s="116"/>
      <c r="EJ72" s="16">
        <f t="shared" si="27"/>
        <v>0</v>
      </c>
      <c r="EK72" s="90"/>
      <c r="EL72" s="90"/>
      <c r="EM72" s="90"/>
      <c r="EN72" s="116"/>
      <c r="EO72" s="16">
        <f t="shared" si="28"/>
        <v>0</v>
      </c>
      <c r="EP72" s="90"/>
      <c r="EQ72" s="90"/>
      <c r="ER72" s="90"/>
      <c r="ES72" s="116"/>
      <c r="ET72" s="16">
        <f t="shared" si="29"/>
        <v>0</v>
      </c>
      <c r="EU72" s="90"/>
      <c r="EV72" s="90"/>
      <c r="EW72" s="90"/>
      <c r="EX72" s="116"/>
      <c r="EY72" s="16">
        <f t="shared" si="30"/>
        <v>0</v>
      </c>
      <c r="EZ72" s="90"/>
      <c r="FA72" s="90"/>
      <c r="FB72" s="90"/>
      <c r="FC72" s="116"/>
      <c r="FD72" s="16">
        <f t="shared" si="31"/>
        <v>0</v>
      </c>
      <c r="FE72" s="90"/>
      <c r="FF72" s="90"/>
      <c r="FG72" s="90"/>
      <c r="FH72" s="116"/>
      <c r="FI72" s="16">
        <f t="shared" si="50"/>
        <v>0</v>
      </c>
      <c r="FJ72" s="90"/>
      <c r="FK72" s="90"/>
      <c r="FL72" s="90"/>
      <c r="FM72" s="116"/>
      <c r="FN72" s="16">
        <f t="shared" si="32"/>
        <v>0</v>
      </c>
      <c r="FO72" s="90"/>
      <c r="FP72" s="90"/>
      <c r="FQ72" s="90"/>
      <c r="FR72" s="116"/>
      <c r="FS72" s="16">
        <f t="shared" si="33"/>
        <v>0</v>
      </c>
      <c r="FT72" s="90"/>
      <c r="FU72" s="90"/>
      <c r="FV72" s="90"/>
      <c r="FW72" s="116"/>
      <c r="FX72" s="16">
        <f t="shared" si="34"/>
        <v>0</v>
      </c>
      <c r="FY72" s="90"/>
      <c r="FZ72" s="90"/>
      <c r="GA72" s="90"/>
      <c r="GB72" s="116"/>
      <c r="GC72" s="16">
        <f t="shared" si="35"/>
        <v>0</v>
      </c>
      <c r="GD72" s="90"/>
      <c r="GE72" s="90"/>
      <c r="GF72" s="90"/>
      <c r="GG72" s="116"/>
      <c r="GH72" s="16">
        <f t="shared" si="36"/>
        <v>0</v>
      </c>
      <c r="GI72" s="90"/>
      <c r="GJ72" s="90"/>
      <c r="GK72" s="90"/>
      <c r="GL72" s="116"/>
      <c r="GM72" s="16">
        <f t="shared" si="37"/>
        <v>0</v>
      </c>
      <c r="GN72" s="90"/>
      <c r="GO72" s="90"/>
      <c r="GP72" s="90"/>
      <c r="GQ72" s="116"/>
      <c r="GR72" s="16">
        <f t="shared" si="38"/>
        <v>0</v>
      </c>
      <c r="GS72" s="90"/>
      <c r="GT72" s="90"/>
      <c r="GU72" s="90"/>
      <c r="GV72" s="116"/>
      <c r="GW72" s="16">
        <f t="shared" si="39"/>
        <v>0</v>
      </c>
      <c r="GX72" s="90"/>
      <c r="GY72" s="90"/>
      <c r="GZ72" s="90"/>
      <c r="HA72" s="116"/>
      <c r="HB72" s="16">
        <f t="shared" si="40"/>
        <v>0</v>
      </c>
      <c r="HC72" s="90"/>
      <c r="HD72" s="90"/>
      <c r="HE72" s="90"/>
      <c r="HF72" s="116"/>
      <c r="HG72" s="16">
        <f t="shared" si="41"/>
        <v>0</v>
      </c>
      <c r="HH72" s="90"/>
      <c r="HI72" s="90"/>
      <c r="HJ72" s="90"/>
      <c r="HK72" s="116"/>
      <c r="HL72" s="16">
        <f t="shared" si="42"/>
        <v>0</v>
      </c>
      <c r="HM72" s="90"/>
      <c r="HN72" s="90"/>
      <c r="HO72" s="90"/>
      <c r="HP72" s="116"/>
      <c r="HQ72" s="16">
        <f t="shared" si="43"/>
        <v>0</v>
      </c>
      <c r="HR72" s="90"/>
      <c r="HS72" s="90"/>
      <c r="HT72" s="90"/>
      <c r="HU72" s="116"/>
      <c r="HV72" s="16">
        <f t="shared" si="44"/>
        <v>0</v>
      </c>
      <c r="HW72" s="90"/>
      <c r="HX72" s="90"/>
      <c r="HY72" s="90"/>
      <c r="HZ72" s="116"/>
      <c r="IA72" s="16">
        <f t="shared" si="45"/>
        <v>0</v>
      </c>
      <c r="IB72" s="90"/>
      <c r="IC72" s="90"/>
      <c r="ID72" s="90"/>
      <c r="IE72" s="116"/>
      <c r="IF72" s="16">
        <f t="shared" si="46"/>
        <v>0</v>
      </c>
      <c r="IG72" s="90"/>
      <c r="IH72" s="90"/>
      <c r="II72" s="90"/>
      <c r="IJ72" s="116"/>
      <c r="IK72" s="16">
        <f t="shared" si="47"/>
        <v>0</v>
      </c>
      <c r="IL72" s="90"/>
      <c r="IM72" s="90"/>
      <c r="IN72" s="90"/>
      <c r="IO72" s="116"/>
      <c r="IP72" s="16">
        <f t="shared" si="48"/>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49"/>
        <v>0</v>
      </c>
      <c r="BD73" s="90"/>
      <c r="BE73" s="90"/>
      <c r="BF73" s="90"/>
      <c r="BG73" s="116"/>
      <c r="BH73" s="16">
        <f t="shared" si="11"/>
        <v>0</v>
      </c>
      <c r="BI73" s="90"/>
      <c r="BJ73" s="90"/>
      <c r="BK73" s="90"/>
      <c r="BL73" s="116"/>
      <c r="BM73" s="16">
        <f t="shared" si="12"/>
        <v>0</v>
      </c>
      <c r="BN73" s="90"/>
      <c r="BO73" s="90"/>
      <c r="BP73" s="90"/>
      <c r="BQ73" s="116"/>
      <c r="BR73" s="16">
        <f t="shared" si="13"/>
        <v>0</v>
      </c>
      <c r="BS73" s="90"/>
      <c r="BT73" s="90"/>
      <c r="BU73" s="90"/>
      <c r="BV73" s="116"/>
      <c r="BW73" s="16">
        <f t="shared" si="14"/>
        <v>0</v>
      </c>
      <c r="BX73" s="90"/>
      <c r="BY73" s="90"/>
      <c r="BZ73" s="90"/>
      <c r="CA73" s="116"/>
      <c r="CB73" s="16">
        <f t="shared" si="15"/>
        <v>0</v>
      </c>
      <c r="CC73" s="90"/>
      <c r="CD73" s="90"/>
      <c r="CE73" s="90"/>
      <c r="CF73" s="116"/>
      <c r="CG73" s="16">
        <f t="shared" si="16"/>
        <v>0</v>
      </c>
      <c r="CH73" s="90"/>
      <c r="CI73" s="90"/>
      <c r="CJ73" s="90"/>
      <c r="CK73" s="116"/>
      <c r="CL73" s="16">
        <f t="shared" si="17"/>
        <v>0</v>
      </c>
      <c r="CM73" s="90"/>
      <c r="CN73" s="90"/>
      <c r="CO73" s="90"/>
      <c r="CP73" s="116"/>
      <c r="CQ73" s="16">
        <f t="shared" si="18"/>
        <v>0</v>
      </c>
      <c r="CR73" s="90"/>
      <c r="CS73" s="90"/>
      <c r="CT73" s="90"/>
      <c r="CU73" s="116"/>
      <c r="CV73" s="16">
        <f t="shared" si="19"/>
        <v>0</v>
      </c>
      <c r="CW73" s="90"/>
      <c r="CX73" s="90"/>
      <c r="CY73" s="90"/>
      <c r="CZ73" s="116"/>
      <c r="DA73" s="16">
        <f t="shared" si="20"/>
        <v>0</v>
      </c>
      <c r="DB73" s="90"/>
      <c r="DC73" s="90"/>
      <c r="DD73" s="90"/>
      <c r="DE73" s="116"/>
      <c r="DF73" s="16">
        <f t="shared" si="21"/>
        <v>0</v>
      </c>
      <c r="DG73" s="90"/>
      <c r="DH73" s="90"/>
      <c r="DI73" s="90"/>
      <c r="DJ73" s="116"/>
      <c r="DK73" s="16">
        <f t="shared" si="22"/>
        <v>0</v>
      </c>
      <c r="DL73" s="90"/>
      <c r="DM73" s="90"/>
      <c r="DN73" s="90"/>
      <c r="DO73" s="116"/>
      <c r="DP73" s="16">
        <f t="shared" si="23"/>
        <v>0</v>
      </c>
      <c r="DQ73" s="90"/>
      <c r="DR73" s="90"/>
      <c r="DS73" s="90"/>
      <c r="DT73" s="116"/>
      <c r="DU73" s="16">
        <f t="shared" si="24"/>
        <v>0</v>
      </c>
      <c r="DV73" s="90"/>
      <c r="DW73" s="90"/>
      <c r="DX73" s="90"/>
      <c r="DY73" s="116"/>
      <c r="DZ73" s="16">
        <f t="shared" si="25"/>
        <v>0</v>
      </c>
      <c r="EA73" s="90"/>
      <c r="EB73" s="90"/>
      <c r="EC73" s="90"/>
      <c r="ED73" s="116"/>
      <c r="EE73" s="16">
        <f t="shared" si="26"/>
        <v>0</v>
      </c>
      <c r="EF73" s="90"/>
      <c r="EG73" s="90"/>
      <c r="EH73" s="90"/>
      <c r="EI73" s="116"/>
      <c r="EJ73" s="16">
        <f t="shared" si="27"/>
        <v>0</v>
      </c>
      <c r="EK73" s="90"/>
      <c r="EL73" s="90"/>
      <c r="EM73" s="90"/>
      <c r="EN73" s="116"/>
      <c r="EO73" s="16">
        <f t="shared" si="28"/>
        <v>0</v>
      </c>
      <c r="EP73" s="90"/>
      <c r="EQ73" s="90"/>
      <c r="ER73" s="90"/>
      <c r="ES73" s="116"/>
      <c r="ET73" s="16">
        <f t="shared" si="29"/>
        <v>0</v>
      </c>
      <c r="EU73" s="90"/>
      <c r="EV73" s="90"/>
      <c r="EW73" s="90"/>
      <c r="EX73" s="116"/>
      <c r="EY73" s="16">
        <f t="shared" si="30"/>
        <v>0</v>
      </c>
      <c r="EZ73" s="90"/>
      <c r="FA73" s="90"/>
      <c r="FB73" s="90"/>
      <c r="FC73" s="116"/>
      <c r="FD73" s="16">
        <f t="shared" si="31"/>
        <v>0</v>
      </c>
      <c r="FE73" s="90"/>
      <c r="FF73" s="90"/>
      <c r="FG73" s="90"/>
      <c r="FH73" s="116"/>
      <c r="FI73" s="16">
        <f t="shared" si="50"/>
        <v>0</v>
      </c>
      <c r="FJ73" s="90"/>
      <c r="FK73" s="90"/>
      <c r="FL73" s="90"/>
      <c r="FM73" s="116"/>
      <c r="FN73" s="16">
        <f t="shared" si="32"/>
        <v>0</v>
      </c>
      <c r="FO73" s="90"/>
      <c r="FP73" s="90"/>
      <c r="FQ73" s="90"/>
      <c r="FR73" s="116"/>
      <c r="FS73" s="16">
        <f t="shared" si="33"/>
        <v>0</v>
      </c>
      <c r="FT73" s="90"/>
      <c r="FU73" s="90"/>
      <c r="FV73" s="90"/>
      <c r="FW73" s="116"/>
      <c r="FX73" s="16">
        <f t="shared" si="34"/>
        <v>0</v>
      </c>
      <c r="FY73" s="90"/>
      <c r="FZ73" s="90"/>
      <c r="GA73" s="90"/>
      <c r="GB73" s="116"/>
      <c r="GC73" s="16">
        <f t="shared" si="35"/>
        <v>0</v>
      </c>
      <c r="GD73" s="90"/>
      <c r="GE73" s="90"/>
      <c r="GF73" s="90"/>
      <c r="GG73" s="116"/>
      <c r="GH73" s="16">
        <f t="shared" si="36"/>
        <v>0</v>
      </c>
      <c r="GI73" s="90"/>
      <c r="GJ73" s="90"/>
      <c r="GK73" s="90"/>
      <c r="GL73" s="116"/>
      <c r="GM73" s="16">
        <f t="shared" si="37"/>
        <v>0</v>
      </c>
      <c r="GN73" s="90"/>
      <c r="GO73" s="90"/>
      <c r="GP73" s="90"/>
      <c r="GQ73" s="116"/>
      <c r="GR73" s="16">
        <f t="shared" si="38"/>
        <v>0</v>
      </c>
      <c r="GS73" s="90"/>
      <c r="GT73" s="90"/>
      <c r="GU73" s="90"/>
      <c r="GV73" s="116"/>
      <c r="GW73" s="16">
        <f t="shared" si="39"/>
        <v>0</v>
      </c>
      <c r="GX73" s="90"/>
      <c r="GY73" s="90"/>
      <c r="GZ73" s="90"/>
      <c r="HA73" s="116"/>
      <c r="HB73" s="16">
        <f t="shared" si="40"/>
        <v>0</v>
      </c>
      <c r="HC73" s="90"/>
      <c r="HD73" s="90"/>
      <c r="HE73" s="90"/>
      <c r="HF73" s="116"/>
      <c r="HG73" s="16">
        <f t="shared" si="41"/>
        <v>0</v>
      </c>
      <c r="HH73" s="90"/>
      <c r="HI73" s="90"/>
      <c r="HJ73" s="90"/>
      <c r="HK73" s="116"/>
      <c r="HL73" s="16">
        <f t="shared" si="42"/>
        <v>0</v>
      </c>
      <c r="HM73" s="90"/>
      <c r="HN73" s="90"/>
      <c r="HO73" s="90"/>
      <c r="HP73" s="116"/>
      <c r="HQ73" s="16">
        <f t="shared" si="43"/>
        <v>0</v>
      </c>
      <c r="HR73" s="90"/>
      <c r="HS73" s="90"/>
      <c r="HT73" s="90"/>
      <c r="HU73" s="116"/>
      <c r="HV73" s="16">
        <f t="shared" si="44"/>
        <v>0</v>
      </c>
      <c r="HW73" s="90"/>
      <c r="HX73" s="90"/>
      <c r="HY73" s="90"/>
      <c r="HZ73" s="116"/>
      <c r="IA73" s="16">
        <f t="shared" si="45"/>
        <v>0</v>
      </c>
      <c r="IB73" s="90"/>
      <c r="IC73" s="90"/>
      <c r="ID73" s="90"/>
      <c r="IE73" s="116"/>
      <c r="IF73" s="16">
        <f t="shared" si="46"/>
        <v>0</v>
      </c>
      <c r="IG73" s="90"/>
      <c r="IH73" s="90"/>
      <c r="II73" s="90"/>
      <c r="IJ73" s="116"/>
      <c r="IK73" s="16">
        <f t="shared" si="47"/>
        <v>0</v>
      </c>
      <c r="IL73" s="90"/>
      <c r="IM73" s="90"/>
      <c r="IN73" s="90"/>
      <c r="IO73" s="116"/>
      <c r="IP73" s="16">
        <f t="shared" si="48"/>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49"/>
        <v>0</v>
      </c>
      <c r="BD74" s="90"/>
      <c r="BE74" s="90"/>
      <c r="BF74" s="90"/>
      <c r="BG74" s="116"/>
      <c r="BH74" s="16">
        <f t="shared" si="11"/>
        <v>0</v>
      </c>
      <c r="BI74" s="90"/>
      <c r="BJ74" s="90"/>
      <c r="BK74" s="90"/>
      <c r="BL74" s="116"/>
      <c r="BM74" s="16">
        <f t="shared" si="12"/>
        <v>0</v>
      </c>
      <c r="BN74" s="90"/>
      <c r="BO74" s="90"/>
      <c r="BP74" s="90"/>
      <c r="BQ74" s="116"/>
      <c r="BR74" s="16">
        <f t="shared" si="13"/>
        <v>0</v>
      </c>
      <c r="BS74" s="90"/>
      <c r="BT74" s="90"/>
      <c r="BU74" s="90"/>
      <c r="BV74" s="116"/>
      <c r="BW74" s="16">
        <f t="shared" si="14"/>
        <v>0</v>
      </c>
      <c r="BX74" s="90"/>
      <c r="BY74" s="90"/>
      <c r="BZ74" s="90"/>
      <c r="CA74" s="116"/>
      <c r="CB74" s="16">
        <f t="shared" si="15"/>
        <v>0</v>
      </c>
      <c r="CC74" s="90"/>
      <c r="CD74" s="90"/>
      <c r="CE74" s="90"/>
      <c r="CF74" s="116"/>
      <c r="CG74" s="16">
        <f t="shared" si="16"/>
        <v>0</v>
      </c>
      <c r="CH74" s="90"/>
      <c r="CI74" s="90"/>
      <c r="CJ74" s="90"/>
      <c r="CK74" s="116"/>
      <c r="CL74" s="16">
        <f t="shared" si="17"/>
        <v>0</v>
      </c>
      <c r="CM74" s="90"/>
      <c r="CN74" s="90"/>
      <c r="CO74" s="90"/>
      <c r="CP74" s="116"/>
      <c r="CQ74" s="16">
        <f t="shared" si="18"/>
        <v>0</v>
      </c>
      <c r="CR74" s="90"/>
      <c r="CS74" s="90"/>
      <c r="CT74" s="90"/>
      <c r="CU74" s="116"/>
      <c r="CV74" s="16">
        <f t="shared" si="19"/>
        <v>0</v>
      </c>
      <c r="CW74" s="90"/>
      <c r="CX74" s="90"/>
      <c r="CY74" s="90"/>
      <c r="CZ74" s="116"/>
      <c r="DA74" s="16">
        <f t="shared" si="20"/>
        <v>0</v>
      </c>
      <c r="DB74" s="90"/>
      <c r="DC74" s="90"/>
      <c r="DD74" s="90"/>
      <c r="DE74" s="116"/>
      <c r="DF74" s="16">
        <f t="shared" si="21"/>
        <v>0</v>
      </c>
      <c r="DG74" s="90"/>
      <c r="DH74" s="90"/>
      <c r="DI74" s="90"/>
      <c r="DJ74" s="116"/>
      <c r="DK74" s="16">
        <f t="shared" si="22"/>
        <v>0</v>
      </c>
      <c r="DL74" s="90"/>
      <c r="DM74" s="90"/>
      <c r="DN74" s="90"/>
      <c r="DO74" s="116"/>
      <c r="DP74" s="16">
        <f t="shared" si="23"/>
        <v>0</v>
      </c>
      <c r="DQ74" s="90"/>
      <c r="DR74" s="90"/>
      <c r="DS74" s="90"/>
      <c r="DT74" s="116"/>
      <c r="DU74" s="16">
        <f t="shared" si="24"/>
        <v>0</v>
      </c>
      <c r="DV74" s="90"/>
      <c r="DW74" s="90"/>
      <c r="DX74" s="90"/>
      <c r="DY74" s="116"/>
      <c r="DZ74" s="16">
        <f t="shared" si="25"/>
        <v>0</v>
      </c>
      <c r="EA74" s="90"/>
      <c r="EB74" s="90"/>
      <c r="EC74" s="90"/>
      <c r="ED74" s="116"/>
      <c r="EE74" s="16">
        <f t="shared" si="26"/>
        <v>0</v>
      </c>
      <c r="EF74" s="90"/>
      <c r="EG74" s="90"/>
      <c r="EH74" s="90"/>
      <c r="EI74" s="116"/>
      <c r="EJ74" s="16">
        <f t="shared" si="27"/>
        <v>0</v>
      </c>
      <c r="EK74" s="90"/>
      <c r="EL74" s="90"/>
      <c r="EM74" s="90"/>
      <c r="EN74" s="116"/>
      <c r="EO74" s="16">
        <f t="shared" si="28"/>
        <v>0</v>
      </c>
      <c r="EP74" s="90"/>
      <c r="EQ74" s="90"/>
      <c r="ER74" s="90"/>
      <c r="ES74" s="116"/>
      <c r="ET74" s="16">
        <f t="shared" si="29"/>
        <v>0</v>
      </c>
      <c r="EU74" s="90"/>
      <c r="EV74" s="90"/>
      <c r="EW74" s="90"/>
      <c r="EX74" s="116"/>
      <c r="EY74" s="16">
        <f t="shared" si="30"/>
        <v>0</v>
      </c>
      <c r="EZ74" s="90"/>
      <c r="FA74" s="90"/>
      <c r="FB74" s="90"/>
      <c r="FC74" s="116"/>
      <c r="FD74" s="16">
        <f t="shared" si="31"/>
        <v>0</v>
      </c>
      <c r="FE74" s="90"/>
      <c r="FF74" s="90"/>
      <c r="FG74" s="90"/>
      <c r="FH74" s="116"/>
      <c r="FI74" s="16">
        <f t="shared" si="50"/>
        <v>0</v>
      </c>
      <c r="FJ74" s="90"/>
      <c r="FK74" s="90"/>
      <c r="FL74" s="90"/>
      <c r="FM74" s="116"/>
      <c r="FN74" s="16">
        <f t="shared" si="32"/>
        <v>0</v>
      </c>
      <c r="FO74" s="90"/>
      <c r="FP74" s="90"/>
      <c r="FQ74" s="90"/>
      <c r="FR74" s="116"/>
      <c r="FS74" s="16">
        <f t="shared" si="33"/>
        <v>0</v>
      </c>
      <c r="FT74" s="90"/>
      <c r="FU74" s="90"/>
      <c r="FV74" s="90"/>
      <c r="FW74" s="116"/>
      <c r="FX74" s="16">
        <f t="shared" si="34"/>
        <v>0</v>
      </c>
      <c r="FY74" s="90"/>
      <c r="FZ74" s="90"/>
      <c r="GA74" s="90"/>
      <c r="GB74" s="116"/>
      <c r="GC74" s="16">
        <f t="shared" si="35"/>
        <v>0</v>
      </c>
      <c r="GD74" s="90"/>
      <c r="GE74" s="90"/>
      <c r="GF74" s="90"/>
      <c r="GG74" s="116"/>
      <c r="GH74" s="16">
        <f t="shared" si="36"/>
        <v>0</v>
      </c>
      <c r="GI74" s="90"/>
      <c r="GJ74" s="90"/>
      <c r="GK74" s="90"/>
      <c r="GL74" s="116"/>
      <c r="GM74" s="16">
        <f t="shared" si="37"/>
        <v>0</v>
      </c>
      <c r="GN74" s="90"/>
      <c r="GO74" s="90"/>
      <c r="GP74" s="90"/>
      <c r="GQ74" s="116"/>
      <c r="GR74" s="16">
        <f t="shared" si="38"/>
        <v>0</v>
      </c>
      <c r="GS74" s="90"/>
      <c r="GT74" s="90"/>
      <c r="GU74" s="90"/>
      <c r="GV74" s="116"/>
      <c r="GW74" s="16">
        <f t="shared" si="39"/>
        <v>0</v>
      </c>
      <c r="GX74" s="90"/>
      <c r="GY74" s="90"/>
      <c r="GZ74" s="90"/>
      <c r="HA74" s="116"/>
      <c r="HB74" s="16">
        <f t="shared" si="40"/>
        <v>0</v>
      </c>
      <c r="HC74" s="90"/>
      <c r="HD74" s="90"/>
      <c r="HE74" s="90"/>
      <c r="HF74" s="116"/>
      <c r="HG74" s="16">
        <f t="shared" si="41"/>
        <v>0</v>
      </c>
      <c r="HH74" s="90"/>
      <c r="HI74" s="90"/>
      <c r="HJ74" s="90"/>
      <c r="HK74" s="116"/>
      <c r="HL74" s="16">
        <f t="shared" si="42"/>
        <v>0</v>
      </c>
      <c r="HM74" s="90"/>
      <c r="HN74" s="90"/>
      <c r="HO74" s="90"/>
      <c r="HP74" s="116"/>
      <c r="HQ74" s="16">
        <f t="shared" si="43"/>
        <v>0</v>
      </c>
      <c r="HR74" s="90"/>
      <c r="HS74" s="90"/>
      <c r="HT74" s="90"/>
      <c r="HU74" s="116"/>
      <c r="HV74" s="16">
        <f t="shared" si="44"/>
        <v>0</v>
      </c>
      <c r="HW74" s="90"/>
      <c r="HX74" s="90"/>
      <c r="HY74" s="90"/>
      <c r="HZ74" s="116"/>
      <c r="IA74" s="16">
        <f t="shared" si="45"/>
        <v>0</v>
      </c>
      <c r="IB74" s="90"/>
      <c r="IC74" s="90"/>
      <c r="ID74" s="90"/>
      <c r="IE74" s="116"/>
      <c r="IF74" s="16">
        <f t="shared" si="46"/>
        <v>0</v>
      </c>
      <c r="IG74" s="90"/>
      <c r="IH74" s="90"/>
      <c r="II74" s="90"/>
      <c r="IJ74" s="116"/>
      <c r="IK74" s="16">
        <f t="shared" si="47"/>
        <v>0</v>
      </c>
      <c r="IL74" s="90"/>
      <c r="IM74" s="90"/>
      <c r="IN74" s="90"/>
      <c r="IO74" s="116"/>
      <c r="IP74" s="16">
        <f t="shared" si="48"/>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579" priority="197">
      <formula>IF(A25&gt;0,A25&lt;20)</formula>
    </cfRule>
  </conditionalFormatting>
  <conditionalFormatting sqref="F20:F208">
    <cfRule type="expression" dxfId="1578" priority="78">
      <formula>IF(F20&gt;0,F20&lt;20)</formula>
    </cfRule>
  </conditionalFormatting>
  <conditionalFormatting sqref="K22:K208">
    <cfRule type="expression" dxfId="1577" priority="77">
      <formula>IF(K22&gt;0,K22&lt;20)</formula>
    </cfRule>
  </conditionalFormatting>
  <conditionalFormatting sqref="P14:P208">
    <cfRule type="expression" dxfId="1576" priority="76">
      <formula>IF(P14&gt;0,P14&lt;20)</formula>
    </cfRule>
  </conditionalFormatting>
  <conditionalFormatting sqref="U22:U208">
    <cfRule type="expression" dxfId="1575" priority="75">
      <formula>IF(U22&gt;0,U22&lt;20)</formula>
    </cfRule>
  </conditionalFormatting>
  <conditionalFormatting sqref="Z17:Z208">
    <cfRule type="expression" dxfId="1574" priority="74">
      <formula>IF(Z17&gt;0,Z17&lt;20)</formula>
    </cfRule>
  </conditionalFormatting>
  <conditionalFormatting sqref="AE15:AE208">
    <cfRule type="expression" dxfId="1573" priority="73">
      <formula>IF(AE15&gt;0,AE15&lt;20)</formula>
    </cfRule>
  </conditionalFormatting>
  <conditionalFormatting sqref="AJ25:AJ208">
    <cfRule type="expression" dxfId="1572" priority="72">
      <formula>IF(AJ25&gt;0,AJ25&lt;20)</formula>
    </cfRule>
  </conditionalFormatting>
  <conditionalFormatting sqref="AO16:AO208">
    <cfRule type="expression" dxfId="1571" priority="71">
      <formula>IF(AO16&gt;0,AO16&lt;20)</formula>
    </cfRule>
  </conditionalFormatting>
  <conditionalFormatting sqref="AT14:AT208">
    <cfRule type="expression" dxfId="1570" priority="70">
      <formula>IF(AT14&gt;0,AT14&lt;20)</formula>
    </cfRule>
  </conditionalFormatting>
  <conditionalFormatting sqref="AY9:AY208">
    <cfRule type="expression" dxfId="1569" priority="69">
      <formula>IF(AY9&gt;0,AY9&lt;20)</formula>
    </cfRule>
  </conditionalFormatting>
  <conditionalFormatting sqref="BD9:BD208">
    <cfRule type="expression" dxfId="1568" priority="68">
      <formula>IF(BD9&gt;0,BD9&lt;20)</formula>
    </cfRule>
  </conditionalFormatting>
  <conditionalFormatting sqref="BI9:BI208">
    <cfRule type="expression" dxfId="1567" priority="67">
      <formula>IF(BI9&gt;0,BI9&lt;20)</formula>
    </cfRule>
  </conditionalFormatting>
  <conditionalFormatting sqref="BN9:BN208">
    <cfRule type="expression" dxfId="1566" priority="66">
      <formula>IF(BN9&gt;0,BN9&lt;20)</formula>
    </cfRule>
  </conditionalFormatting>
  <conditionalFormatting sqref="BS9:BS208">
    <cfRule type="expression" dxfId="1565" priority="65">
      <formula>IF(BS9&gt;0,BS9&lt;20)</formula>
    </cfRule>
  </conditionalFormatting>
  <conditionalFormatting sqref="BX9:BX208">
    <cfRule type="expression" dxfId="1564" priority="64">
      <formula>IF(BX9&gt;0,BX9&lt;20)</formula>
    </cfRule>
  </conditionalFormatting>
  <conditionalFormatting sqref="CC9:CC208">
    <cfRule type="expression" dxfId="1563" priority="63">
      <formula>IF(CC9&gt;0,CC9&lt;20)</formula>
    </cfRule>
  </conditionalFormatting>
  <conditionalFormatting sqref="CH9:CH208">
    <cfRule type="expression" dxfId="1562" priority="62">
      <formula>IF(CH9&gt;0,CH9&lt;20)</formula>
    </cfRule>
  </conditionalFormatting>
  <conditionalFormatting sqref="CM9:CM208">
    <cfRule type="expression" dxfId="1561" priority="61">
      <formula>IF(CM9&gt;0,CM9&lt;20)</formula>
    </cfRule>
  </conditionalFormatting>
  <conditionalFormatting sqref="CR9:CR208">
    <cfRule type="expression" dxfId="1560" priority="60">
      <formula>IF(CR9&gt;0,CR9&lt;20)</formula>
    </cfRule>
  </conditionalFormatting>
  <conditionalFormatting sqref="CW9:CW208">
    <cfRule type="expression" dxfId="1559" priority="59">
      <formula>IF(CW9&gt;0,CW9&lt;20)</formula>
    </cfRule>
  </conditionalFormatting>
  <conditionalFormatting sqref="DB9:DB208">
    <cfRule type="expression" dxfId="1558" priority="58">
      <formula>IF(DB9&gt;0,DB9&lt;20)</formula>
    </cfRule>
  </conditionalFormatting>
  <conditionalFormatting sqref="DG9:DG208">
    <cfRule type="expression" dxfId="1557" priority="57">
      <formula>IF(DG9&gt;0,DG9&lt;20)</formula>
    </cfRule>
  </conditionalFormatting>
  <conditionalFormatting sqref="DL9:DL208">
    <cfRule type="expression" dxfId="1556" priority="56">
      <formula>IF(DL9&gt;0,DL9&lt;20)</formula>
    </cfRule>
  </conditionalFormatting>
  <conditionalFormatting sqref="DQ9:DQ208">
    <cfRule type="expression" dxfId="1555" priority="55">
      <formula>IF(DQ9&gt;0,DQ9&lt;20)</formula>
    </cfRule>
  </conditionalFormatting>
  <conditionalFormatting sqref="DV9:DV208">
    <cfRule type="expression" dxfId="1554" priority="54">
      <formula>IF(DV9&gt;0,DV9&lt;20)</formula>
    </cfRule>
  </conditionalFormatting>
  <conditionalFormatting sqref="EA9:EA208">
    <cfRule type="expression" dxfId="1553" priority="53">
      <formula>IF(EA9&gt;0,EA9&lt;20)</formula>
    </cfRule>
  </conditionalFormatting>
  <conditionalFormatting sqref="EF9:EF208">
    <cfRule type="expression" dxfId="1552" priority="52">
      <formula>IF(EF9&gt;0,EF9&lt;20)</formula>
    </cfRule>
  </conditionalFormatting>
  <conditionalFormatting sqref="EK9:EK208">
    <cfRule type="expression" dxfId="1551" priority="51">
      <formula>IF(EK9&gt;0,EK9&lt;20)</formula>
    </cfRule>
  </conditionalFormatting>
  <conditionalFormatting sqref="EP9:EP208">
    <cfRule type="expression" dxfId="1550" priority="50">
      <formula>IF(EP9&gt;0,EP9&lt;20)</formula>
    </cfRule>
  </conditionalFormatting>
  <conditionalFormatting sqref="EU9:EU10 EU17:EU208">
    <cfRule type="expression" dxfId="1549" priority="49">
      <formula>IF(EU9&gt;0,EU9&lt;20)</formula>
    </cfRule>
  </conditionalFormatting>
  <conditionalFormatting sqref="EZ9:EZ208">
    <cfRule type="expression" dxfId="1548" priority="48">
      <formula>IF(EZ9&gt;0,EZ9&lt;20)</formula>
    </cfRule>
  </conditionalFormatting>
  <conditionalFormatting sqref="FE9:FE208">
    <cfRule type="expression" dxfId="1547" priority="47">
      <formula>IF(FE9&gt;0,FE9&lt;20)</formula>
    </cfRule>
  </conditionalFormatting>
  <conditionalFormatting sqref="IL9:IL208">
    <cfRule type="expression" dxfId="1546" priority="30">
      <formula>IF(IL9&gt;0,IL9&lt;20)</formula>
    </cfRule>
  </conditionalFormatting>
  <conditionalFormatting sqref="FJ9:FJ208">
    <cfRule type="expression" dxfId="1545" priority="46">
      <formula>IF(FJ9&gt;0,FJ9&lt;20)</formula>
    </cfRule>
  </conditionalFormatting>
  <conditionalFormatting sqref="FO9:FO208">
    <cfRule type="expression" dxfId="1544" priority="45">
      <formula>IF(FO9&gt;0,FO9&lt;20)</formula>
    </cfRule>
  </conditionalFormatting>
  <conditionalFormatting sqref="FT9:FT208">
    <cfRule type="expression" dxfId="1543" priority="44">
      <formula>IF(FT9&gt;0,FT9&lt;20)</formula>
    </cfRule>
  </conditionalFormatting>
  <conditionalFormatting sqref="FY9:FY208">
    <cfRule type="expression" dxfId="1542" priority="43">
      <formula>IF(FY9&gt;0,FY9&lt;20)</formula>
    </cfRule>
  </conditionalFormatting>
  <conditionalFormatting sqref="GD9:GD208">
    <cfRule type="expression" dxfId="1541" priority="42">
      <formula>IF(GD9&gt;0,GD9&lt;20)</formula>
    </cfRule>
  </conditionalFormatting>
  <conditionalFormatting sqref="GI9:GI208">
    <cfRule type="expression" dxfId="1540" priority="41">
      <formula>IF(GI9&gt;0,GI9&lt;20)</formula>
    </cfRule>
  </conditionalFormatting>
  <conditionalFormatting sqref="GN9:GN208">
    <cfRule type="expression" dxfId="1539" priority="40">
      <formula>IF(GN9&gt;0,GN9&lt;20)</formula>
    </cfRule>
  </conditionalFormatting>
  <conditionalFormatting sqref="GS9:GS208">
    <cfRule type="expression" dxfId="1538" priority="39">
      <formula>IF(GS9&gt;0,GS9&lt;20)</formula>
    </cfRule>
  </conditionalFormatting>
  <conditionalFormatting sqref="GX9:GX208">
    <cfRule type="expression" dxfId="1537" priority="38">
      <formula>IF(GX9&gt;0,GX9&lt;20)</formula>
    </cfRule>
  </conditionalFormatting>
  <conditionalFormatting sqref="HC9:HC208">
    <cfRule type="expression" dxfId="1536" priority="37">
      <formula>IF(HC9&gt;0,HC9&lt;20)</formula>
    </cfRule>
  </conditionalFormatting>
  <conditionalFormatting sqref="HH9:HH208">
    <cfRule type="expression" dxfId="1535" priority="36">
      <formula>IF(HH9&gt;0,HH9&lt;20)</formula>
    </cfRule>
  </conditionalFormatting>
  <conditionalFormatting sqref="HM9:HM208">
    <cfRule type="expression" dxfId="1534" priority="35">
      <formula>IF(HM9&gt;0,HM9&lt;20)</formula>
    </cfRule>
  </conditionalFormatting>
  <conditionalFormatting sqref="HR9:HR208">
    <cfRule type="expression" dxfId="1533" priority="34">
      <formula>IF(HR9&gt;0,HR9&lt;20)</formula>
    </cfRule>
  </conditionalFormatting>
  <conditionalFormatting sqref="HW9:HW208">
    <cfRule type="expression" dxfId="1532" priority="33">
      <formula>IF(HW9&gt;0,HW9&lt;20)</formula>
    </cfRule>
  </conditionalFormatting>
  <conditionalFormatting sqref="IB9:IB208">
    <cfRule type="expression" dxfId="1531" priority="32">
      <formula>IF(IB9&gt;0,IB9&lt;20)</formula>
    </cfRule>
  </conditionalFormatting>
  <conditionalFormatting sqref="IG9:IG208">
    <cfRule type="expression" dxfId="1530" priority="31">
      <formula>IF(IG9&gt;0,IG9&lt;20)</formula>
    </cfRule>
  </conditionalFormatting>
  <conditionalFormatting sqref="A19:A24">
    <cfRule type="expression" dxfId="1529" priority="28">
      <formula>IF(A19&gt;0,A19&lt;20)</formula>
    </cfRule>
  </conditionalFormatting>
  <conditionalFormatting sqref="F12:F19">
    <cfRule type="expression" dxfId="1528" priority="27">
      <formula>IF(F12&gt;0,F12&lt;20)</formula>
    </cfRule>
  </conditionalFormatting>
  <conditionalFormatting sqref="K14:K21">
    <cfRule type="expression" dxfId="1527" priority="26">
      <formula>IF(K14&gt;0,K14&lt;20)</formula>
    </cfRule>
  </conditionalFormatting>
  <conditionalFormatting sqref="P12:P13">
    <cfRule type="expression" dxfId="1526" priority="24">
      <formula>IF(P12&gt;0,P12&lt;20)</formula>
    </cfRule>
  </conditionalFormatting>
  <conditionalFormatting sqref="U10:U21">
    <cfRule type="expression" dxfId="1525" priority="23">
      <formula>IF(U10&gt;0,U10&lt;20)</formula>
    </cfRule>
  </conditionalFormatting>
  <conditionalFormatting sqref="AJ11:AJ24">
    <cfRule type="expression" dxfId="1524" priority="20">
      <formula>IF(AJ11&gt;0,AJ11&lt;20)</formula>
    </cfRule>
  </conditionalFormatting>
  <conditionalFormatting sqref="F9:F11">
    <cfRule type="expression" dxfId="1523" priority="19">
      <formula>IF(F9&gt;0,F9&lt;20)</formula>
    </cfRule>
  </conditionalFormatting>
  <conditionalFormatting sqref="K13">
    <cfRule type="expression" dxfId="1522" priority="18">
      <formula>IF(K13&gt;0,K13&lt;20)</formula>
    </cfRule>
  </conditionalFormatting>
  <conditionalFormatting sqref="K9:K12">
    <cfRule type="expression" dxfId="1521" priority="17">
      <formula>IF(K9&gt;0,K9&lt;20)</formula>
    </cfRule>
  </conditionalFormatting>
  <conditionalFormatting sqref="P9:P11">
    <cfRule type="expression" dxfId="1520" priority="16">
      <formula>IF(P9&gt;0,P9&lt;20)</formula>
    </cfRule>
  </conditionalFormatting>
  <conditionalFormatting sqref="U9">
    <cfRule type="expression" dxfId="1519" priority="15">
      <formula>IF(U9&gt;0,U9&lt;20)</formula>
    </cfRule>
  </conditionalFormatting>
  <conditionalFormatting sqref="Z9:Z16">
    <cfRule type="expression" dxfId="1518" priority="14">
      <formula>IF(Z9&gt;0,Z9&lt;20)</formula>
    </cfRule>
  </conditionalFormatting>
  <conditionalFormatting sqref="AE13:AE14">
    <cfRule type="expression" dxfId="1517" priority="13">
      <formula>IF(AE13&gt;0,AE13&lt;20)</formula>
    </cfRule>
  </conditionalFormatting>
  <conditionalFormatting sqref="AE9:AE12">
    <cfRule type="expression" dxfId="1516" priority="12">
      <formula>IF(AE9&gt;0,AE9&lt;20)</formula>
    </cfRule>
  </conditionalFormatting>
  <conditionalFormatting sqref="AJ9:AJ10">
    <cfRule type="expression" dxfId="1515" priority="11">
      <formula>IF(AJ9&gt;0,AJ9&lt;20)</formula>
    </cfRule>
  </conditionalFormatting>
  <conditionalFormatting sqref="AO9:AO15">
    <cfRule type="expression" dxfId="1514" priority="10">
      <formula>IF(AO9&gt;0,AO9&lt;20)</formula>
    </cfRule>
  </conditionalFormatting>
  <conditionalFormatting sqref="AT9:AT13">
    <cfRule type="expression" dxfId="1513" priority="9">
      <formula>IF(AT9&gt;0,AT9&lt;20)</formula>
    </cfRule>
  </conditionalFormatting>
  <conditionalFormatting sqref="A9">
    <cfRule type="expression" dxfId="1512" priority="8">
      <formula>AND(A$9&lt;&gt;"",A$9&lt;20)</formula>
    </cfRule>
  </conditionalFormatting>
  <conditionalFormatting sqref="A10:A18">
    <cfRule type="expression" dxfId="1511" priority="7">
      <formula>AND(A10&lt;&gt;"",A10&lt;20)</formula>
    </cfRule>
  </conditionalFormatting>
  <conditionalFormatting sqref="K14">
    <cfRule type="expression" dxfId="1510" priority="6">
      <formula>IF(K14&gt;0,K14&lt;20)</formula>
    </cfRule>
  </conditionalFormatting>
  <conditionalFormatting sqref="P14">
    <cfRule type="expression" dxfId="1509" priority="5">
      <formula>IF(P14&gt;0,P14&lt;20)</formula>
    </cfRule>
  </conditionalFormatting>
  <conditionalFormatting sqref="K14">
    <cfRule type="expression" dxfId="1508" priority="4">
      <formula>IF(K14&gt;0,K14&lt;20)</formula>
    </cfRule>
  </conditionalFormatting>
  <conditionalFormatting sqref="K15">
    <cfRule type="expression" dxfId="1507" priority="3">
      <formula>IF(K15&gt;0,K15&lt;20)</formula>
    </cfRule>
  </conditionalFormatting>
  <conditionalFormatting sqref="DS9:DS23">
    <cfRule type="expression" dxfId="1506" priority="2">
      <formula>IF(DS9&gt;0,DS9&lt;20)</formula>
    </cfRule>
  </conditionalFormatting>
  <conditionalFormatting sqref="EU11:EU16">
    <cfRule type="expression" dxfId="1505" priority="1">
      <formula>IF(EU11&gt;0,EU11&lt;20)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746" zoomScaleNormal="100" workbookViewId="0">
      <selection activeCell="D757" sqref="D757"/>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8" t="s">
        <v>731</v>
      </c>
      <c r="D1" s="329"/>
      <c r="E1" s="88"/>
      <c r="F1" s="88"/>
      <c r="G1" s="89" t="s">
        <v>186</v>
      </c>
      <c r="H1" s="326" t="s">
        <v>733</v>
      </c>
      <c r="I1" s="327"/>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8" t="s">
        <v>732</v>
      </c>
      <c r="D2" s="329"/>
      <c r="E2" s="88"/>
      <c r="F2" s="88"/>
      <c r="G2" s="89" t="s">
        <v>207</v>
      </c>
      <c r="H2" s="326" t="s">
        <v>734</v>
      </c>
      <c r="I2" s="327"/>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FA_IMPORT_A02SNQQ</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312" t="s">
        <v>222</v>
      </c>
      <c r="C6" s="313"/>
      <c r="D6" s="314" t="s">
        <v>223</v>
      </c>
      <c r="E6" s="305"/>
      <c r="F6" s="88"/>
      <c r="G6" s="315" t="s">
        <v>224</v>
      </c>
      <c r="H6" s="316"/>
      <c r="I6" s="28">
        <f>SUM(E17:E41)</f>
        <v>108</v>
      </c>
      <c r="J6" s="317" t="s">
        <v>225</v>
      </c>
      <c r="K6" s="318"/>
      <c r="L6" s="305"/>
      <c r="M6" s="196">
        <v>2</v>
      </c>
      <c r="N6" s="35">
        <f>SUM(AI6,AI17)</f>
        <v>0</v>
      </c>
      <c r="O6" s="35">
        <v>0</v>
      </c>
      <c r="P6" s="35">
        <f>SUM(AJ6,AJ17)</f>
        <v>0</v>
      </c>
      <c r="Q6" s="35">
        <v>0</v>
      </c>
      <c r="R6" s="35">
        <f>COUNTIFS($E17:$E41,"2",$F17:$F41,"Pole",$C17:$C41,"FST")</f>
        <v>0</v>
      </c>
      <c r="S6" s="35">
        <f>SUM(AL6,AK17)</f>
        <v>0</v>
      </c>
      <c r="T6" s="35">
        <v>0</v>
      </c>
      <c r="U6" s="35">
        <f>SUM(AK6,AL17)</f>
        <v>1</v>
      </c>
      <c r="V6" s="35">
        <v>0</v>
      </c>
      <c r="W6" s="34">
        <f>COUNTIFS($E17:$E41,"2",$F17:$F41,"HH",$C17:$C41,"FST")</f>
        <v>1</v>
      </c>
      <c r="X6" s="35">
        <f>COUNTIFS($E17:$E41,"2",$F17:$F41,"Ped",$C17:$C41,"FST")</f>
        <v>0</v>
      </c>
      <c r="Y6" s="25"/>
      <c r="Z6" s="295" t="s">
        <v>226</v>
      </c>
      <c r="AA6" s="296"/>
      <c r="AB6" s="297"/>
      <c r="AC6" s="25"/>
      <c r="AD6" s="25"/>
      <c r="AH6" s="109">
        <v>2</v>
      </c>
      <c r="AI6" s="109" t="str">
        <f>IF($E7="SS",COUNTIFS($C17:$C41,"FST",$E17:$E41,"2"),"0")</f>
        <v>0</v>
      </c>
      <c r="AJ6" s="109" t="str">
        <f>IF($E7="RPX",COUNTIFS($C17:$C41,"FST",$E17:$E41,"2"),"0")</f>
        <v>0</v>
      </c>
      <c r="AK6" s="109">
        <f>IF($E7="EUC",COUNTIFS($C17:$C41,"FST",$E17:$E41,"2"),"0")</f>
        <v>1</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4" t="s">
        <v>230</v>
      </c>
      <c r="H7" s="305"/>
      <c r="I7" s="33">
        <f>E8-I6</f>
        <v>36</v>
      </c>
      <c r="J7" s="289" t="s">
        <v>231</v>
      </c>
      <c r="K7" s="290"/>
      <c r="L7" s="34">
        <f>I11</f>
        <v>757</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298" t="s">
        <v>232</v>
      </c>
      <c r="AA7" s="300" t="s">
        <v>233</v>
      </c>
      <c r="AB7" s="301"/>
      <c r="AC7" s="25"/>
      <c r="AD7" s="25"/>
      <c r="AH7" s="109">
        <v>4</v>
      </c>
      <c r="AI7" s="109" t="str">
        <f>IF($E7="SS",COUNTIFS($C17:$C41,"FST",$E17:$E41,"4"),"0")</f>
        <v>0</v>
      </c>
      <c r="AJ7" s="109" t="str">
        <f>IF($E7="RPX",COUNTIFS($C17:$C41,"FST",$E17:$E41,"4"),"0")</f>
        <v>0</v>
      </c>
      <c r="AK7" s="109">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144</v>
      </c>
      <c r="F8" s="88"/>
      <c r="G8" s="291" t="s">
        <v>237</v>
      </c>
      <c r="H8" s="292"/>
      <c r="I8" s="35">
        <f>IF(E8=0,0,12-(MOD(I6,12)))</f>
        <v>12</v>
      </c>
      <c r="J8" s="289" t="s">
        <v>238</v>
      </c>
      <c r="K8" s="290"/>
      <c r="L8" s="39">
        <f>I12-I6</f>
        <v>756</v>
      </c>
      <c r="M8" s="196">
        <v>6</v>
      </c>
      <c r="N8" s="35">
        <f>SUM(AI8,AI19)</f>
        <v>0</v>
      </c>
      <c r="O8" s="35">
        <v>0</v>
      </c>
      <c r="P8" s="35">
        <f>SUM(AJ8,AJ19)</f>
        <v>0</v>
      </c>
      <c r="Q8" s="35">
        <v>0</v>
      </c>
      <c r="R8" s="35">
        <f>COUNTIFS($E17:$E41,"6",$F17:$F41,"Pole",$C17:$C41,"FST")</f>
        <v>0</v>
      </c>
      <c r="S8" s="35">
        <f>SUM(AL8,AK19)</f>
        <v>0</v>
      </c>
      <c r="T8" s="35">
        <v>0</v>
      </c>
      <c r="U8" s="35">
        <f>SUM(AK8,AL19)</f>
        <v>1</v>
      </c>
      <c r="V8" s="35">
        <v>0</v>
      </c>
      <c r="W8" s="34">
        <f>COUNTIFS($E17:$E41,"6",$F17:$F41,"HH",$C17:$C41,"FST")</f>
        <v>1</v>
      </c>
      <c r="X8" s="35">
        <f>COUNTIFS($E17:$E41,"6",$F17:$F41,"Ped",$C17:$C41,"FST")</f>
        <v>0</v>
      </c>
      <c r="Y8" s="25"/>
      <c r="Z8" s="299"/>
      <c r="AA8" s="302"/>
      <c r="AB8" s="303"/>
      <c r="AC8" s="25"/>
      <c r="AD8" s="25"/>
      <c r="AH8" s="109">
        <v>6</v>
      </c>
      <c r="AI8" s="109" t="str">
        <f>IF($E7="SS",COUNTIFS($C17:$C41,"FST",$E17:$E41,"6"),"0")</f>
        <v>0</v>
      </c>
      <c r="AJ8" s="109" t="str">
        <f>IF($E7="RPX",COUNTIFS($C17:$C41,"FST",$E17:$E41,"6"),"0")</f>
        <v>0</v>
      </c>
      <c r="AK8" s="109">
        <f>IF($E7="EUC",COUNTIFS($C17:$C41,"FST",$E17:$E41,"6"),"0")</f>
        <v>1</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36</v>
      </c>
      <c r="F9" s="88"/>
      <c r="G9" s="321" t="s">
        <v>242</v>
      </c>
      <c r="H9" s="43" t="s">
        <v>243</v>
      </c>
      <c r="I9" s="35">
        <f>IF(E9&lt;&gt;0,1,0)</f>
        <v>1</v>
      </c>
      <c r="J9" s="291" t="s">
        <v>244</v>
      </c>
      <c r="K9" s="292"/>
      <c r="L9" s="44">
        <f>'Cable Calculator'!D3</f>
        <v>1872</v>
      </c>
      <c r="M9" s="196">
        <v>8</v>
      </c>
      <c r="N9" s="35">
        <f>SUM(AI9,AI20)</f>
        <v>0</v>
      </c>
      <c r="O9" s="35">
        <v>0</v>
      </c>
      <c r="P9" s="35">
        <f>SUM(AJ9,AJ20)</f>
        <v>0</v>
      </c>
      <c r="Q9" s="35">
        <v>0</v>
      </c>
      <c r="R9" s="35">
        <f>COUNTIFS($E17:$E41,"8",$F17:$F41,"Pole",$C17:$C41,"FST")</f>
        <v>0</v>
      </c>
      <c r="S9" s="35">
        <f>SUM(AL9,AK20)</f>
        <v>0</v>
      </c>
      <c r="T9" s="35">
        <v>0</v>
      </c>
      <c r="U9" s="35">
        <f>SUM(AK9,AL20)</f>
        <v>2</v>
      </c>
      <c r="V9" s="35">
        <v>0</v>
      </c>
      <c r="W9" s="34">
        <f>COUNTIFS($E17:$E41,"8",$F17:$F41,"HH",$C17:$C41,"FST")</f>
        <v>2</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2</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757</v>
      </c>
      <c r="F10" s="88"/>
      <c r="G10" s="322"/>
      <c r="H10" s="47" t="s">
        <v>248</v>
      </c>
      <c r="I10" s="35">
        <f>IF(E9&lt;&gt;0,E9,0)</f>
        <v>36</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0</v>
      </c>
      <c r="V10" s="35">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12</v>
      </c>
      <c r="F11" s="88"/>
      <c r="G11" s="321" t="s">
        <v>251</v>
      </c>
      <c r="H11" s="51" t="s">
        <v>252</v>
      </c>
      <c r="I11" s="112">
        <f>E10</f>
        <v>757</v>
      </c>
      <c r="J11" s="323" t="s">
        <v>253</v>
      </c>
      <c r="K11" s="324"/>
      <c r="L11" s="325"/>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2"/>
      <c r="H12" s="47" t="s">
        <v>257</v>
      </c>
      <c r="I12" s="35">
        <f>IF(E10="","0",IF(AND(E7="EUC",E8=432), I11+(203-E9),IF(E10=0,0,(E10+(E8-E9)-1))))</f>
        <v>864</v>
      </c>
      <c r="J12" s="285" t="str">
        <f>IFERROR(IF(OR(E7="EUC",E7="SS"),"---",IF(OR(P6,S6),"NO 2F Tethers for RPX!",IF(OR(P8,S8),"NO 6F Tethers for RPX!","---"))),"---")</f>
        <v>---</v>
      </c>
      <c r="K12" s="286"/>
      <c r="L12" s="287"/>
      <c r="M12" s="285" t="str">
        <f>IF(E9&gt;60,"Dead Count &gt;60: Consider Downsize","---")</f>
        <v>---</v>
      </c>
      <c r="N12" s="286"/>
      <c r="O12" s="286"/>
      <c r="P12" s="286"/>
      <c r="Q12" s="286"/>
      <c r="R12" s="286"/>
      <c r="S12" s="286"/>
      <c r="T12" s="286"/>
      <c r="U12" s="287"/>
      <c r="V12" s="100"/>
      <c r="W12" s="54">
        <f>SUM(P12:U12)</f>
        <v>0</v>
      </c>
      <c r="X12" s="54"/>
      <c r="Y12" s="25"/>
      <c r="Z12" s="45">
        <v>4</v>
      </c>
      <c r="AA12" s="46">
        <v>37</v>
      </c>
      <c r="AB12" s="46">
        <v>48</v>
      </c>
      <c r="AC12" s="25"/>
      <c r="AD12" s="25"/>
    </row>
    <row r="13" spans="1:53" ht="16.5" thickTop="1" thickBot="1" x14ac:dyDescent="0.3">
      <c r="A13" s="88"/>
      <c r="B13" s="55" t="s">
        <v>258</v>
      </c>
      <c r="C13" s="56">
        <f>SUM(C7:C12)+I6</f>
        <v>108</v>
      </c>
      <c r="D13" s="31" t="s">
        <v>259</v>
      </c>
      <c r="E13" s="101" t="str">
        <f>IF(AS7="Y","DBL",IF(AS8="Y","TRPL",IF(AS9="Y","QUAD","")))</f>
        <v/>
      </c>
      <c r="F13" s="88"/>
      <c r="G13" s="192"/>
      <c r="H13" s="57"/>
      <c r="I13" s="192"/>
      <c r="J13" s="285"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86"/>
      <c r="L13" s="287"/>
      <c r="M13" s="285" t="str">
        <f>IF(AND(OR(E7="SS",E7="RPX",E7="EUC",E7="RPX-T"),(OR(C17="",C17="Field SPL"))),"Cannot have FlexNap cables without tethers","---")</f>
        <v>---</v>
      </c>
      <c r="N13" s="286"/>
      <c r="O13" s="286"/>
      <c r="P13" s="286"/>
      <c r="Q13" s="286"/>
      <c r="R13" s="286"/>
      <c r="S13" s="286"/>
      <c r="T13" s="286"/>
      <c r="U13" s="287"/>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85" t="str">
        <f>IF(AND(OR(E7="RPX", E7="RPX-T", E7="SS"),E8=216),"NO 216 For RPX, RPX-T, OR SS CABLE","---")</f>
        <v>---</v>
      </c>
      <c r="K14" s="286"/>
      <c r="L14" s="287"/>
      <c r="M14" s="285" t="str" cm="1">
        <f t="array" ref="M14">IF(AND(E7="",OR(C17:C41="FST",C17:C41="REV T",C17:C41="DBL REV",C17:C41="TPL REV", C17:C41="QD REV")),"Non-FlexNap cables cannot have tethers","---")</f>
        <v>---</v>
      </c>
      <c r="N14" s="286"/>
      <c r="O14" s="286"/>
      <c r="P14" s="286"/>
      <c r="Q14" s="286"/>
      <c r="R14" s="286"/>
      <c r="S14" s="286"/>
      <c r="T14" s="286"/>
      <c r="U14" s="287"/>
      <c r="V14" s="25"/>
      <c r="W14" s="58"/>
      <c r="X14" s="58"/>
      <c r="Y14" s="25"/>
      <c r="Z14" s="45">
        <v>6</v>
      </c>
      <c r="AA14" s="65">
        <v>61</v>
      </c>
      <c r="AB14" s="65">
        <v>72</v>
      </c>
      <c r="AC14" s="25"/>
      <c r="AD14" s="25"/>
    </row>
    <row r="15" spans="1:53" ht="15.75" customHeight="1" thickBot="1" x14ac:dyDescent="0.3">
      <c r="A15" s="88"/>
      <c r="B15" s="321" t="s">
        <v>260</v>
      </c>
      <c r="C15" s="293" t="s">
        <v>261</v>
      </c>
      <c r="D15" s="293" t="s">
        <v>262</v>
      </c>
      <c r="E15" s="306" t="s">
        <v>263</v>
      </c>
      <c r="F15" s="293" t="s">
        <v>264</v>
      </c>
      <c r="G15" s="308" t="s">
        <v>265</v>
      </c>
      <c r="H15" s="308" t="s">
        <v>266</v>
      </c>
      <c r="I15" s="308" t="s">
        <v>267</v>
      </c>
      <c r="J15" s="310" t="s">
        <v>268</v>
      </c>
      <c r="K15" s="293" t="s">
        <v>269</v>
      </c>
      <c r="L15" s="279" t="s">
        <v>270</v>
      </c>
      <c r="M15" s="281" t="s">
        <v>271</v>
      </c>
      <c r="N15" s="281"/>
      <c r="O15" s="281"/>
      <c r="P15" s="281"/>
      <c r="Q15" s="281"/>
      <c r="R15" s="281"/>
      <c r="S15" s="281"/>
      <c r="T15" s="281"/>
      <c r="U15" s="282"/>
      <c r="V15" s="107"/>
      <c r="W15" s="72"/>
      <c r="X15" s="72"/>
      <c r="Y15" s="72"/>
      <c r="Z15" s="45">
        <v>7</v>
      </c>
      <c r="AA15" s="65">
        <v>73</v>
      </c>
      <c r="AB15" s="65">
        <v>84</v>
      </c>
      <c r="AC15" s="25"/>
      <c r="AD15" s="25"/>
    </row>
    <row r="16" spans="1:53" ht="15.75" thickBot="1" x14ac:dyDescent="0.3">
      <c r="A16" s="88"/>
      <c r="B16" s="322"/>
      <c r="C16" s="294"/>
      <c r="D16" s="294"/>
      <c r="E16" s="307"/>
      <c r="F16" s="294"/>
      <c r="G16" s="309"/>
      <c r="H16" s="309"/>
      <c r="I16" s="309"/>
      <c r="J16" s="311"/>
      <c r="K16" s="294"/>
      <c r="L16" s="280"/>
      <c r="M16" s="283"/>
      <c r="N16" s="283"/>
      <c r="O16" s="283"/>
      <c r="P16" s="283"/>
      <c r="Q16" s="283"/>
      <c r="R16" s="283"/>
      <c r="S16" s="283"/>
      <c r="T16" s="283"/>
      <c r="U16" s="284"/>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739</v>
      </c>
      <c r="E17" s="32">
        <v>6</v>
      </c>
      <c r="F17" s="32" t="s">
        <v>488</v>
      </c>
      <c r="G17" s="68" t="s">
        <v>277</v>
      </c>
      <c r="H17" s="69">
        <f>IF(I17=0,0,I17-(E17-1))</f>
        <v>859</v>
      </c>
      <c r="I17" s="70">
        <f>IF(E17=0,0,I12)</f>
        <v>864</v>
      </c>
      <c r="J17" s="71" t="s">
        <v>278</v>
      </c>
      <c r="K17" s="32"/>
      <c r="L17" s="233"/>
      <c r="M17" s="277" t="s">
        <v>735</v>
      </c>
      <c r="N17" s="277"/>
      <c r="O17" s="277"/>
      <c r="P17" s="277"/>
      <c r="Q17" s="277"/>
      <c r="R17" s="277"/>
      <c r="S17" s="277"/>
      <c r="T17" s="277"/>
      <c r="U17" s="278"/>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859-864</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6</v>
      </c>
    </row>
    <row r="18" spans="1:53" ht="15.75" thickBot="1" x14ac:dyDescent="0.3">
      <c r="A18" s="88"/>
      <c r="B18" s="66" t="s">
        <v>279</v>
      </c>
      <c r="C18" s="67" t="s">
        <v>484</v>
      </c>
      <c r="D18" s="102" t="s">
        <v>738</v>
      </c>
      <c r="E18" s="32">
        <v>8</v>
      </c>
      <c r="F18" s="32" t="s">
        <v>488</v>
      </c>
      <c r="G18" s="68" t="s">
        <v>277</v>
      </c>
      <c r="H18" s="69">
        <f t="shared" ref="H18:H41" si="9">IF(E18=0,0,I18-(E18-1))</f>
        <v>851</v>
      </c>
      <c r="I18" s="70">
        <f t="shared" ref="I18:I41" si="10">IF(E18=0,0,H17-1)</f>
        <v>858</v>
      </c>
      <c r="J18" s="73" t="str">
        <f>IF(C18="","--",IF(AND(C18&lt;&gt;"FST",C18&lt;&gt;"TCF",BA17&lt;&gt;0),BA17,"--"))</f>
        <v>--</v>
      </c>
      <c r="K18" s="32"/>
      <c r="L18" s="233"/>
      <c r="M18" s="277"/>
      <c r="N18" s="277"/>
      <c r="O18" s="277"/>
      <c r="P18" s="277"/>
      <c r="Q18" s="277"/>
      <c r="R18" s="277"/>
      <c r="S18" s="277"/>
      <c r="T18" s="277"/>
      <c r="U18" s="278"/>
      <c r="V18" s="103"/>
      <c r="W18" s="72"/>
      <c r="X18" s="72"/>
      <c r="Y18" s="72"/>
      <c r="Z18" s="45">
        <v>10</v>
      </c>
      <c r="AA18" s="46">
        <v>109</v>
      </c>
      <c r="AB18" s="46">
        <v>120</v>
      </c>
      <c r="AC18" s="72">
        <f t="shared" si="0"/>
        <v>1</v>
      </c>
      <c r="AD18" s="72">
        <f t="shared" si="1"/>
        <v>0</v>
      </c>
      <c r="AE18" s="109" t="str">
        <f t="shared" si="2"/>
        <v>851-858</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2</v>
      </c>
    </row>
    <row r="19" spans="1:53" ht="15.75" thickBot="1" x14ac:dyDescent="0.3">
      <c r="A19" s="88"/>
      <c r="B19" s="74" t="s">
        <v>280</v>
      </c>
      <c r="C19" s="67" t="s">
        <v>484</v>
      </c>
      <c r="D19" s="102" t="s">
        <v>737</v>
      </c>
      <c r="E19" s="32">
        <v>2</v>
      </c>
      <c r="F19" s="32" t="s">
        <v>488</v>
      </c>
      <c r="G19" s="75" t="s">
        <v>277</v>
      </c>
      <c r="H19" s="69">
        <f t="shared" si="9"/>
        <v>849</v>
      </c>
      <c r="I19" s="70">
        <f t="shared" si="10"/>
        <v>850</v>
      </c>
      <c r="J19" s="73" t="str">
        <f t="shared" ref="J19:J41" si="11">IF(C19="","--",IF(AND(C19&lt;&gt;"FST",C19&lt;&gt;"TCF",BA18&lt;&gt;0),BA18,"--"))</f>
        <v>--</v>
      </c>
      <c r="K19" s="32"/>
      <c r="L19" s="233"/>
      <c r="M19" s="277"/>
      <c r="N19" s="277"/>
      <c r="O19" s="277"/>
      <c r="P19" s="277"/>
      <c r="Q19" s="277"/>
      <c r="R19" s="277"/>
      <c r="S19" s="277"/>
      <c r="T19" s="277"/>
      <c r="U19" s="278"/>
      <c r="V19" s="103"/>
      <c r="W19" s="72"/>
      <c r="X19" s="72"/>
      <c r="Y19" s="72"/>
      <c r="Z19" s="45">
        <v>11</v>
      </c>
      <c r="AA19" s="46">
        <v>121</v>
      </c>
      <c r="AB19" s="46">
        <v>132</v>
      </c>
      <c r="AC19" s="72">
        <f t="shared" si="0"/>
        <v>1</v>
      </c>
      <c r="AD19" s="72">
        <f t="shared" si="1"/>
        <v>0</v>
      </c>
      <c r="AE19" s="109" t="str">
        <f t="shared" si="2"/>
        <v>849-850</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9">
        <f>MOD(SUM(E17:E20),12)</f>
        <v>0</v>
      </c>
    </row>
    <row r="20" spans="1:53" ht="15.75" thickBot="1" x14ac:dyDescent="0.3">
      <c r="A20" s="88"/>
      <c r="B20" s="66" t="s">
        <v>281</v>
      </c>
      <c r="C20" s="67" t="s">
        <v>484</v>
      </c>
      <c r="D20" s="102" t="s">
        <v>818</v>
      </c>
      <c r="E20" s="32">
        <v>8</v>
      </c>
      <c r="F20" s="32" t="s">
        <v>488</v>
      </c>
      <c r="G20" s="68" t="s">
        <v>277</v>
      </c>
      <c r="H20" s="69">
        <f t="shared" si="9"/>
        <v>841</v>
      </c>
      <c r="I20" s="70">
        <f t="shared" si="10"/>
        <v>848</v>
      </c>
      <c r="J20" s="73" t="str">
        <f t="shared" si="11"/>
        <v>--</v>
      </c>
      <c r="K20" s="32"/>
      <c r="L20" s="233"/>
      <c r="M20" s="277"/>
      <c r="N20" s="277"/>
      <c r="O20" s="277"/>
      <c r="P20" s="277"/>
      <c r="Q20" s="277"/>
      <c r="R20" s="277"/>
      <c r="S20" s="277"/>
      <c r="T20" s="277"/>
      <c r="U20" s="278"/>
      <c r="V20" s="103"/>
      <c r="W20" s="72"/>
      <c r="X20" s="72"/>
      <c r="Y20" s="72"/>
      <c r="Z20" s="45">
        <v>12</v>
      </c>
      <c r="AA20" s="76">
        <v>133</v>
      </c>
      <c r="AB20" s="76">
        <v>144</v>
      </c>
      <c r="AC20" s="72">
        <f t="shared" si="0"/>
        <v>1</v>
      </c>
      <c r="AD20" s="72">
        <f t="shared" si="1"/>
        <v>0</v>
      </c>
      <c r="AE20" s="109" t="str">
        <f t="shared" si="2"/>
        <v>841-848</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9">
        <f>MOD(SUM(E17:E21),12)</f>
        <v>0</v>
      </c>
    </row>
    <row r="21" spans="1:53" ht="15.75" thickBot="1" x14ac:dyDescent="0.3">
      <c r="A21" s="88"/>
      <c r="B21" s="66" t="s">
        <v>282</v>
      </c>
      <c r="C21" s="67" t="s">
        <v>502</v>
      </c>
      <c r="D21" s="102"/>
      <c r="E21" s="32">
        <v>84</v>
      </c>
      <c r="F21" s="32"/>
      <c r="G21" s="68" t="s">
        <v>277</v>
      </c>
      <c r="H21" s="69">
        <f t="shared" si="9"/>
        <v>757</v>
      </c>
      <c r="I21" s="70">
        <f t="shared" si="10"/>
        <v>840</v>
      </c>
      <c r="J21" s="73" t="str">
        <f t="shared" si="11"/>
        <v>--</v>
      </c>
      <c r="K21" s="32"/>
      <c r="L21" s="233"/>
      <c r="M21" s="277" t="s">
        <v>404</v>
      </c>
      <c r="N21" s="277"/>
      <c r="O21" s="277"/>
      <c r="P21" s="277"/>
      <c r="Q21" s="277"/>
      <c r="R21" s="277"/>
      <c r="S21" s="277"/>
      <c r="T21" s="277"/>
      <c r="U21" s="278"/>
      <c r="V21" s="103"/>
      <c r="W21" s="72"/>
      <c r="X21" s="72"/>
      <c r="Y21" s="72"/>
      <c r="Z21" s="45">
        <v>13</v>
      </c>
      <c r="AA21" s="77">
        <f t="shared" ref="AA21:AA26" si="12">AB20+1</f>
        <v>145</v>
      </c>
      <c r="AB21" s="77">
        <f t="shared" ref="AB21:AB26" si="13">AB20+12</f>
        <v>156</v>
      </c>
      <c r="AC21" s="72">
        <f t="shared" si="0"/>
        <v>1</v>
      </c>
      <c r="AD21" s="72">
        <f t="shared" si="1"/>
        <v>1</v>
      </c>
      <c r="AE21" s="109" t="str">
        <f t="shared" si="2"/>
        <v>757-840</v>
      </c>
      <c r="AF21" s="109" t="str">
        <f t="shared" si="3"/>
        <v>N</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77"/>
      <c r="N22" s="277"/>
      <c r="O22" s="277"/>
      <c r="P22" s="277"/>
      <c r="Q22" s="277"/>
      <c r="R22" s="277"/>
      <c r="S22" s="277"/>
      <c r="T22" s="277"/>
      <c r="U22" s="278"/>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77"/>
      <c r="N23" s="277"/>
      <c r="O23" s="277"/>
      <c r="P23" s="277"/>
      <c r="Q23" s="277"/>
      <c r="R23" s="277"/>
      <c r="S23" s="277"/>
      <c r="T23" s="277"/>
      <c r="U23" s="278"/>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77"/>
      <c r="N24" s="277"/>
      <c r="O24" s="277"/>
      <c r="P24" s="277"/>
      <c r="Q24" s="277"/>
      <c r="R24" s="277"/>
      <c r="S24" s="277"/>
      <c r="T24" s="277"/>
      <c r="U24" s="278"/>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77"/>
      <c r="N25" s="277"/>
      <c r="O25" s="277"/>
      <c r="P25" s="277"/>
      <c r="Q25" s="277"/>
      <c r="R25" s="277"/>
      <c r="S25" s="277"/>
      <c r="T25" s="277"/>
      <c r="U25" s="278"/>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77"/>
      <c r="N26" s="277"/>
      <c r="O26" s="277"/>
      <c r="P26" s="277"/>
      <c r="Q26" s="277"/>
      <c r="R26" s="277"/>
      <c r="S26" s="277"/>
      <c r="T26" s="277"/>
      <c r="U26" s="278"/>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77"/>
      <c r="N27" s="277"/>
      <c r="O27" s="277"/>
      <c r="P27" s="277"/>
      <c r="Q27" s="277"/>
      <c r="R27" s="277"/>
      <c r="S27" s="277"/>
      <c r="T27" s="277"/>
      <c r="U27" s="278"/>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77"/>
      <c r="N28" s="277"/>
      <c r="O28" s="277"/>
      <c r="P28" s="277"/>
      <c r="Q28" s="277"/>
      <c r="R28" s="277"/>
      <c r="S28" s="277"/>
      <c r="T28" s="277"/>
      <c r="U28" s="278"/>
      <c r="V28" s="103"/>
      <c r="W28" s="84">
        <f>Y28+1</f>
        <v>109</v>
      </c>
      <c r="X28" s="84"/>
      <c r="Y28" s="78">
        <f>SUM(E17:E28)</f>
        <v>108</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77"/>
      <c r="N29" s="277"/>
      <c r="O29" s="277"/>
      <c r="P29" s="277"/>
      <c r="Q29" s="277"/>
      <c r="R29" s="277"/>
      <c r="S29" s="277"/>
      <c r="T29" s="277"/>
      <c r="U29" s="278"/>
      <c r="V29" s="103"/>
      <c r="W29" s="84">
        <f>Y29+1</f>
        <v>109</v>
      </c>
      <c r="X29" s="84"/>
      <c r="Y29" s="78">
        <f>SUM(E17:E29)</f>
        <v>108</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77"/>
      <c r="N30" s="277"/>
      <c r="O30" s="277"/>
      <c r="P30" s="277"/>
      <c r="Q30" s="277"/>
      <c r="R30" s="277"/>
      <c r="S30" s="277"/>
      <c r="T30" s="277"/>
      <c r="U30" s="278"/>
      <c r="V30" s="103"/>
      <c r="W30" s="84">
        <f>Y30+1</f>
        <v>109</v>
      </c>
      <c r="X30" s="84"/>
      <c r="Y30" s="78">
        <f>SUM(E17:E30)</f>
        <v>108</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77"/>
      <c r="N31" s="277"/>
      <c r="O31" s="277"/>
      <c r="P31" s="277"/>
      <c r="Q31" s="277"/>
      <c r="R31" s="277"/>
      <c r="S31" s="277"/>
      <c r="T31" s="277"/>
      <c r="U31" s="278"/>
      <c r="V31" s="103"/>
      <c r="W31" s="84">
        <f>Y31+1</f>
        <v>109</v>
      </c>
      <c r="X31" s="84"/>
      <c r="Y31" s="78">
        <f>SUM(E17:E31)</f>
        <v>108</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77"/>
      <c r="N32" s="277"/>
      <c r="O32" s="277"/>
      <c r="P32" s="277"/>
      <c r="Q32" s="277"/>
      <c r="R32" s="277"/>
      <c r="S32" s="277"/>
      <c r="T32" s="277"/>
      <c r="U32" s="278"/>
      <c r="V32" s="103"/>
      <c r="W32" s="84">
        <f t="shared" ref="W32:W40" si="16">Y32+1</f>
        <v>109</v>
      </c>
      <c r="X32" s="84"/>
      <c r="Y32" s="78">
        <f>SUM(E17:E32)</f>
        <v>108</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77"/>
      <c r="N33" s="277"/>
      <c r="O33" s="277"/>
      <c r="P33" s="277"/>
      <c r="Q33" s="277"/>
      <c r="R33" s="277"/>
      <c r="S33" s="277"/>
      <c r="T33" s="277"/>
      <c r="U33" s="278"/>
      <c r="V33" s="103"/>
      <c r="W33" s="84">
        <f t="shared" si="16"/>
        <v>109</v>
      </c>
      <c r="X33" s="84"/>
      <c r="Y33" s="78">
        <f>SUM(E17:E33)</f>
        <v>108</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77"/>
      <c r="N34" s="277"/>
      <c r="O34" s="277"/>
      <c r="P34" s="277"/>
      <c r="Q34" s="277"/>
      <c r="R34" s="277"/>
      <c r="S34" s="277"/>
      <c r="T34" s="277"/>
      <c r="U34" s="278"/>
      <c r="V34" s="103"/>
      <c r="W34" s="84">
        <f t="shared" si="16"/>
        <v>109</v>
      </c>
      <c r="X34" s="84"/>
      <c r="Y34" s="78">
        <f>SUM(E17:E34)</f>
        <v>108</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77"/>
      <c r="N35" s="277"/>
      <c r="O35" s="277"/>
      <c r="P35" s="277"/>
      <c r="Q35" s="277"/>
      <c r="R35" s="277"/>
      <c r="S35" s="277"/>
      <c r="T35" s="277"/>
      <c r="U35" s="278"/>
      <c r="V35" s="103"/>
      <c r="W35" s="84">
        <f t="shared" si="16"/>
        <v>109</v>
      </c>
      <c r="X35" s="84"/>
      <c r="Y35" s="78">
        <f>SUM(E17:E35)</f>
        <v>108</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77"/>
      <c r="N36" s="277"/>
      <c r="O36" s="277"/>
      <c r="P36" s="277"/>
      <c r="Q36" s="277"/>
      <c r="R36" s="277"/>
      <c r="S36" s="277"/>
      <c r="T36" s="277"/>
      <c r="U36" s="278"/>
      <c r="V36" s="103"/>
      <c r="W36" s="84">
        <f t="shared" si="16"/>
        <v>109</v>
      </c>
      <c r="X36" s="84"/>
      <c r="Y36" s="78">
        <f>SUM(E17:E36)</f>
        <v>108</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77"/>
      <c r="N37" s="277"/>
      <c r="O37" s="277"/>
      <c r="P37" s="277"/>
      <c r="Q37" s="277"/>
      <c r="R37" s="277"/>
      <c r="S37" s="277"/>
      <c r="T37" s="277"/>
      <c r="U37" s="278"/>
      <c r="V37" s="103"/>
      <c r="W37" s="84">
        <f t="shared" si="16"/>
        <v>109</v>
      </c>
      <c r="X37" s="84"/>
      <c r="Y37" s="78">
        <f>SUM(E17:E37)</f>
        <v>108</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77"/>
      <c r="N38" s="277"/>
      <c r="O38" s="277"/>
      <c r="P38" s="277"/>
      <c r="Q38" s="277"/>
      <c r="R38" s="277"/>
      <c r="S38" s="277"/>
      <c r="T38" s="277"/>
      <c r="U38" s="278"/>
      <c r="V38" s="103"/>
      <c r="W38" s="84">
        <f t="shared" si="16"/>
        <v>109</v>
      </c>
      <c r="X38" s="84"/>
      <c r="Y38" s="78">
        <f>SUM(E17:E38)</f>
        <v>108</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77"/>
      <c r="N39" s="277"/>
      <c r="O39" s="277"/>
      <c r="P39" s="277"/>
      <c r="Q39" s="277"/>
      <c r="R39" s="277"/>
      <c r="S39" s="277"/>
      <c r="T39" s="277"/>
      <c r="U39" s="278"/>
      <c r="V39" s="103"/>
      <c r="W39" s="84">
        <f t="shared" si="16"/>
        <v>109</v>
      </c>
      <c r="X39" s="84"/>
      <c r="Y39" s="78">
        <f>SUM(E17:E39)</f>
        <v>108</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77"/>
      <c r="N40" s="277"/>
      <c r="O40" s="277"/>
      <c r="P40" s="277"/>
      <c r="Q40" s="277"/>
      <c r="R40" s="277"/>
      <c r="S40" s="277"/>
      <c r="T40" s="277"/>
      <c r="U40" s="278"/>
      <c r="V40" s="103"/>
      <c r="W40" s="84">
        <f t="shared" si="16"/>
        <v>109</v>
      </c>
      <c r="X40" s="84"/>
      <c r="Y40" s="78">
        <f>SUM(E17:E40)</f>
        <v>108</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77"/>
      <c r="N41" s="277"/>
      <c r="O41" s="277"/>
      <c r="P41" s="277"/>
      <c r="Q41" s="277"/>
      <c r="R41" s="277"/>
      <c r="S41" s="277"/>
      <c r="T41" s="277"/>
      <c r="U41" s="278"/>
      <c r="V41" s="103"/>
      <c r="W41" s="72"/>
      <c r="X41" s="72"/>
      <c r="Y41" s="78">
        <f>SUM(E17:E41)</f>
        <v>108</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319" t="s">
        <v>303</v>
      </c>
      <c r="C42" s="320"/>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21</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312" t="s">
        <v>222</v>
      </c>
      <c r="C47" s="313"/>
      <c r="D47" s="314" t="s">
        <v>223</v>
      </c>
      <c r="E47" s="305"/>
      <c r="F47" s="88"/>
      <c r="G47" s="315" t="s">
        <v>224</v>
      </c>
      <c r="H47" s="316"/>
      <c r="I47" s="28">
        <f>SUM(E58:E82)</f>
        <v>72</v>
      </c>
      <c r="J47" s="317" t="s">
        <v>225</v>
      </c>
      <c r="K47" s="318"/>
      <c r="L47" s="305"/>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5" t="s">
        <v>226</v>
      </c>
      <c r="AA47" s="296"/>
      <c r="AB47" s="297"/>
      <c r="AC47" s="25"/>
      <c r="AD47" s="25"/>
      <c r="AH47" s="109">
        <v>2</v>
      </c>
      <c r="AI47" s="109" t="str">
        <f>IF($E48="SS",COUNTIFS($C58:$C82,"FST",$E58:$E82,"2"),"0")</f>
        <v>0</v>
      </c>
      <c r="AJ47" s="109" t="str">
        <f>IF($E48="RPX",COUNTIFS($C58:$C82,"FST",$E58:$E82,"2"),"0")</f>
        <v>0</v>
      </c>
      <c r="AK47" s="109">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12</v>
      </c>
      <c r="D48" s="31" t="s">
        <v>229</v>
      </c>
      <c r="E48" s="66" t="str">
        <f>TEXT(IF('Cable Calculator'!I7="","",'Cable Calculator'!I7),)</f>
        <v>EUC</v>
      </c>
      <c r="F48" s="88"/>
      <c r="G48" s="304" t="s">
        <v>230</v>
      </c>
      <c r="H48" s="305"/>
      <c r="I48" s="33">
        <f>E49-I47</f>
        <v>72</v>
      </c>
      <c r="J48" s="289" t="s">
        <v>231</v>
      </c>
      <c r="K48" s="290"/>
      <c r="L48" s="34">
        <f>I52</f>
        <v>757</v>
      </c>
      <c r="M48" s="196">
        <v>4</v>
      </c>
      <c r="N48" s="35">
        <f>SUM(AI48,AI59)</f>
        <v>0</v>
      </c>
      <c r="O48" s="35">
        <v>0</v>
      </c>
      <c r="P48" s="35">
        <f>SUM(AJ48,AJ59)</f>
        <v>0</v>
      </c>
      <c r="Q48" s="35">
        <v>0</v>
      </c>
      <c r="R48" s="35">
        <f>COUNTIFS($E58:$E82,"4",$F58:$F82,"Pole",$C58:$C82,"FST")</f>
        <v>0</v>
      </c>
      <c r="S48" s="35">
        <f>SUM(AL48,AK59)</f>
        <v>0</v>
      </c>
      <c r="T48" s="35">
        <v>0</v>
      </c>
      <c r="U48" s="35">
        <f>SUM(AK48,AL59)</f>
        <v>0</v>
      </c>
      <c r="V48" s="35">
        <v>0</v>
      </c>
      <c r="W48" s="34">
        <f>COUNTIFS($E58:$E82,"4",$F58:$F82,"HH",$C58:$C82,"FST")</f>
        <v>0</v>
      </c>
      <c r="X48" s="35">
        <f>COUNTIFS($E58:$E82,"4",$F58:$F82,"Ped",$C58:$C82,"FST")</f>
        <v>0</v>
      </c>
      <c r="Y48" s="25"/>
      <c r="Z48" s="298" t="s">
        <v>232</v>
      </c>
      <c r="AA48" s="300" t="s">
        <v>233</v>
      </c>
      <c r="AB48" s="301"/>
      <c r="AC48" s="25"/>
      <c r="AD48" s="25"/>
      <c r="AH48" s="109">
        <v>4</v>
      </c>
      <c r="AI48" s="109" t="str">
        <f>IF($E48="SS",COUNTIFS($C58:$C82,"FST",$E58:$E82,"4"),"0")</f>
        <v>0</v>
      </c>
      <c r="AJ48" s="109" t="str">
        <f>IF($E48="RPX",COUNTIFS($C58:$C82,"FST",$E58:$E82,"4"),"0")</f>
        <v>0</v>
      </c>
      <c r="AK48" s="109">
        <f>IF($E48="EUC",COUNTIFS($C58:$C82,"FST",$E58:$E82,"4"),"0")</f>
        <v>0</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144</v>
      </c>
      <c r="F49" s="88"/>
      <c r="G49" s="291" t="s">
        <v>237</v>
      </c>
      <c r="H49" s="292"/>
      <c r="I49" s="35">
        <f>IF(E49=0,0,12-(MOD(I47,12)))</f>
        <v>12</v>
      </c>
      <c r="J49" s="289" t="s">
        <v>238</v>
      </c>
      <c r="K49" s="290"/>
      <c r="L49" s="39">
        <f>I53-I47</f>
        <v>768</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299"/>
      <c r="AA49" s="302"/>
      <c r="AB49" s="303"/>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60</v>
      </c>
      <c r="F50" s="88"/>
      <c r="G50" s="321" t="s">
        <v>242</v>
      </c>
      <c r="H50" s="43" t="s">
        <v>243</v>
      </c>
      <c r="I50" s="35">
        <f>IF(E50&lt;&gt;0,1,0)</f>
        <v>1</v>
      </c>
      <c r="J50" s="291" t="s">
        <v>244</v>
      </c>
      <c r="K50" s="292"/>
      <c r="L50" s="44">
        <f>'Cable Calculator'!I3</f>
        <v>958</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757</v>
      </c>
      <c r="F51" s="88"/>
      <c r="G51" s="322"/>
      <c r="H51" s="47" t="s">
        <v>248</v>
      </c>
      <c r="I51" s="35">
        <f>IF(E50&lt;&gt;0,E50,0)</f>
        <v>60</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1</v>
      </c>
      <c r="V51" s="35">
        <f>IF($E48="EUC",SUM($AN83,AP83,AR83),"0")</f>
        <v>0</v>
      </c>
      <c r="W51" s="34">
        <f>COUNTIFS($E58:$E82,"12",$F58:$F82,"HH",$C58:$C82,"FST")</f>
        <v>1</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1</v>
      </c>
      <c r="AL51" s="109" t="str">
        <f>IF($E48="RPX-T",COUNTIFS($C58:$C82,"FST",$E58:$E82,"12"),"0")</f>
        <v>0</v>
      </c>
      <c r="BA51" s="227"/>
    </row>
    <row r="52" spans="1:53" ht="16.5" customHeight="1" thickTop="1" thickBot="1" x14ac:dyDescent="0.3">
      <c r="A52" s="88"/>
      <c r="B52" s="36" t="s">
        <v>249</v>
      </c>
      <c r="C52" s="30">
        <v>0</v>
      </c>
      <c r="D52" s="49" t="s">
        <v>250</v>
      </c>
      <c r="E52" s="50">
        <f>E49/12</f>
        <v>12</v>
      </c>
      <c r="F52" s="88"/>
      <c r="G52" s="321" t="s">
        <v>251</v>
      </c>
      <c r="H52" s="51" t="s">
        <v>252</v>
      </c>
      <c r="I52" s="112">
        <f>E51</f>
        <v>757</v>
      </c>
      <c r="J52" s="323" t="s">
        <v>253</v>
      </c>
      <c r="K52" s="324"/>
      <c r="L52" s="325"/>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322"/>
      <c r="H53" s="47" t="s">
        <v>257</v>
      </c>
      <c r="I53" s="35">
        <f>IF(E51="","0",IF(AND(E48="EUC",E49=432), I52+(203-E50),IF(E51=0,0,(E51+(E49-E50)-1))))</f>
        <v>840</v>
      </c>
      <c r="J53" s="285" t="str">
        <f>IFERROR(IF(OR(E48="EUC",E48="SS"),"---",IF(OR(P47,S47),"NO 2F Tethers for RPX!",IF(OR(P49,S49),"NO 6F Tethers for RPX!","---"))),"---")</f>
        <v>---</v>
      </c>
      <c r="K53" s="286"/>
      <c r="L53" s="287"/>
      <c r="M53" s="285" t="str">
        <f>IF(E50&gt;60,"Dead Count &gt;60: Consider Downsize","---")</f>
        <v>---</v>
      </c>
      <c r="N53" s="286"/>
      <c r="O53" s="286"/>
      <c r="P53" s="286"/>
      <c r="Q53" s="286"/>
      <c r="R53" s="286"/>
      <c r="S53" s="286"/>
      <c r="T53" s="286"/>
      <c r="U53" s="287"/>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84</v>
      </c>
      <c r="D54" s="31" t="s">
        <v>259</v>
      </c>
      <c r="E54" s="101" t="str">
        <f>IF(AS48="Y","DBL",IF(AS49="Y","TRPL",IF(AS50="Y","QUAD","")))</f>
        <v/>
      </c>
      <c r="F54" s="88"/>
      <c r="G54" s="192"/>
      <c r="H54" s="57"/>
      <c r="I54" s="192"/>
      <c r="J54" s="285"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86"/>
      <c r="L54" s="287"/>
      <c r="M54" s="285" t="str">
        <f>IF(AND(OR(E48="SS",E48="RPX",E48="EUC",E48="RPX-T"),(OR(C58="",C58="Field SPL"))),"Cannot have FlexNap cables without tethers","---")</f>
        <v>---</v>
      </c>
      <c r="N54" s="286"/>
      <c r="O54" s="286"/>
      <c r="P54" s="286"/>
      <c r="Q54" s="286"/>
      <c r="R54" s="286"/>
      <c r="S54" s="286"/>
      <c r="T54" s="286"/>
      <c r="U54" s="287"/>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85" t="str">
        <f>IF(AND(OR(E48="RPX", E48="RPX-T", E48="SS"),E49=216),"NO 216 For RPX, RPX-T, OR SS CABLE","---")</f>
        <v>---</v>
      </c>
      <c r="K55" s="286"/>
      <c r="L55" s="287"/>
      <c r="M55" s="285" t="str" cm="1">
        <f t="array" ref="M55">IF(AND(E48="",OR(C58:C82="FST",C58:C82="REV T",C58:C82="DBL REV",C58:C82="TPL REV", C58:C82="QD REV")),"Non-FlexNap cables cannot have tethers","---")</f>
        <v>---</v>
      </c>
      <c r="N55" s="286"/>
      <c r="O55" s="286"/>
      <c r="P55" s="286"/>
      <c r="Q55" s="286"/>
      <c r="R55" s="286"/>
      <c r="S55" s="286"/>
      <c r="T55" s="286"/>
      <c r="U55" s="287"/>
      <c r="V55" s="25"/>
      <c r="W55" s="58"/>
      <c r="X55" s="58"/>
      <c r="Y55" s="25"/>
      <c r="Z55" s="45">
        <v>6</v>
      </c>
      <c r="AA55" s="65">
        <v>61</v>
      </c>
      <c r="AB55" s="65">
        <v>72</v>
      </c>
      <c r="AC55" s="25"/>
      <c r="AD55" s="25"/>
      <c r="BA55" s="226"/>
    </row>
    <row r="56" spans="1:53" ht="15.75" customHeight="1" thickBot="1" x14ac:dyDescent="0.3">
      <c r="A56" s="88"/>
      <c r="B56" s="321" t="s">
        <v>260</v>
      </c>
      <c r="C56" s="293" t="s">
        <v>261</v>
      </c>
      <c r="D56" s="293" t="s">
        <v>262</v>
      </c>
      <c r="E56" s="306" t="s">
        <v>263</v>
      </c>
      <c r="F56" s="293" t="s">
        <v>264</v>
      </c>
      <c r="G56" s="308" t="s">
        <v>265</v>
      </c>
      <c r="H56" s="308" t="s">
        <v>266</v>
      </c>
      <c r="I56" s="308" t="s">
        <v>267</v>
      </c>
      <c r="J56" s="310" t="s">
        <v>268</v>
      </c>
      <c r="K56" s="293" t="s">
        <v>269</v>
      </c>
      <c r="L56" s="279" t="s">
        <v>270</v>
      </c>
      <c r="M56" s="281" t="s">
        <v>271</v>
      </c>
      <c r="N56" s="281"/>
      <c r="O56" s="281"/>
      <c r="P56" s="281"/>
      <c r="Q56" s="281"/>
      <c r="R56" s="281"/>
      <c r="S56" s="281"/>
      <c r="T56" s="281"/>
      <c r="U56" s="282"/>
      <c r="V56" s="107"/>
      <c r="W56" s="72"/>
      <c r="X56" s="72"/>
      <c r="Y56" s="72"/>
      <c r="Z56" s="45">
        <v>7</v>
      </c>
      <c r="AA56" s="65">
        <v>73</v>
      </c>
      <c r="AB56" s="65">
        <v>84</v>
      </c>
      <c r="AC56" s="25"/>
      <c r="AD56" s="25"/>
      <c r="BA56" s="228"/>
    </row>
    <row r="57" spans="1:53" ht="15.75" thickBot="1" x14ac:dyDescent="0.3">
      <c r="A57" s="88"/>
      <c r="B57" s="322"/>
      <c r="C57" s="294"/>
      <c r="D57" s="294"/>
      <c r="E57" s="307"/>
      <c r="F57" s="294"/>
      <c r="G57" s="309"/>
      <c r="H57" s="309"/>
      <c r="I57" s="309"/>
      <c r="J57" s="311"/>
      <c r="K57" s="294"/>
      <c r="L57" s="280"/>
      <c r="M57" s="283"/>
      <c r="N57" s="283"/>
      <c r="O57" s="283"/>
      <c r="P57" s="283"/>
      <c r="Q57" s="283"/>
      <c r="R57" s="283"/>
      <c r="S57" s="283"/>
      <c r="T57" s="283"/>
      <c r="U57" s="284"/>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740</v>
      </c>
      <c r="E58" s="32">
        <v>12</v>
      </c>
      <c r="F58" s="32" t="s">
        <v>488</v>
      </c>
      <c r="G58" s="68" t="s">
        <v>277</v>
      </c>
      <c r="H58" s="69">
        <f>IF(I58=0,0,I58-(E58-1))</f>
        <v>829</v>
      </c>
      <c r="I58" s="70">
        <f>IF(E58=0,0,I53)</f>
        <v>840</v>
      </c>
      <c r="J58" s="71" t="s">
        <v>278</v>
      </c>
      <c r="K58" s="32"/>
      <c r="L58" s="233"/>
      <c r="M58" s="277"/>
      <c r="N58" s="277"/>
      <c r="O58" s="277"/>
      <c r="P58" s="277"/>
      <c r="Q58" s="277"/>
      <c r="R58" s="277"/>
      <c r="S58" s="277"/>
      <c r="T58" s="277"/>
      <c r="U58" s="278"/>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829-840</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0</v>
      </c>
    </row>
    <row r="59" spans="1:53" ht="15.75" thickBot="1" x14ac:dyDescent="0.3">
      <c r="A59" s="88"/>
      <c r="B59" s="66" t="s">
        <v>279</v>
      </c>
      <c r="C59" s="67" t="s">
        <v>502</v>
      </c>
      <c r="D59" s="102"/>
      <c r="E59" s="32">
        <v>60</v>
      </c>
      <c r="F59" s="32"/>
      <c r="G59" s="68" t="s">
        <v>277</v>
      </c>
      <c r="H59" s="69">
        <f t="shared" ref="H59:H66" si="26">IF(E59=0,0,I59-(E59-1))</f>
        <v>769</v>
      </c>
      <c r="I59" s="70">
        <f t="shared" ref="I59:I66" si="27">IF(E59=0,0,H58-1)</f>
        <v>828</v>
      </c>
      <c r="J59" s="73" t="str">
        <f t="shared" ref="J59:J66" si="28">IF(C59="","--",IF(AND(C59&lt;&gt;"FST",C59&lt;&gt;"TCF",BA58&lt;&gt;0),BA58,"--"))</f>
        <v>--</v>
      </c>
      <c r="K59" s="32"/>
      <c r="L59" s="233"/>
      <c r="M59" s="277" t="s">
        <v>434</v>
      </c>
      <c r="N59" s="277"/>
      <c r="O59" s="277"/>
      <c r="P59" s="277"/>
      <c r="Q59" s="277"/>
      <c r="R59" s="277"/>
      <c r="S59" s="277"/>
      <c r="T59" s="277"/>
      <c r="U59" s="278"/>
      <c r="V59" s="103"/>
      <c r="W59" s="72"/>
      <c r="X59" s="72"/>
      <c r="Y59" s="72"/>
      <c r="Z59" s="45">
        <v>10</v>
      </c>
      <c r="AA59" s="46">
        <v>109</v>
      </c>
      <c r="AB59" s="46">
        <v>120</v>
      </c>
      <c r="AC59" s="72">
        <f t="shared" si="17"/>
        <v>1</v>
      </c>
      <c r="AD59" s="72">
        <f t="shared" ref="AD59:AD66" si="29">IF(C59&lt;&gt;"FST",1,0)</f>
        <v>1</v>
      </c>
      <c r="AE59" s="109" t="str">
        <f t="shared" si="19"/>
        <v>769-828</v>
      </c>
      <c r="AF59" s="109" t="str">
        <f t="shared" ref="AF59:AF66" si="30">IF(C59="Field SPL","N","Y")</f>
        <v>N</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ref="AM59:AM66" si="31">VALUE(IF(C59="FST","0",IF(C59="REV T","1",IF(C59="DBL REV",".5","0"))))</f>
        <v>0</v>
      </c>
      <c r="AN59" s="109">
        <f t="shared" ref="AN59:AN66" si="32">VALUE(IF(C59="FST","0",IF(C59="REV T","0",IF(C59="DBL REV",".5","0"))))</f>
        <v>0</v>
      </c>
      <c r="AO59" s="109" t="str">
        <f t="shared" ref="AO59:AO66" si="33">IF(C59="TPL REV","Y","")</f>
        <v/>
      </c>
      <c r="AQ59" s="109" t="str">
        <f t="shared" ref="AQ59:AQ66" si="34">IF(C59="QD REV","Y","")</f>
        <v/>
      </c>
      <c r="BA59" s="229">
        <f>MOD(SUM(E58:E59),12)</f>
        <v>0</v>
      </c>
    </row>
    <row r="60" spans="1:53" ht="15.75" thickBot="1" x14ac:dyDescent="0.3">
      <c r="A60" s="88"/>
      <c r="B60" s="74" t="s">
        <v>280</v>
      </c>
      <c r="C60" s="67"/>
      <c r="D60" s="102"/>
      <c r="E60" s="32"/>
      <c r="F60" s="32"/>
      <c r="G60" s="75" t="s">
        <v>277</v>
      </c>
      <c r="H60" s="69">
        <f t="shared" si="26"/>
        <v>0</v>
      </c>
      <c r="I60" s="70">
        <f t="shared" si="27"/>
        <v>0</v>
      </c>
      <c r="J60" s="73" t="str">
        <f t="shared" si="28"/>
        <v>--</v>
      </c>
      <c r="K60" s="32"/>
      <c r="L60" s="233"/>
      <c r="M60" s="277"/>
      <c r="N60" s="277"/>
      <c r="O60" s="277"/>
      <c r="P60" s="277"/>
      <c r="Q60" s="277"/>
      <c r="R60" s="277"/>
      <c r="S60" s="277"/>
      <c r="T60" s="277"/>
      <c r="U60" s="278"/>
      <c r="V60" s="103"/>
      <c r="W60" s="72"/>
      <c r="X60" s="72"/>
      <c r="Y60" s="72"/>
      <c r="Z60" s="45">
        <v>11</v>
      </c>
      <c r="AA60" s="46">
        <v>121</v>
      </c>
      <c r="AB60" s="46">
        <v>132</v>
      </c>
      <c r="AC60" s="72">
        <f t="shared" si="17"/>
        <v>1</v>
      </c>
      <c r="AD60" s="72">
        <f t="shared" si="29"/>
        <v>1</v>
      </c>
      <c r="AE60" s="109" t="str">
        <f t="shared" si="19"/>
        <v>0-0</v>
      </c>
      <c r="AF60" s="109" t="str">
        <f t="shared" si="3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31"/>
        <v>0</v>
      </c>
      <c r="AN60" s="109">
        <f t="shared" si="32"/>
        <v>0</v>
      </c>
      <c r="AO60" s="109" t="str">
        <f t="shared" si="33"/>
        <v/>
      </c>
      <c r="AQ60" s="109" t="str">
        <f t="shared" si="34"/>
        <v/>
      </c>
      <c r="BA60" s="229">
        <f>MOD(SUM(E58:E61),12)</f>
        <v>0</v>
      </c>
    </row>
    <row r="61" spans="1:53" ht="15.75" thickBot="1" x14ac:dyDescent="0.3">
      <c r="A61" s="88"/>
      <c r="B61" s="66" t="s">
        <v>281</v>
      </c>
      <c r="C61" s="67"/>
      <c r="D61" s="102"/>
      <c r="E61" s="32"/>
      <c r="F61" s="32"/>
      <c r="G61" s="68" t="s">
        <v>277</v>
      </c>
      <c r="H61" s="69">
        <f t="shared" si="26"/>
        <v>0</v>
      </c>
      <c r="I61" s="70">
        <f t="shared" si="27"/>
        <v>0</v>
      </c>
      <c r="J61" s="73" t="str">
        <f t="shared" si="28"/>
        <v>--</v>
      </c>
      <c r="K61" s="32"/>
      <c r="L61" s="233"/>
      <c r="M61" s="277"/>
      <c r="N61" s="277"/>
      <c r="O61" s="277"/>
      <c r="P61" s="277"/>
      <c r="Q61" s="277"/>
      <c r="R61" s="277"/>
      <c r="S61" s="277"/>
      <c r="T61" s="277"/>
      <c r="U61" s="278"/>
      <c r="V61" s="103"/>
      <c r="W61" s="72"/>
      <c r="X61" s="72"/>
      <c r="Y61" s="72"/>
      <c r="Z61" s="45">
        <v>12</v>
      </c>
      <c r="AA61" s="76">
        <v>133</v>
      </c>
      <c r="AB61" s="76">
        <v>144</v>
      </c>
      <c r="AC61" s="72">
        <f t="shared" si="17"/>
        <v>1</v>
      </c>
      <c r="AD61" s="72">
        <f t="shared" si="29"/>
        <v>1</v>
      </c>
      <c r="AE61" s="109" t="str">
        <f t="shared" si="19"/>
        <v>0-0</v>
      </c>
      <c r="AF61" s="109" t="str">
        <f t="shared" si="30"/>
        <v>Y</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31"/>
        <v>0</v>
      </c>
      <c r="AN61" s="109">
        <f t="shared" si="32"/>
        <v>0</v>
      </c>
      <c r="AO61" s="109" t="str">
        <f t="shared" si="33"/>
        <v/>
      </c>
      <c r="AQ61" s="109" t="str">
        <f t="shared" si="34"/>
        <v/>
      </c>
      <c r="BA61" s="229">
        <f>MOD(SUM(E58:E62),12)</f>
        <v>0</v>
      </c>
    </row>
    <row r="62" spans="1:53" ht="15.75" thickBot="1" x14ac:dyDescent="0.3">
      <c r="A62" s="88"/>
      <c r="B62" s="66" t="s">
        <v>282</v>
      </c>
      <c r="C62" s="67"/>
      <c r="D62" s="102"/>
      <c r="E62" s="32"/>
      <c r="F62" s="32"/>
      <c r="G62" s="68" t="s">
        <v>277</v>
      </c>
      <c r="H62" s="69">
        <f t="shared" si="26"/>
        <v>0</v>
      </c>
      <c r="I62" s="70">
        <f t="shared" si="27"/>
        <v>0</v>
      </c>
      <c r="J62" s="73" t="str">
        <f t="shared" si="28"/>
        <v>--</v>
      </c>
      <c r="K62" s="32"/>
      <c r="L62" s="233"/>
      <c r="M62" s="277"/>
      <c r="N62" s="277"/>
      <c r="O62" s="277"/>
      <c r="P62" s="277"/>
      <c r="Q62" s="277"/>
      <c r="R62" s="277"/>
      <c r="S62" s="277"/>
      <c r="T62" s="277"/>
      <c r="U62" s="278"/>
      <c r="V62" s="103"/>
      <c r="W62" s="72"/>
      <c r="X62" s="72"/>
      <c r="Y62" s="72"/>
      <c r="Z62" s="45">
        <v>13</v>
      </c>
      <c r="AA62" s="77">
        <f t="shared" ref="AA62:AA67" si="35">AB61+1</f>
        <v>145</v>
      </c>
      <c r="AB62" s="77">
        <f t="shared" ref="AB62:AB67" si="36">AB61+12</f>
        <v>156</v>
      </c>
      <c r="AC62" s="72">
        <f t="shared" si="17"/>
        <v>1</v>
      </c>
      <c r="AD62" s="72">
        <f t="shared" si="29"/>
        <v>1</v>
      </c>
      <c r="AE62" s="109" t="str">
        <f t="shared" si="19"/>
        <v>0-0</v>
      </c>
      <c r="AF62" s="109" t="str">
        <f t="shared" si="30"/>
        <v>Y</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31"/>
        <v>0</v>
      </c>
      <c r="AN62" s="109">
        <f t="shared" si="32"/>
        <v>0</v>
      </c>
      <c r="AO62" s="109" t="str">
        <f t="shared" si="33"/>
        <v/>
      </c>
      <c r="AQ62" s="109" t="str">
        <f t="shared" si="34"/>
        <v/>
      </c>
      <c r="BA62" s="229">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3"/>
      <c r="M63" s="277"/>
      <c r="N63" s="277"/>
      <c r="O63" s="277"/>
      <c r="P63" s="277"/>
      <c r="Q63" s="277"/>
      <c r="R63" s="277"/>
      <c r="S63" s="277"/>
      <c r="T63" s="277"/>
      <c r="U63" s="278"/>
      <c r="V63" s="103"/>
      <c r="W63" s="72"/>
      <c r="X63" s="72"/>
      <c r="Y63" s="72"/>
      <c r="Z63" s="45">
        <v>14</v>
      </c>
      <c r="AA63" s="77">
        <f t="shared" si="35"/>
        <v>157</v>
      </c>
      <c r="AB63" s="77">
        <f t="shared" si="36"/>
        <v>168</v>
      </c>
      <c r="AC63" s="72">
        <f t="shared" si="17"/>
        <v>1</v>
      </c>
      <c r="AD63" s="72">
        <f t="shared" si="29"/>
        <v>1</v>
      </c>
      <c r="AE63" s="109" t="str">
        <f t="shared" si="19"/>
        <v>0-0</v>
      </c>
      <c r="AF63" s="109" t="str">
        <f t="shared" si="30"/>
        <v>Y</v>
      </c>
      <c r="AG63" s="109" t="str">
        <f t="shared" si="21"/>
        <v>B</v>
      </c>
      <c r="AM63" s="109">
        <f t="shared" si="31"/>
        <v>0</v>
      </c>
      <c r="AN63" s="109">
        <f t="shared" si="32"/>
        <v>0</v>
      </c>
      <c r="AO63" s="109" t="str">
        <f t="shared" si="33"/>
        <v/>
      </c>
      <c r="AQ63" s="109" t="str">
        <f t="shared" si="34"/>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77"/>
      <c r="N64" s="277"/>
      <c r="O64" s="277"/>
      <c r="P64" s="277"/>
      <c r="Q64" s="277"/>
      <c r="R64" s="277"/>
      <c r="S64" s="277"/>
      <c r="T64" s="277"/>
      <c r="U64" s="278"/>
      <c r="V64" s="103"/>
      <c r="W64" s="72"/>
      <c r="X64" s="72"/>
      <c r="Y64" s="72"/>
      <c r="Z64" s="45">
        <v>15</v>
      </c>
      <c r="AA64" s="77">
        <f t="shared" si="35"/>
        <v>169</v>
      </c>
      <c r="AB64" s="77">
        <f t="shared" si="36"/>
        <v>180</v>
      </c>
      <c r="AC64" s="72">
        <f t="shared" si="17"/>
        <v>1</v>
      </c>
      <c r="AD64" s="72">
        <f t="shared" si="29"/>
        <v>1</v>
      </c>
      <c r="AE64" s="109" t="str">
        <f t="shared" si="19"/>
        <v>0-0</v>
      </c>
      <c r="AF64" s="109" t="str">
        <f t="shared" si="30"/>
        <v>Y</v>
      </c>
      <c r="AG64" s="109" t="str">
        <f t="shared" si="21"/>
        <v>B</v>
      </c>
      <c r="AM64" s="109">
        <f t="shared" si="31"/>
        <v>0</v>
      </c>
      <c r="AN64" s="109">
        <f t="shared" si="32"/>
        <v>0</v>
      </c>
      <c r="AO64" s="109" t="str">
        <f t="shared" si="33"/>
        <v/>
      </c>
      <c r="AQ64" s="109" t="str">
        <f t="shared" si="34"/>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77"/>
      <c r="N65" s="277"/>
      <c r="O65" s="277"/>
      <c r="P65" s="277"/>
      <c r="Q65" s="277"/>
      <c r="R65" s="277"/>
      <c r="S65" s="277"/>
      <c r="T65" s="277"/>
      <c r="U65" s="278"/>
      <c r="V65" s="103"/>
      <c r="W65" s="72"/>
      <c r="X65" s="72"/>
      <c r="Y65" s="72"/>
      <c r="Z65" s="45">
        <f>Z64+1</f>
        <v>16</v>
      </c>
      <c r="AA65" s="77">
        <f t="shared" si="35"/>
        <v>181</v>
      </c>
      <c r="AB65" s="77">
        <f t="shared" si="36"/>
        <v>192</v>
      </c>
      <c r="AC65" s="72">
        <f t="shared" si="17"/>
        <v>1</v>
      </c>
      <c r="AD65" s="72">
        <f t="shared" si="29"/>
        <v>1</v>
      </c>
      <c r="AE65" s="109" t="str">
        <f t="shared" si="19"/>
        <v>0-0</v>
      </c>
      <c r="AF65" s="109" t="str">
        <f t="shared" si="30"/>
        <v>Y</v>
      </c>
      <c r="AG65" s="109" t="str">
        <f t="shared" si="21"/>
        <v>B</v>
      </c>
      <c r="AM65" s="109">
        <f t="shared" si="31"/>
        <v>0</v>
      </c>
      <c r="AN65" s="109">
        <f t="shared" si="32"/>
        <v>0</v>
      </c>
      <c r="AO65" s="109" t="str">
        <f t="shared" si="33"/>
        <v/>
      </c>
      <c r="AQ65" s="109" t="str">
        <f t="shared" si="34"/>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77"/>
      <c r="N66" s="277"/>
      <c r="O66" s="277"/>
      <c r="P66" s="277"/>
      <c r="Q66" s="277"/>
      <c r="R66" s="277"/>
      <c r="S66" s="277"/>
      <c r="T66" s="277"/>
      <c r="U66" s="278"/>
      <c r="V66" s="103"/>
      <c r="W66" s="72"/>
      <c r="X66" s="72"/>
      <c r="Y66" s="72"/>
      <c r="Z66" s="45">
        <f>Z65+1</f>
        <v>17</v>
      </c>
      <c r="AA66" s="77">
        <f t="shared" si="35"/>
        <v>193</v>
      </c>
      <c r="AB66" s="77">
        <f t="shared" si="36"/>
        <v>204</v>
      </c>
      <c r="AC66" s="72">
        <f t="shared" si="17"/>
        <v>1</v>
      </c>
      <c r="AD66" s="72">
        <f t="shared" si="29"/>
        <v>1</v>
      </c>
      <c r="AE66" s="109" t="str">
        <f t="shared" si="19"/>
        <v>0-0</v>
      </c>
      <c r="AF66" s="109" t="str">
        <f t="shared" si="30"/>
        <v>Y</v>
      </c>
      <c r="AG66" s="109" t="str">
        <f t="shared" si="21"/>
        <v>B</v>
      </c>
      <c r="AM66" s="109">
        <f t="shared" si="31"/>
        <v>0</v>
      </c>
      <c r="AN66" s="109">
        <f t="shared" si="32"/>
        <v>0</v>
      </c>
      <c r="AO66" s="109" t="str">
        <f t="shared" si="33"/>
        <v/>
      </c>
      <c r="AQ66" s="109" t="str">
        <f t="shared" si="34"/>
        <v/>
      </c>
      <c r="BA66" s="229">
        <f>MOD(SUM(E58:E67),12)</f>
        <v>0</v>
      </c>
    </row>
    <row r="67" spans="1:53" ht="15.75" thickBot="1" x14ac:dyDescent="0.3">
      <c r="A67" s="88"/>
      <c r="B67" s="66" t="s">
        <v>287</v>
      </c>
      <c r="C67" s="67"/>
      <c r="D67" s="102"/>
      <c r="E67" s="32"/>
      <c r="F67" s="32"/>
      <c r="G67" s="68" t="s">
        <v>277</v>
      </c>
      <c r="H67" s="69">
        <f t="shared" ref="H67:H82" si="37">IF(E67=0,0,I67-(E67-1))</f>
        <v>0</v>
      </c>
      <c r="I67" s="70">
        <f t="shared" ref="I67:I82" si="38">IF(E67=0,0,H66-1)</f>
        <v>0</v>
      </c>
      <c r="J67" s="73" t="str">
        <f t="shared" ref="J67:J82" si="39">IF(C67="","--",IF(AND(C67&lt;&gt;"FST",C67&lt;&gt;"TCF",BA66&lt;&gt;0),BA66,"--"))</f>
        <v>--</v>
      </c>
      <c r="K67" s="32"/>
      <c r="L67" s="233"/>
      <c r="M67" s="277"/>
      <c r="N67" s="277"/>
      <c r="O67" s="277"/>
      <c r="P67" s="277"/>
      <c r="Q67" s="277"/>
      <c r="R67" s="277"/>
      <c r="S67" s="277"/>
      <c r="T67" s="277"/>
      <c r="U67" s="278"/>
      <c r="V67" s="103"/>
      <c r="W67" s="72"/>
      <c r="X67" s="72"/>
      <c r="Y67" s="72"/>
      <c r="Z67" s="45">
        <f>Z66+1</f>
        <v>18</v>
      </c>
      <c r="AA67" s="77">
        <f t="shared" si="35"/>
        <v>205</v>
      </c>
      <c r="AB67" s="77">
        <f t="shared" si="36"/>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37"/>
        <v>0</v>
      </c>
      <c r="I68" s="70">
        <f t="shared" si="38"/>
        <v>0</v>
      </c>
      <c r="J68" s="73" t="str">
        <f t="shared" si="39"/>
        <v>--</v>
      </c>
      <c r="K68" s="32"/>
      <c r="L68" s="233"/>
      <c r="M68" s="277"/>
      <c r="N68" s="277"/>
      <c r="O68" s="277"/>
      <c r="P68" s="277"/>
      <c r="Q68" s="277"/>
      <c r="R68" s="277"/>
      <c r="S68" s="277"/>
      <c r="T68" s="277"/>
      <c r="U68" s="278"/>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37"/>
        <v>0</v>
      </c>
      <c r="I69" s="70">
        <f t="shared" si="38"/>
        <v>0</v>
      </c>
      <c r="J69" s="73" t="str">
        <f t="shared" si="39"/>
        <v>--</v>
      </c>
      <c r="K69" s="32"/>
      <c r="L69" s="233"/>
      <c r="M69" s="277"/>
      <c r="N69" s="277"/>
      <c r="O69" s="277"/>
      <c r="P69" s="277"/>
      <c r="Q69" s="277"/>
      <c r="R69" s="277"/>
      <c r="S69" s="277"/>
      <c r="T69" s="277"/>
      <c r="U69" s="278"/>
      <c r="V69" s="103"/>
      <c r="W69" s="84">
        <f>Y69+1</f>
        <v>73</v>
      </c>
      <c r="X69" s="84"/>
      <c r="Y69" s="78">
        <f>SUM(E58:E69)</f>
        <v>72</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37"/>
        <v>0</v>
      </c>
      <c r="I70" s="70">
        <f t="shared" si="38"/>
        <v>0</v>
      </c>
      <c r="J70" s="73" t="str">
        <f t="shared" si="39"/>
        <v>--</v>
      </c>
      <c r="K70" s="32"/>
      <c r="L70" s="233"/>
      <c r="M70" s="277"/>
      <c r="N70" s="277"/>
      <c r="O70" s="277"/>
      <c r="P70" s="277"/>
      <c r="Q70" s="277"/>
      <c r="R70" s="277"/>
      <c r="S70" s="277"/>
      <c r="T70" s="277"/>
      <c r="U70" s="278"/>
      <c r="V70" s="103"/>
      <c r="W70" s="84">
        <f>Y70+1</f>
        <v>73</v>
      </c>
      <c r="X70" s="84"/>
      <c r="Y70" s="78">
        <f>SUM(E58:E70)</f>
        <v>72</v>
      </c>
      <c r="Z70" s="72" t="str">
        <f t="shared" ref="Z70:Z82" si="40">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37"/>
        <v>0</v>
      </c>
      <c r="I71" s="70">
        <f t="shared" si="38"/>
        <v>0</v>
      </c>
      <c r="J71" s="73" t="str">
        <f t="shared" si="39"/>
        <v>--</v>
      </c>
      <c r="K71" s="32"/>
      <c r="L71" s="233"/>
      <c r="M71" s="277"/>
      <c r="N71" s="277"/>
      <c r="O71" s="277"/>
      <c r="P71" s="277"/>
      <c r="Q71" s="277"/>
      <c r="R71" s="277"/>
      <c r="S71" s="277"/>
      <c r="T71" s="277"/>
      <c r="U71" s="278"/>
      <c r="V71" s="103"/>
      <c r="W71" s="84">
        <f>Y71+1</f>
        <v>73</v>
      </c>
      <c r="X71" s="84"/>
      <c r="Y71" s="78">
        <f>SUM(E58:E71)</f>
        <v>72</v>
      </c>
      <c r="Z71" s="72" t="str">
        <f t="shared" si="40"/>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37"/>
        <v>0</v>
      </c>
      <c r="I72" s="70">
        <f t="shared" si="38"/>
        <v>0</v>
      </c>
      <c r="J72" s="73" t="str">
        <f t="shared" si="39"/>
        <v>--</v>
      </c>
      <c r="K72" s="32"/>
      <c r="L72" s="233"/>
      <c r="M72" s="277"/>
      <c r="N72" s="277"/>
      <c r="O72" s="277"/>
      <c r="P72" s="277"/>
      <c r="Q72" s="277"/>
      <c r="R72" s="277"/>
      <c r="S72" s="277"/>
      <c r="T72" s="277"/>
      <c r="U72" s="278"/>
      <c r="V72" s="103"/>
      <c r="W72" s="84">
        <f>Y72+1</f>
        <v>73</v>
      </c>
      <c r="X72" s="84"/>
      <c r="Y72" s="78">
        <f>SUM(E58:E72)</f>
        <v>72</v>
      </c>
      <c r="Z72" s="72" t="str">
        <f t="shared" si="40"/>
        <v/>
      </c>
      <c r="AA72" s="72" t="str">
        <f t="shared" ref="AA72:AA84" si="41">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37"/>
        <v>0</v>
      </c>
      <c r="I73" s="70">
        <f t="shared" si="38"/>
        <v>0</v>
      </c>
      <c r="J73" s="73" t="str">
        <f t="shared" si="39"/>
        <v>--</v>
      </c>
      <c r="K73" s="32"/>
      <c r="L73" s="233"/>
      <c r="M73" s="277"/>
      <c r="N73" s="277"/>
      <c r="O73" s="277"/>
      <c r="P73" s="277"/>
      <c r="Q73" s="277"/>
      <c r="R73" s="277"/>
      <c r="S73" s="277"/>
      <c r="T73" s="277"/>
      <c r="U73" s="278"/>
      <c r="V73" s="103"/>
      <c r="W73" s="84">
        <f t="shared" ref="W73:W81" si="42">Y73+1</f>
        <v>73</v>
      </c>
      <c r="X73" s="84"/>
      <c r="Y73" s="78">
        <f>SUM(E58:E73)</f>
        <v>72</v>
      </c>
      <c r="Z73" s="72" t="str">
        <f t="shared" si="40"/>
        <v/>
      </c>
      <c r="AA73" s="72" t="str">
        <f t="shared" si="41"/>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37"/>
        <v>0</v>
      </c>
      <c r="I74" s="70">
        <f t="shared" si="38"/>
        <v>0</v>
      </c>
      <c r="J74" s="73" t="str">
        <f t="shared" si="39"/>
        <v>--</v>
      </c>
      <c r="K74" s="32"/>
      <c r="L74" s="233"/>
      <c r="M74" s="277"/>
      <c r="N74" s="277"/>
      <c r="O74" s="277"/>
      <c r="P74" s="277"/>
      <c r="Q74" s="277"/>
      <c r="R74" s="277"/>
      <c r="S74" s="277"/>
      <c r="T74" s="277"/>
      <c r="U74" s="278"/>
      <c r="V74" s="103"/>
      <c r="W74" s="84">
        <f t="shared" si="42"/>
        <v>73</v>
      </c>
      <c r="X74" s="84"/>
      <c r="Y74" s="78">
        <f>SUM(E58:E74)</f>
        <v>72</v>
      </c>
      <c r="Z74" s="72" t="str">
        <f t="shared" si="40"/>
        <v/>
      </c>
      <c r="AA74" s="72" t="str">
        <f t="shared" si="41"/>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37"/>
        <v>0</v>
      </c>
      <c r="I75" s="70">
        <f t="shared" si="38"/>
        <v>0</v>
      </c>
      <c r="J75" s="73" t="str">
        <f t="shared" si="39"/>
        <v>--</v>
      </c>
      <c r="K75" s="32"/>
      <c r="L75" s="233"/>
      <c r="M75" s="277"/>
      <c r="N75" s="277"/>
      <c r="O75" s="277"/>
      <c r="P75" s="277"/>
      <c r="Q75" s="277"/>
      <c r="R75" s="277"/>
      <c r="S75" s="277"/>
      <c r="T75" s="277"/>
      <c r="U75" s="278"/>
      <c r="V75" s="103"/>
      <c r="W75" s="84">
        <f t="shared" si="42"/>
        <v>73</v>
      </c>
      <c r="X75" s="84"/>
      <c r="Y75" s="78">
        <f>SUM(E58:E75)</f>
        <v>72</v>
      </c>
      <c r="Z75" s="72" t="str">
        <f t="shared" si="40"/>
        <v/>
      </c>
      <c r="AA75" s="72" t="str">
        <f t="shared" si="41"/>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37"/>
        <v>0</v>
      </c>
      <c r="I76" s="70">
        <f t="shared" si="38"/>
        <v>0</v>
      </c>
      <c r="J76" s="73" t="str">
        <f t="shared" si="39"/>
        <v>--</v>
      </c>
      <c r="K76" s="32"/>
      <c r="L76" s="233"/>
      <c r="M76" s="277"/>
      <c r="N76" s="277"/>
      <c r="O76" s="277"/>
      <c r="P76" s="277"/>
      <c r="Q76" s="277"/>
      <c r="R76" s="277"/>
      <c r="S76" s="277"/>
      <c r="T76" s="277"/>
      <c r="U76" s="278"/>
      <c r="V76" s="103"/>
      <c r="W76" s="84">
        <f t="shared" si="42"/>
        <v>73</v>
      </c>
      <c r="X76" s="84"/>
      <c r="Y76" s="78">
        <f>SUM(E58:E76)</f>
        <v>72</v>
      </c>
      <c r="Z76" s="72" t="str">
        <f t="shared" si="40"/>
        <v/>
      </c>
      <c r="AA76" s="72" t="str">
        <f t="shared" si="41"/>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37"/>
        <v>0</v>
      </c>
      <c r="I77" s="70">
        <f t="shared" si="38"/>
        <v>0</v>
      </c>
      <c r="J77" s="73" t="str">
        <f t="shared" si="39"/>
        <v>--</v>
      </c>
      <c r="K77" s="32"/>
      <c r="L77" s="233"/>
      <c r="M77" s="277"/>
      <c r="N77" s="277"/>
      <c r="O77" s="277"/>
      <c r="P77" s="277"/>
      <c r="Q77" s="277"/>
      <c r="R77" s="277"/>
      <c r="S77" s="277"/>
      <c r="T77" s="277"/>
      <c r="U77" s="278"/>
      <c r="V77" s="103"/>
      <c r="W77" s="84">
        <f t="shared" si="42"/>
        <v>73</v>
      </c>
      <c r="X77" s="84"/>
      <c r="Y77" s="78">
        <f>SUM(E58:E77)</f>
        <v>72</v>
      </c>
      <c r="Z77" s="72" t="str">
        <f t="shared" si="40"/>
        <v/>
      </c>
      <c r="AA77" s="72" t="str">
        <f t="shared" si="41"/>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37"/>
        <v>0</v>
      </c>
      <c r="I78" s="70">
        <f t="shared" si="38"/>
        <v>0</v>
      </c>
      <c r="J78" s="73" t="str">
        <f t="shared" si="39"/>
        <v>--</v>
      </c>
      <c r="K78" s="32"/>
      <c r="L78" s="233"/>
      <c r="M78" s="277"/>
      <c r="N78" s="277"/>
      <c r="O78" s="277"/>
      <c r="P78" s="277"/>
      <c r="Q78" s="277"/>
      <c r="R78" s="277"/>
      <c r="S78" s="277"/>
      <c r="T78" s="277"/>
      <c r="U78" s="278"/>
      <c r="V78" s="103"/>
      <c r="W78" s="84">
        <f t="shared" si="42"/>
        <v>73</v>
      </c>
      <c r="X78" s="84"/>
      <c r="Y78" s="78">
        <f>SUM(E58:E78)</f>
        <v>72</v>
      </c>
      <c r="Z78" s="72" t="str">
        <f t="shared" si="40"/>
        <v/>
      </c>
      <c r="AA78" s="72" t="str">
        <f t="shared" si="41"/>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37"/>
        <v>0</v>
      </c>
      <c r="I79" s="70">
        <f t="shared" si="38"/>
        <v>0</v>
      </c>
      <c r="J79" s="73" t="str">
        <f t="shared" si="39"/>
        <v>--</v>
      </c>
      <c r="K79" s="32"/>
      <c r="L79" s="233"/>
      <c r="M79" s="277"/>
      <c r="N79" s="277"/>
      <c r="O79" s="277"/>
      <c r="P79" s="277"/>
      <c r="Q79" s="277"/>
      <c r="R79" s="277"/>
      <c r="S79" s="277"/>
      <c r="T79" s="277"/>
      <c r="U79" s="278"/>
      <c r="V79" s="103"/>
      <c r="W79" s="84">
        <f t="shared" si="42"/>
        <v>73</v>
      </c>
      <c r="X79" s="84"/>
      <c r="Y79" s="78">
        <f>SUM(E58:E79)</f>
        <v>72</v>
      </c>
      <c r="Z79" s="72" t="str">
        <f t="shared" si="40"/>
        <v/>
      </c>
      <c r="AA79" s="72" t="str">
        <f t="shared" si="41"/>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37"/>
        <v>0</v>
      </c>
      <c r="I80" s="70">
        <f t="shared" si="38"/>
        <v>0</v>
      </c>
      <c r="J80" s="73" t="str">
        <f t="shared" si="39"/>
        <v>--</v>
      </c>
      <c r="K80" s="32"/>
      <c r="L80" s="233"/>
      <c r="M80" s="277"/>
      <c r="N80" s="277"/>
      <c r="O80" s="277"/>
      <c r="P80" s="277"/>
      <c r="Q80" s="277"/>
      <c r="R80" s="277"/>
      <c r="S80" s="277"/>
      <c r="T80" s="277"/>
      <c r="U80" s="278"/>
      <c r="V80" s="103"/>
      <c r="W80" s="84">
        <f t="shared" si="42"/>
        <v>73</v>
      </c>
      <c r="X80" s="84"/>
      <c r="Y80" s="78">
        <f>SUM(E58:E80)</f>
        <v>72</v>
      </c>
      <c r="Z80" s="72" t="str">
        <f t="shared" si="40"/>
        <v/>
      </c>
      <c r="AA80" s="72" t="str">
        <f t="shared" si="41"/>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37"/>
        <v>0</v>
      </c>
      <c r="I81" s="70">
        <f t="shared" si="38"/>
        <v>0</v>
      </c>
      <c r="J81" s="73" t="str">
        <f t="shared" si="39"/>
        <v>--</v>
      </c>
      <c r="K81" s="32"/>
      <c r="L81" s="233"/>
      <c r="M81" s="277"/>
      <c r="N81" s="277"/>
      <c r="O81" s="277"/>
      <c r="P81" s="277"/>
      <c r="Q81" s="277"/>
      <c r="R81" s="277"/>
      <c r="S81" s="277"/>
      <c r="T81" s="277"/>
      <c r="U81" s="278"/>
      <c r="V81" s="103"/>
      <c r="W81" s="84">
        <f t="shared" si="42"/>
        <v>73</v>
      </c>
      <c r="X81" s="84"/>
      <c r="Y81" s="78">
        <f>SUM(E58:E81)</f>
        <v>72</v>
      </c>
      <c r="Z81" s="72" t="str">
        <f t="shared" si="40"/>
        <v/>
      </c>
      <c r="AA81" s="72" t="str">
        <f t="shared" si="41"/>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37"/>
        <v>0</v>
      </c>
      <c r="I82" s="70">
        <f t="shared" si="38"/>
        <v>0</v>
      </c>
      <c r="J82" s="73" t="str">
        <f t="shared" si="39"/>
        <v>--</v>
      </c>
      <c r="K82" s="32"/>
      <c r="L82" s="234"/>
      <c r="M82" s="277"/>
      <c r="N82" s="277"/>
      <c r="O82" s="277"/>
      <c r="P82" s="277"/>
      <c r="Q82" s="277"/>
      <c r="R82" s="277"/>
      <c r="S82" s="277"/>
      <c r="T82" s="277"/>
      <c r="U82" s="278"/>
      <c r="V82" s="103"/>
      <c r="W82" s="72"/>
      <c r="X82" s="72"/>
      <c r="Y82" s="78">
        <f>SUM(E58:E82)</f>
        <v>72</v>
      </c>
      <c r="Z82" s="72" t="str">
        <f t="shared" si="40"/>
        <v/>
      </c>
      <c r="AA82" s="72" t="str">
        <f t="shared" si="41"/>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319" t="s">
        <v>305</v>
      </c>
      <c r="C83" s="320"/>
      <c r="D83" s="79"/>
      <c r="E83" s="80"/>
      <c r="F83" s="80"/>
      <c r="G83" s="81"/>
      <c r="H83" s="192"/>
      <c r="I83" s="192"/>
      <c r="J83" s="192"/>
      <c r="K83" s="82"/>
      <c r="L83" s="319" t="s">
        <v>306</v>
      </c>
      <c r="M83" s="330"/>
      <c r="N83" s="330"/>
      <c r="O83" s="330"/>
      <c r="P83" s="330"/>
      <c r="Q83" s="330"/>
      <c r="R83" s="330"/>
      <c r="S83" s="330"/>
      <c r="T83" s="330"/>
      <c r="U83" s="320"/>
      <c r="V83" s="104"/>
      <c r="W83" s="72"/>
      <c r="X83" s="72"/>
      <c r="Y83" s="72"/>
      <c r="Z83" s="72"/>
      <c r="AA83" s="72" t="str">
        <f t="shared" si="41"/>
        <v/>
      </c>
      <c r="AB83" s="72"/>
      <c r="AC83" s="72">
        <f>SUM(AC58:AC82)</f>
        <v>25</v>
      </c>
      <c r="AD83" s="72">
        <f>SUM(AD58:AD82)</f>
        <v>24</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319" t="s">
        <v>307</v>
      </c>
      <c r="C84" s="320"/>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41"/>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312" t="s">
        <v>222</v>
      </c>
      <c r="C88" s="313"/>
      <c r="D88" s="314" t="s">
        <v>223</v>
      </c>
      <c r="E88" s="305"/>
      <c r="F88" s="88"/>
      <c r="G88" s="315" t="s">
        <v>224</v>
      </c>
      <c r="H88" s="316"/>
      <c r="I88" s="28">
        <f>SUM(E99:E123)</f>
        <v>48</v>
      </c>
      <c r="J88" s="317" t="s">
        <v>225</v>
      </c>
      <c r="K88" s="318"/>
      <c r="L88" s="305"/>
      <c r="M88" s="196">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5" t="s">
        <v>226</v>
      </c>
      <c r="AA88" s="296"/>
      <c r="AB88" s="297"/>
      <c r="AC88" s="25"/>
      <c r="AD88" s="25"/>
      <c r="AH88" s="109">
        <v>2</v>
      </c>
      <c r="AI88" s="109" t="str">
        <f>IF($E89="SS",COUNTIFS($C99:$C123,"FST",$E99:$E123,"2"),"0")</f>
        <v>0</v>
      </c>
      <c r="AJ88" s="109" t="str">
        <f>IF($E89="RPX",COUNTIFS($C99:$C123,"FST",$E99:$E123,"2"),"0")</f>
        <v>0</v>
      </c>
      <c r="AK88" s="109">
        <f>IF($E89="EUC",COUNTIFS($C99:$C123,"FST",$E99:$E123,"2"),"0")</f>
        <v>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4" t="s">
        <v>230</v>
      </c>
      <c r="H89" s="305"/>
      <c r="I89" s="33">
        <f>E90-I88</f>
        <v>0</v>
      </c>
      <c r="J89" s="289" t="s">
        <v>231</v>
      </c>
      <c r="K89" s="290"/>
      <c r="L89" s="34">
        <f>I93</f>
        <v>781</v>
      </c>
      <c r="M89" s="196">
        <v>4</v>
      </c>
      <c r="N89" s="35">
        <f>SUM(AI89,AI100)</f>
        <v>0</v>
      </c>
      <c r="O89" s="35">
        <v>0</v>
      </c>
      <c r="P89" s="35">
        <f>SUM(AJ89,AJ100)</f>
        <v>0</v>
      </c>
      <c r="Q89" s="35">
        <v>0</v>
      </c>
      <c r="R89" s="35">
        <f>COUNTIFS($E99:$E123,"4",$F99:$F123,"Pole",$C99:$C123,"FST")</f>
        <v>0</v>
      </c>
      <c r="S89" s="35">
        <f>SUM(AL89,AK100)</f>
        <v>0</v>
      </c>
      <c r="T89" s="35">
        <v>0</v>
      </c>
      <c r="U89" s="35">
        <f>SUM(AK89,AL100)</f>
        <v>3</v>
      </c>
      <c r="V89" s="35">
        <v>0</v>
      </c>
      <c r="W89" s="34">
        <f>COUNTIFS($E99:$E123,"4",$F99:$F123,"HH",$C99:$C123,"FST")</f>
        <v>3</v>
      </c>
      <c r="X89" s="35">
        <f>COUNTIFS($E99:$E123,"4",$F99:$F123,"Ped",$C99:$C123,"FST")</f>
        <v>0</v>
      </c>
      <c r="Y89" s="25"/>
      <c r="Z89" s="298" t="s">
        <v>232</v>
      </c>
      <c r="AA89" s="300" t="s">
        <v>233</v>
      </c>
      <c r="AB89" s="301"/>
      <c r="AC89" s="25"/>
      <c r="AD89" s="25"/>
      <c r="AH89" s="109">
        <v>4</v>
      </c>
      <c r="AI89" s="109" t="str">
        <f>IF($E89="SS",COUNTIFS($C99:$C123,"FST",$E99:$E123,"4"),"0")</f>
        <v>0</v>
      </c>
      <c r="AJ89" s="109" t="str">
        <f>IF($E89="RPX",COUNTIFS($C99:$C123,"FST",$E99:$E123,"4"),"0")</f>
        <v>0</v>
      </c>
      <c r="AK89" s="109">
        <f>IF($E89="EUC",COUNTIFS($C99:$C123,"FST",$E99:$E123,"4"),"0")</f>
        <v>3</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48</v>
      </c>
      <c r="F90" s="88"/>
      <c r="G90" s="291" t="s">
        <v>237</v>
      </c>
      <c r="H90" s="292"/>
      <c r="I90" s="35">
        <f>IF(E90=0,0,12-(MOD(I88,12)))</f>
        <v>12</v>
      </c>
      <c r="J90" s="289" t="s">
        <v>238</v>
      </c>
      <c r="K90" s="290"/>
      <c r="L90" s="39">
        <f>I94-I88</f>
        <v>780</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299"/>
      <c r="AA90" s="302"/>
      <c r="AB90" s="303"/>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0</v>
      </c>
      <c r="F91" s="88"/>
      <c r="G91" s="321" t="s">
        <v>242</v>
      </c>
      <c r="H91" s="43" t="s">
        <v>243</v>
      </c>
      <c r="I91" s="35">
        <f>IF(E91&lt;&gt;0,1,0)</f>
        <v>0</v>
      </c>
      <c r="J91" s="291" t="s">
        <v>244</v>
      </c>
      <c r="K91" s="292"/>
      <c r="L91" s="44">
        <f>'Cable Calculator'!N3</f>
        <v>1815</v>
      </c>
      <c r="M91" s="196">
        <v>8</v>
      </c>
      <c r="N91" s="35">
        <f>SUM(AI91,AI102)</f>
        <v>0</v>
      </c>
      <c r="O91" s="35">
        <v>0</v>
      </c>
      <c r="P91" s="35">
        <f>SUM(AJ91,AJ102)</f>
        <v>0</v>
      </c>
      <c r="Q91" s="35">
        <v>0</v>
      </c>
      <c r="R91" s="35">
        <f>COUNTIFS($E99:$E123,"8",$F99:$F123,"Pole",$C99:$C123,"FST")</f>
        <v>0</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0</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781</v>
      </c>
      <c r="F92" s="88"/>
      <c r="G92" s="322"/>
      <c r="H92" s="47" t="s">
        <v>248</v>
      </c>
      <c r="I92" s="35">
        <f>IF(E91&lt;&gt;0,E91,0)</f>
        <v>0</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2</v>
      </c>
      <c r="V92" s="35">
        <f>IF($E89="EUC",SUM($AN124,AP124,AR124),"0")</f>
        <v>1</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4</v>
      </c>
      <c r="F93" s="88"/>
      <c r="G93" s="321" t="s">
        <v>251</v>
      </c>
      <c r="H93" s="51" t="s">
        <v>252</v>
      </c>
      <c r="I93" s="112">
        <f>E92</f>
        <v>781</v>
      </c>
      <c r="J93" s="323" t="s">
        <v>253</v>
      </c>
      <c r="K93" s="324"/>
      <c r="L93" s="325"/>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322"/>
      <c r="H94" s="47" t="s">
        <v>257</v>
      </c>
      <c r="I94" s="35">
        <f>IF(E92="","0",IF(AND(E89="EUC",E90=432), I93+(203-E91),IF(E92=0,0,(E92+(E90-E91)-1))))</f>
        <v>828</v>
      </c>
      <c r="J94" s="285" t="str">
        <f>IFERROR(IF(OR(E89="EUC",E89="SS"),"---",IF(OR(P88,S88),"NO 2F Tethers for RPX!",IF(OR(P90,S90),"NO 6F Tethers for RPX!","---"))),"---")</f>
        <v>---</v>
      </c>
      <c r="K94" s="286"/>
      <c r="L94" s="287"/>
      <c r="M94" s="285" t="str">
        <f>IF(E91&gt;60,"Dead Count &gt;60: Consider Downsize","---")</f>
        <v>---</v>
      </c>
      <c r="N94" s="286"/>
      <c r="O94" s="286"/>
      <c r="P94" s="286"/>
      <c r="Q94" s="286"/>
      <c r="R94" s="286"/>
      <c r="S94" s="286"/>
      <c r="T94" s="286"/>
      <c r="U94" s="287"/>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48</v>
      </c>
      <c r="D95" s="31" t="s">
        <v>259</v>
      </c>
      <c r="E95" s="101" t="str">
        <f>IF(AS89="Y","DBL",IF(AS90="Y","TRPL",IF(AS91="Y","QUAD","")))</f>
        <v/>
      </c>
      <c r="F95" s="88"/>
      <c r="G95" s="192"/>
      <c r="H95" s="57"/>
      <c r="I95" s="192"/>
      <c r="J95" s="285"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86"/>
      <c r="L95" s="287"/>
      <c r="M95" s="285" t="str">
        <f>IF(AND(OR(E89="SS",E89="RPX",E89="EUC",E89="RPX-T"),(OR(C99="",C99="Field SPL"))),"Cannot have FlexNap cables without tethers","---")</f>
        <v>---</v>
      </c>
      <c r="N95" s="286"/>
      <c r="O95" s="286"/>
      <c r="P95" s="286"/>
      <c r="Q95" s="286"/>
      <c r="R95" s="286"/>
      <c r="S95" s="286"/>
      <c r="T95" s="286"/>
      <c r="U95" s="287"/>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85" t="str">
        <f>IF(AND(OR(E89="RPX", E89="RPX-T", E89="SS"),E90=216),"NO 216 For RPX, RPX-T, OR SS CABLE","---")</f>
        <v>---</v>
      </c>
      <c r="K96" s="286"/>
      <c r="L96" s="287"/>
      <c r="M96" s="285" t="str" cm="1">
        <f t="array" ref="M96">IF(AND(E89="",OR(C99:C123="FST",C99:C123="REV T",C99:C123="DBL REV",C99:C123="TPL REV", C99:C123="QD REV")),"Non-FlexNap cables cannot have tethers","---")</f>
        <v>---</v>
      </c>
      <c r="N96" s="286"/>
      <c r="O96" s="286"/>
      <c r="P96" s="286"/>
      <c r="Q96" s="286"/>
      <c r="R96" s="286"/>
      <c r="S96" s="286"/>
      <c r="T96" s="286"/>
      <c r="U96" s="287"/>
      <c r="V96" s="25"/>
      <c r="W96" s="58"/>
      <c r="X96" s="58"/>
      <c r="Y96" s="25"/>
      <c r="Z96" s="45">
        <v>6</v>
      </c>
      <c r="AA96" s="65">
        <v>61</v>
      </c>
      <c r="AB96" s="65">
        <v>72</v>
      </c>
      <c r="AC96" s="25"/>
      <c r="AD96" s="25"/>
      <c r="BA96" s="226"/>
    </row>
    <row r="97" spans="1:53" ht="15.75" customHeight="1" thickBot="1" x14ac:dyDescent="0.3">
      <c r="A97" s="88"/>
      <c r="B97" s="321" t="s">
        <v>260</v>
      </c>
      <c r="C97" s="293" t="s">
        <v>261</v>
      </c>
      <c r="D97" s="293" t="s">
        <v>262</v>
      </c>
      <c r="E97" s="306" t="s">
        <v>263</v>
      </c>
      <c r="F97" s="293" t="s">
        <v>264</v>
      </c>
      <c r="G97" s="308" t="s">
        <v>265</v>
      </c>
      <c r="H97" s="308" t="s">
        <v>266</v>
      </c>
      <c r="I97" s="308" t="s">
        <v>267</v>
      </c>
      <c r="J97" s="310" t="s">
        <v>268</v>
      </c>
      <c r="K97" s="293" t="s">
        <v>269</v>
      </c>
      <c r="L97" s="279" t="s">
        <v>270</v>
      </c>
      <c r="M97" s="281" t="s">
        <v>271</v>
      </c>
      <c r="N97" s="281"/>
      <c r="O97" s="281"/>
      <c r="P97" s="281"/>
      <c r="Q97" s="281"/>
      <c r="R97" s="281"/>
      <c r="S97" s="281"/>
      <c r="T97" s="281"/>
      <c r="U97" s="282"/>
      <c r="V97" s="107"/>
      <c r="W97" s="72"/>
      <c r="X97" s="72"/>
      <c r="Y97" s="72"/>
      <c r="Z97" s="45">
        <v>7</v>
      </c>
      <c r="AA97" s="65">
        <v>73</v>
      </c>
      <c r="AB97" s="65">
        <v>84</v>
      </c>
      <c r="AC97" s="25"/>
      <c r="AD97" s="25"/>
      <c r="BA97" s="228"/>
    </row>
    <row r="98" spans="1:53" ht="15.75" thickBot="1" x14ac:dyDescent="0.3">
      <c r="A98" s="88"/>
      <c r="B98" s="322"/>
      <c r="C98" s="294"/>
      <c r="D98" s="294"/>
      <c r="E98" s="307"/>
      <c r="F98" s="294"/>
      <c r="G98" s="309"/>
      <c r="H98" s="309"/>
      <c r="I98" s="309"/>
      <c r="J98" s="311"/>
      <c r="K98" s="294"/>
      <c r="L98" s="280"/>
      <c r="M98" s="283"/>
      <c r="N98" s="283"/>
      <c r="O98" s="283"/>
      <c r="P98" s="283"/>
      <c r="Q98" s="283"/>
      <c r="R98" s="283"/>
      <c r="S98" s="283"/>
      <c r="T98" s="283"/>
      <c r="U98" s="284"/>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741</v>
      </c>
      <c r="E99" s="32">
        <v>4</v>
      </c>
      <c r="F99" s="32" t="s">
        <v>488</v>
      </c>
      <c r="G99" s="68" t="s">
        <v>277</v>
      </c>
      <c r="H99" s="69">
        <f>IF(I99=0,0,I99-(E99-1))</f>
        <v>825</v>
      </c>
      <c r="I99" s="70">
        <f>IF(E99=0,0,I94)</f>
        <v>828</v>
      </c>
      <c r="J99" s="71" t="s">
        <v>278</v>
      </c>
      <c r="K99" s="32"/>
      <c r="L99" s="233"/>
      <c r="M99" s="277"/>
      <c r="N99" s="277"/>
      <c r="O99" s="277"/>
      <c r="P99" s="277"/>
      <c r="Q99" s="277"/>
      <c r="R99" s="277"/>
      <c r="S99" s="277"/>
      <c r="T99" s="277"/>
      <c r="U99" s="278"/>
      <c r="V99" s="103"/>
      <c r="W99" s="72"/>
      <c r="X99" s="72"/>
      <c r="Y99" s="72"/>
      <c r="Z99" s="45">
        <v>9</v>
      </c>
      <c r="AA99" s="46">
        <v>97</v>
      </c>
      <c r="AB99" s="46">
        <v>108</v>
      </c>
      <c r="AC99" s="72">
        <f t="shared" ref="AC99:AC123" si="43">IF(B99&lt;&gt;"FST",1,0)</f>
        <v>1</v>
      </c>
      <c r="AD99" s="72">
        <f t="shared" ref="AD99:AD123" si="44">IF(C99&lt;&gt;"FST",1,0)</f>
        <v>0</v>
      </c>
      <c r="AE99" s="109" t="str">
        <f t="shared" ref="AE99:AE123" si="45">CONCATENATE(H99,"-",I99)</f>
        <v>825-828</v>
      </c>
      <c r="AF99" s="109" t="str">
        <f t="shared" ref="AF99:AF123" si="46">IF(C99="Field SPL","N","Y")</f>
        <v>Y</v>
      </c>
      <c r="AG99" s="109" t="str">
        <f t="shared" ref="AG99:AG123" si="47">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48">VALUE(IF(C99="FST","0",IF(C99="REV T","1",IF(C99="DBL REV",".5","0"))))</f>
        <v>0</v>
      </c>
      <c r="AN99" s="109">
        <f t="shared" ref="AN99:AN123" si="49">VALUE(IF(C99="FST","0",IF(C99="REV T","0",IF(C99="DBL REV",".5","0"))))</f>
        <v>0</v>
      </c>
      <c r="AO99" s="109" t="str">
        <f t="shared" ref="AO99:AO123" si="50">IF(C99="TPL REV","Y","")</f>
        <v/>
      </c>
      <c r="AQ99" s="109" t="str">
        <f t="shared" ref="AQ99:AQ123" si="51">IF(C99="QD REV","Y","")</f>
        <v/>
      </c>
      <c r="BA99" s="229">
        <f>MOD(E99,12)</f>
        <v>4</v>
      </c>
    </row>
    <row r="100" spans="1:53" ht="15.75" thickBot="1" x14ac:dyDescent="0.3">
      <c r="A100" s="88"/>
      <c r="B100" s="66" t="s">
        <v>279</v>
      </c>
      <c r="C100" s="67" t="s">
        <v>484</v>
      </c>
      <c r="D100" s="102" t="s">
        <v>742</v>
      </c>
      <c r="E100" s="32">
        <v>4</v>
      </c>
      <c r="F100" s="32" t="s">
        <v>488</v>
      </c>
      <c r="G100" s="68" t="s">
        <v>277</v>
      </c>
      <c r="H100" s="69">
        <f t="shared" ref="H100:H123" si="52">IF(E100=0,0,I100-(E100-1))</f>
        <v>821</v>
      </c>
      <c r="I100" s="70">
        <f t="shared" ref="I100:I123" si="53">IF(E100=0,0,H99-1)</f>
        <v>824</v>
      </c>
      <c r="J100" s="73" t="str">
        <f>IF(C100="","--",IF(AND(C100&lt;&gt;"FST",C100&lt;&gt;"TCF",BA99&lt;&gt;0),BA99,"--"))</f>
        <v>--</v>
      </c>
      <c r="K100" s="32"/>
      <c r="L100" s="233"/>
      <c r="M100" s="277"/>
      <c r="N100" s="277"/>
      <c r="O100" s="277"/>
      <c r="P100" s="277"/>
      <c r="Q100" s="277"/>
      <c r="R100" s="277"/>
      <c r="S100" s="277"/>
      <c r="T100" s="277"/>
      <c r="U100" s="278"/>
      <c r="V100" s="103"/>
      <c r="W100" s="72"/>
      <c r="X100" s="72"/>
      <c r="Y100" s="72"/>
      <c r="Z100" s="45">
        <v>10</v>
      </c>
      <c r="AA100" s="46">
        <v>109</v>
      </c>
      <c r="AB100" s="46">
        <v>120</v>
      </c>
      <c r="AC100" s="72">
        <f t="shared" si="43"/>
        <v>1</v>
      </c>
      <c r="AD100" s="72">
        <f t="shared" si="44"/>
        <v>0</v>
      </c>
      <c r="AE100" s="109" t="str">
        <f t="shared" si="45"/>
        <v>821-824</v>
      </c>
      <c r="AF100" s="109" t="str">
        <f t="shared" si="46"/>
        <v>Y</v>
      </c>
      <c r="AG100" s="109" t="str">
        <f t="shared" si="47"/>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48"/>
        <v>0</v>
      </c>
      <c r="AN100" s="109">
        <f t="shared" si="49"/>
        <v>0</v>
      </c>
      <c r="AO100" s="109" t="str">
        <f t="shared" si="50"/>
        <v/>
      </c>
      <c r="AQ100" s="109" t="str">
        <f t="shared" si="51"/>
        <v/>
      </c>
      <c r="BA100" s="229">
        <f>MOD(SUM(E99:E100),12)</f>
        <v>8</v>
      </c>
    </row>
    <row r="101" spans="1:53" ht="15.75" thickBot="1" x14ac:dyDescent="0.3">
      <c r="A101" s="88"/>
      <c r="B101" s="74" t="s">
        <v>280</v>
      </c>
      <c r="C101" s="67" t="s">
        <v>484</v>
      </c>
      <c r="D101" s="102" t="s">
        <v>743</v>
      </c>
      <c r="E101" s="32">
        <v>4</v>
      </c>
      <c r="F101" s="32" t="s">
        <v>488</v>
      </c>
      <c r="G101" s="75" t="s">
        <v>277</v>
      </c>
      <c r="H101" s="69">
        <f t="shared" si="52"/>
        <v>817</v>
      </c>
      <c r="I101" s="70">
        <f t="shared" si="53"/>
        <v>820</v>
      </c>
      <c r="J101" s="73" t="str">
        <f t="shared" ref="J101:J123" si="54">IF(C101="","--",IF(AND(C101&lt;&gt;"FST",C101&lt;&gt;"TCF",BA100&lt;&gt;0),BA100,"--"))</f>
        <v>--</v>
      </c>
      <c r="K101" s="32"/>
      <c r="L101" s="233"/>
      <c r="M101" s="277"/>
      <c r="N101" s="277"/>
      <c r="O101" s="277"/>
      <c r="P101" s="277"/>
      <c r="Q101" s="277"/>
      <c r="R101" s="277"/>
      <c r="S101" s="277"/>
      <c r="T101" s="277"/>
      <c r="U101" s="278"/>
      <c r="V101" s="103"/>
      <c r="W101" s="72"/>
      <c r="X101" s="72"/>
      <c r="Y101" s="72"/>
      <c r="Z101" s="45">
        <v>11</v>
      </c>
      <c r="AA101" s="46">
        <v>121</v>
      </c>
      <c r="AB101" s="46">
        <v>132</v>
      </c>
      <c r="AC101" s="72">
        <f t="shared" si="43"/>
        <v>1</v>
      </c>
      <c r="AD101" s="72">
        <f t="shared" si="44"/>
        <v>0</v>
      </c>
      <c r="AE101" s="109" t="str">
        <f t="shared" si="45"/>
        <v>817-820</v>
      </c>
      <c r="AF101" s="109" t="str">
        <f t="shared" si="46"/>
        <v>Y</v>
      </c>
      <c r="AG101" s="109" t="str">
        <f t="shared" si="47"/>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48"/>
        <v>0</v>
      </c>
      <c r="AN101" s="109">
        <f t="shared" si="49"/>
        <v>0</v>
      </c>
      <c r="AO101" s="109" t="str">
        <f t="shared" si="50"/>
        <v/>
      </c>
      <c r="AQ101" s="109" t="str">
        <f t="shared" si="51"/>
        <v/>
      </c>
      <c r="BA101" s="229">
        <f>MOD(SUM(E99:E102),12)</f>
        <v>0</v>
      </c>
    </row>
    <row r="102" spans="1:53" ht="15.75" thickBot="1" x14ac:dyDescent="0.3">
      <c r="A102" s="88"/>
      <c r="B102" s="66" t="s">
        <v>281</v>
      </c>
      <c r="C102" s="67" t="s">
        <v>494</v>
      </c>
      <c r="D102" s="102"/>
      <c r="E102" s="32">
        <v>12</v>
      </c>
      <c r="F102" s="32"/>
      <c r="G102" s="68" t="s">
        <v>277</v>
      </c>
      <c r="H102" s="69">
        <f t="shared" si="52"/>
        <v>805</v>
      </c>
      <c r="I102" s="70">
        <f t="shared" si="53"/>
        <v>816</v>
      </c>
      <c r="J102" s="73" t="str">
        <f t="shared" si="54"/>
        <v>--</v>
      </c>
      <c r="K102" s="32"/>
      <c r="L102" s="233"/>
      <c r="M102" s="277" t="s">
        <v>406</v>
      </c>
      <c r="N102" s="277"/>
      <c r="O102" s="277"/>
      <c r="P102" s="277"/>
      <c r="Q102" s="277"/>
      <c r="R102" s="277"/>
      <c r="S102" s="277"/>
      <c r="T102" s="277"/>
      <c r="U102" s="278"/>
      <c r="V102" s="103"/>
      <c r="W102" s="72"/>
      <c r="X102" s="72"/>
      <c r="Y102" s="72"/>
      <c r="Z102" s="45">
        <v>12</v>
      </c>
      <c r="AA102" s="76">
        <v>133</v>
      </c>
      <c r="AB102" s="76">
        <v>144</v>
      </c>
      <c r="AC102" s="72">
        <f t="shared" si="43"/>
        <v>1</v>
      </c>
      <c r="AD102" s="72">
        <f t="shared" si="44"/>
        <v>1</v>
      </c>
      <c r="AE102" s="109" t="str">
        <f t="shared" si="45"/>
        <v>805-816</v>
      </c>
      <c r="AF102" s="109" t="str">
        <f t="shared" si="46"/>
        <v>Y</v>
      </c>
      <c r="AG102" s="109" t="str">
        <f t="shared" si="47"/>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48"/>
        <v>1</v>
      </c>
      <c r="AN102" s="109">
        <f t="shared" si="49"/>
        <v>0</v>
      </c>
      <c r="AO102" s="109" t="str">
        <f t="shared" si="50"/>
        <v/>
      </c>
      <c r="AQ102" s="109" t="str">
        <f t="shared" si="51"/>
        <v/>
      </c>
      <c r="BA102" s="229">
        <f>MOD(SUM(E99:E103),12)</f>
        <v>0</v>
      </c>
    </row>
    <row r="103" spans="1:53" ht="15.75" thickBot="1" x14ac:dyDescent="0.3">
      <c r="A103" s="88"/>
      <c r="B103" s="66" t="s">
        <v>282</v>
      </c>
      <c r="C103" s="67" t="s">
        <v>499</v>
      </c>
      <c r="D103" s="102"/>
      <c r="E103" s="32">
        <v>12</v>
      </c>
      <c r="F103" s="32"/>
      <c r="G103" s="68" t="s">
        <v>277</v>
      </c>
      <c r="H103" s="69">
        <f t="shared" si="52"/>
        <v>793</v>
      </c>
      <c r="I103" s="70">
        <f t="shared" si="53"/>
        <v>804</v>
      </c>
      <c r="J103" s="73" t="str">
        <f t="shared" si="54"/>
        <v>--</v>
      </c>
      <c r="K103" s="32"/>
      <c r="L103" s="233"/>
      <c r="M103" s="277" t="s">
        <v>407</v>
      </c>
      <c r="N103" s="277"/>
      <c r="O103" s="277"/>
      <c r="P103" s="277"/>
      <c r="Q103" s="277"/>
      <c r="R103" s="277"/>
      <c r="S103" s="277"/>
      <c r="T103" s="277"/>
      <c r="U103" s="278"/>
      <c r="V103" s="103"/>
      <c r="W103" s="72"/>
      <c r="X103" s="72"/>
      <c r="Y103" s="72"/>
      <c r="Z103" s="45">
        <v>13</v>
      </c>
      <c r="AA103" s="77">
        <f t="shared" ref="AA103:AA108" si="55">AB102+1</f>
        <v>145</v>
      </c>
      <c r="AB103" s="77">
        <f t="shared" ref="AB103:AB108" si="56">AB102+12</f>
        <v>156</v>
      </c>
      <c r="AC103" s="72">
        <f t="shared" si="43"/>
        <v>1</v>
      </c>
      <c r="AD103" s="72">
        <f t="shared" si="44"/>
        <v>1</v>
      </c>
      <c r="AE103" s="109" t="str">
        <f t="shared" si="45"/>
        <v>793-804</v>
      </c>
      <c r="AF103" s="109" t="str">
        <f t="shared" si="46"/>
        <v>Y</v>
      </c>
      <c r="AG103" s="109" t="str">
        <f t="shared" si="47"/>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48"/>
        <v>0.5</v>
      </c>
      <c r="AN103" s="109">
        <f t="shared" si="49"/>
        <v>0.5</v>
      </c>
      <c r="AO103" s="109" t="str">
        <f t="shared" si="50"/>
        <v/>
      </c>
      <c r="AQ103" s="109" t="str">
        <f t="shared" si="51"/>
        <v/>
      </c>
      <c r="BA103" s="229">
        <f>MOD(SUM(E99:E104),12)</f>
        <v>0</v>
      </c>
    </row>
    <row r="104" spans="1:53" ht="15.75" thickBot="1" x14ac:dyDescent="0.3">
      <c r="A104" s="88"/>
      <c r="B104" s="66" t="s">
        <v>283</v>
      </c>
      <c r="C104" s="67" t="s">
        <v>499</v>
      </c>
      <c r="D104" s="102"/>
      <c r="E104" s="32">
        <v>12</v>
      </c>
      <c r="F104" s="32"/>
      <c r="G104" s="68" t="s">
        <v>277</v>
      </c>
      <c r="H104" s="69">
        <f t="shared" si="52"/>
        <v>781</v>
      </c>
      <c r="I104" s="70">
        <f t="shared" si="53"/>
        <v>792</v>
      </c>
      <c r="J104" s="73" t="str">
        <f t="shared" si="54"/>
        <v>--</v>
      </c>
      <c r="K104" s="32"/>
      <c r="L104" s="233"/>
      <c r="M104" s="277" t="s">
        <v>407</v>
      </c>
      <c r="N104" s="277"/>
      <c r="O104" s="277"/>
      <c r="P104" s="277"/>
      <c r="Q104" s="277"/>
      <c r="R104" s="277"/>
      <c r="S104" s="277"/>
      <c r="T104" s="277"/>
      <c r="U104" s="278"/>
      <c r="V104" s="103"/>
      <c r="W104" s="72"/>
      <c r="X104" s="72"/>
      <c r="Y104" s="72"/>
      <c r="Z104" s="45">
        <v>14</v>
      </c>
      <c r="AA104" s="77">
        <f t="shared" si="55"/>
        <v>157</v>
      </c>
      <c r="AB104" s="77">
        <f t="shared" si="56"/>
        <v>168</v>
      </c>
      <c r="AC104" s="72">
        <f t="shared" si="43"/>
        <v>1</v>
      </c>
      <c r="AD104" s="72">
        <f t="shared" si="44"/>
        <v>1</v>
      </c>
      <c r="AE104" s="109" t="str">
        <f t="shared" si="45"/>
        <v>781-792</v>
      </c>
      <c r="AF104" s="109" t="str">
        <f t="shared" si="46"/>
        <v>Y</v>
      </c>
      <c r="AG104" s="109" t="str">
        <f t="shared" si="47"/>
        <v>B</v>
      </c>
      <c r="AM104" s="109">
        <f t="shared" si="48"/>
        <v>0.5</v>
      </c>
      <c r="AN104" s="109">
        <f t="shared" si="49"/>
        <v>0.5</v>
      </c>
      <c r="AO104" s="109" t="str">
        <f t="shared" si="50"/>
        <v/>
      </c>
      <c r="AQ104" s="109" t="str">
        <f t="shared" si="51"/>
        <v/>
      </c>
      <c r="BA104" s="229">
        <f>MOD(SUM(E99:E105),12)</f>
        <v>0</v>
      </c>
    </row>
    <row r="105" spans="1:53" ht="15.75" thickBot="1" x14ac:dyDescent="0.3">
      <c r="A105" s="88"/>
      <c r="B105" s="66" t="s">
        <v>284</v>
      </c>
      <c r="C105" s="67"/>
      <c r="D105" s="102"/>
      <c r="E105" s="32"/>
      <c r="F105" s="32"/>
      <c r="G105" s="68" t="s">
        <v>277</v>
      </c>
      <c r="H105" s="69">
        <f t="shared" si="52"/>
        <v>0</v>
      </c>
      <c r="I105" s="70">
        <f t="shared" si="53"/>
        <v>0</v>
      </c>
      <c r="J105" s="73" t="str">
        <f t="shared" si="54"/>
        <v>--</v>
      </c>
      <c r="K105" s="32"/>
      <c r="L105" s="233"/>
      <c r="M105" s="277"/>
      <c r="N105" s="277"/>
      <c r="O105" s="277"/>
      <c r="P105" s="277"/>
      <c r="Q105" s="277"/>
      <c r="R105" s="277"/>
      <c r="S105" s="277"/>
      <c r="T105" s="277"/>
      <c r="U105" s="278"/>
      <c r="V105" s="103"/>
      <c r="W105" s="72"/>
      <c r="X105" s="72"/>
      <c r="Y105" s="72"/>
      <c r="Z105" s="45">
        <v>15</v>
      </c>
      <c r="AA105" s="77">
        <f t="shared" si="55"/>
        <v>169</v>
      </c>
      <c r="AB105" s="77">
        <f t="shared" si="56"/>
        <v>180</v>
      </c>
      <c r="AC105" s="72">
        <f t="shared" si="43"/>
        <v>1</v>
      </c>
      <c r="AD105" s="72">
        <f t="shared" si="44"/>
        <v>1</v>
      </c>
      <c r="AE105" s="109" t="str">
        <f t="shared" si="45"/>
        <v>0-0</v>
      </c>
      <c r="AF105" s="109" t="str">
        <f t="shared" si="46"/>
        <v>Y</v>
      </c>
      <c r="AG105" s="109" t="str">
        <f t="shared" si="47"/>
        <v>B</v>
      </c>
      <c r="AM105" s="109">
        <f t="shared" si="48"/>
        <v>0</v>
      </c>
      <c r="AN105" s="109">
        <f t="shared" si="49"/>
        <v>0</v>
      </c>
      <c r="AO105" s="109" t="str">
        <f t="shared" si="50"/>
        <v/>
      </c>
      <c r="AQ105" s="109" t="str">
        <f t="shared" si="51"/>
        <v/>
      </c>
      <c r="BA105" s="229">
        <f>MOD(SUM(E99:E106),12)</f>
        <v>0</v>
      </c>
    </row>
    <row r="106" spans="1:53" ht="15.75" thickBot="1" x14ac:dyDescent="0.3">
      <c r="A106" s="88"/>
      <c r="B106" s="66" t="s">
        <v>285</v>
      </c>
      <c r="C106" s="67"/>
      <c r="D106" s="102"/>
      <c r="E106" s="32"/>
      <c r="F106" s="32"/>
      <c r="G106" s="68" t="s">
        <v>277</v>
      </c>
      <c r="H106" s="69">
        <f t="shared" si="52"/>
        <v>0</v>
      </c>
      <c r="I106" s="70">
        <f t="shared" si="53"/>
        <v>0</v>
      </c>
      <c r="J106" s="73" t="str">
        <f t="shared" si="54"/>
        <v>--</v>
      </c>
      <c r="K106" s="32"/>
      <c r="L106" s="233"/>
      <c r="M106" s="277"/>
      <c r="N106" s="277"/>
      <c r="O106" s="277"/>
      <c r="P106" s="277"/>
      <c r="Q106" s="277"/>
      <c r="R106" s="277"/>
      <c r="S106" s="277"/>
      <c r="T106" s="277"/>
      <c r="U106" s="278"/>
      <c r="V106" s="103"/>
      <c r="W106" s="72"/>
      <c r="X106" s="72"/>
      <c r="Y106" s="72"/>
      <c r="Z106" s="45">
        <f>Z105+1</f>
        <v>16</v>
      </c>
      <c r="AA106" s="77">
        <f t="shared" si="55"/>
        <v>181</v>
      </c>
      <c r="AB106" s="77">
        <f t="shared" si="56"/>
        <v>192</v>
      </c>
      <c r="AC106" s="72">
        <f t="shared" si="43"/>
        <v>1</v>
      </c>
      <c r="AD106" s="72">
        <f t="shared" si="44"/>
        <v>1</v>
      </c>
      <c r="AE106" s="109" t="str">
        <f t="shared" si="45"/>
        <v>0-0</v>
      </c>
      <c r="AF106" s="109" t="str">
        <f t="shared" si="46"/>
        <v>Y</v>
      </c>
      <c r="AG106" s="109" t="str">
        <f t="shared" si="47"/>
        <v>B</v>
      </c>
      <c r="AM106" s="109">
        <f t="shared" si="48"/>
        <v>0</v>
      </c>
      <c r="AN106" s="109">
        <f t="shared" si="49"/>
        <v>0</v>
      </c>
      <c r="AO106" s="109" t="str">
        <f t="shared" si="50"/>
        <v/>
      </c>
      <c r="AQ106" s="109" t="str">
        <f t="shared" si="51"/>
        <v/>
      </c>
      <c r="BA106" s="229">
        <f>MOD(SUM(E99:E107),12)</f>
        <v>0</v>
      </c>
    </row>
    <row r="107" spans="1:53" ht="15.75" thickBot="1" x14ac:dyDescent="0.3">
      <c r="A107" s="88"/>
      <c r="B107" s="66" t="s">
        <v>286</v>
      </c>
      <c r="C107" s="67"/>
      <c r="D107" s="102"/>
      <c r="E107" s="32"/>
      <c r="F107" s="32"/>
      <c r="G107" s="68" t="s">
        <v>277</v>
      </c>
      <c r="H107" s="69">
        <f t="shared" si="52"/>
        <v>0</v>
      </c>
      <c r="I107" s="70">
        <f t="shared" si="53"/>
        <v>0</v>
      </c>
      <c r="J107" s="73" t="str">
        <f t="shared" si="54"/>
        <v>--</v>
      </c>
      <c r="K107" s="32"/>
      <c r="L107" s="233"/>
      <c r="M107" s="277"/>
      <c r="N107" s="277"/>
      <c r="O107" s="277"/>
      <c r="P107" s="277"/>
      <c r="Q107" s="277"/>
      <c r="R107" s="277"/>
      <c r="S107" s="277"/>
      <c r="T107" s="277"/>
      <c r="U107" s="278"/>
      <c r="V107" s="103"/>
      <c r="W107" s="72"/>
      <c r="X107" s="72"/>
      <c r="Y107" s="72"/>
      <c r="Z107" s="45">
        <f>Z106+1</f>
        <v>17</v>
      </c>
      <c r="AA107" s="77">
        <f t="shared" si="55"/>
        <v>193</v>
      </c>
      <c r="AB107" s="77">
        <f t="shared" si="56"/>
        <v>204</v>
      </c>
      <c r="AC107" s="72">
        <f t="shared" si="43"/>
        <v>1</v>
      </c>
      <c r="AD107" s="72">
        <f t="shared" si="44"/>
        <v>1</v>
      </c>
      <c r="AE107" s="109" t="str">
        <f t="shared" si="45"/>
        <v>0-0</v>
      </c>
      <c r="AF107" s="109" t="str">
        <f t="shared" si="46"/>
        <v>Y</v>
      </c>
      <c r="AG107" s="109" t="str">
        <f t="shared" si="47"/>
        <v>B</v>
      </c>
      <c r="AM107" s="109">
        <f t="shared" si="48"/>
        <v>0</v>
      </c>
      <c r="AN107" s="109">
        <f t="shared" si="49"/>
        <v>0</v>
      </c>
      <c r="AO107" s="109" t="str">
        <f t="shared" si="50"/>
        <v/>
      </c>
      <c r="AQ107" s="109" t="str">
        <f t="shared" si="51"/>
        <v/>
      </c>
      <c r="BA107" s="229">
        <f>MOD(SUM(E99:E108),12)</f>
        <v>0</v>
      </c>
    </row>
    <row r="108" spans="1:53" ht="15.75" thickBot="1" x14ac:dyDescent="0.3">
      <c r="A108" s="88"/>
      <c r="B108" s="66" t="s">
        <v>287</v>
      </c>
      <c r="C108" s="67"/>
      <c r="D108" s="102"/>
      <c r="E108" s="32"/>
      <c r="F108" s="32"/>
      <c r="G108" s="68" t="s">
        <v>277</v>
      </c>
      <c r="H108" s="69">
        <f t="shared" si="52"/>
        <v>0</v>
      </c>
      <c r="I108" s="70">
        <f t="shared" si="53"/>
        <v>0</v>
      </c>
      <c r="J108" s="73" t="str">
        <f t="shared" si="54"/>
        <v>--</v>
      </c>
      <c r="K108" s="32"/>
      <c r="L108" s="233"/>
      <c r="M108" s="277"/>
      <c r="N108" s="277"/>
      <c r="O108" s="277"/>
      <c r="P108" s="277"/>
      <c r="Q108" s="277"/>
      <c r="R108" s="277"/>
      <c r="S108" s="277"/>
      <c r="T108" s="277"/>
      <c r="U108" s="278"/>
      <c r="V108" s="103"/>
      <c r="W108" s="72"/>
      <c r="X108" s="72"/>
      <c r="Y108" s="72"/>
      <c r="Z108" s="45">
        <f>Z107+1</f>
        <v>18</v>
      </c>
      <c r="AA108" s="77">
        <f t="shared" si="55"/>
        <v>205</v>
      </c>
      <c r="AB108" s="77">
        <f t="shared" si="56"/>
        <v>216</v>
      </c>
      <c r="AC108" s="72">
        <f t="shared" si="43"/>
        <v>1</v>
      </c>
      <c r="AD108" s="72">
        <f t="shared" si="44"/>
        <v>1</v>
      </c>
      <c r="AE108" s="109" t="str">
        <f t="shared" si="45"/>
        <v>0-0</v>
      </c>
      <c r="AF108" s="109" t="str">
        <f t="shared" si="46"/>
        <v>Y</v>
      </c>
      <c r="AG108" s="109" t="str">
        <f t="shared" si="47"/>
        <v>B</v>
      </c>
      <c r="AM108" s="109">
        <f t="shared" si="48"/>
        <v>0</v>
      </c>
      <c r="AN108" s="109">
        <f t="shared" si="49"/>
        <v>0</v>
      </c>
      <c r="AO108" s="109" t="str">
        <f t="shared" si="50"/>
        <v/>
      </c>
      <c r="AQ108" s="109" t="str">
        <f t="shared" si="51"/>
        <v/>
      </c>
      <c r="BA108" s="229">
        <f>MOD(SUM(E99:E109),12)</f>
        <v>0</v>
      </c>
    </row>
    <row r="109" spans="1:53" ht="15.75" thickBot="1" x14ac:dyDescent="0.3">
      <c r="A109" s="88"/>
      <c r="B109" s="66" t="s">
        <v>288</v>
      </c>
      <c r="C109" s="67"/>
      <c r="D109" s="102"/>
      <c r="E109" s="32"/>
      <c r="F109" s="32"/>
      <c r="G109" s="68" t="s">
        <v>277</v>
      </c>
      <c r="H109" s="69">
        <f t="shared" si="52"/>
        <v>0</v>
      </c>
      <c r="I109" s="70">
        <f t="shared" si="53"/>
        <v>0</v>
      </c>
      <c r="J109" s="73" t="str">
        <f t="shared" si="54"/>
        <v>--</v>
      </c>
      <c r="K109" s="32"/>
      <c r="L109" s="233"/>
      <c r="M109" s="277"/>
      <c r="N109" s="277"/>
      <c r="O109" s="277"/>
      <c r="P109" s="277"/>
      <c r="Q109" s="277"/>
      <c r="R109" s="277"/>
      <c r="S109" s="277"/>
      <c r="T109" s="277"/>
      <c r="U109" s="278"/>
      <c r="V109" s="103"/>
      <c r="W109" s="84"/>
      <c r="X109" s="84"/>
      <c r="Y109" s="72"/>
      <c r="Z109" s="72"/>
      <c r="AA109" s="72"/>
      <c r="AB109" s="72"/>
      <c r="AC109" s="72">
        <f t="shared" si="43"/>
        <v>1</v>
      </c>
      <c r="AD109" s="72">
        <f t="shared" si="44"/>
        <v>1</v>
      </c>
      <c r="AE109" s="109" t="str">
        <f t="shared" si="45"/>
        <v>0-0</v>
      </c>
      <c r="AF109" s="109" t="str">
        <f t="shared" si="46"/>
        <v>Y</v>
      </c>
      <c r="AG109" s="109" t="str">
        <f t="shared" si="47"/>
        <v>B</v>
      </c>
      <c r="AM109" s="109">
        <f t="shared" si="48"/>
        <v>0</v>
      </c>
      <c r="AN109" s="109">
        <f t="shared" si="49"/>
        <v>0</v>
      </c>
      <c r="AO109" s="109" t="str">
        <f t="shared" si="50"/>
        <v/>
      </c>
      <c r="AQ109" s="109" t="str">
        <f t="shared" si="51"/>
        <v/>
      </c>
      <c r="BA109" s="229">
        <f>MOD(SUM(E99:E110),12)</f>
        <v>0</v>
      </c>
    </row>
    <row r="110" spans="1:53" ht="15.75" thickBot="1" x14ac:dyDescent="0.3">
      <c r="A110" s="88"/>
      <c r="B110" s="66" t="s">
        <v>289</v>
      </c>
      <c r="C110" s="67"/>
      <c r="D110" s="102"/>
      <c r="E110" s="32"/>
      <c r="F110" s="32"/>
      <c r="G110" s="68" t="s">
        <v>277</v>
      </c>
      <c r="H110" s="69">
        <f t="shared" si="52"/>
        <v>0</v>
      </c>
      <c r="I110" s="70">
        <f t="shared" si="53"/>
        <v>0</v>
      </c>
      <c r="J110" s="73" t="str">
        <f t="shared" si="54"/>
        <v>--</v>
      </c>
      <c r="K110" s="32"/>
      <c r="L110" s="233"/>
      <c r="M110" s="277"/>
      <c r="N110" s="277"/>
      <c r="O110" s="277"/>
      <c r="P110" s="277"/>
      <c r="Q110" s="277"/>
      <c r="R110" s="277"/>
      <c r="S110" s="277"/>
      <c r="T110" s="277"/>
      <c r="U110" s="278"/>
      <c r="V110" s="103"/>
      <c r="W110" s="84">
        <f>Y110+1</f>
        <v>49</v>
      </c>
      <c r="X110" s="84"/>
      <c r="Y110" s="78">
        <f>SUM(E99:E110)</f>
        <v>48</v>
      </c>
      <c r="Z110" s="72"/>
      <c r="AA110" s="72"/>
      <c r="AB110" s="72"/>
      <c r="AC110" s="72">
        <f t="shared" si="43"/>
        <v>1</v>
      </c>
      <c r="AD110" s="72">
        <f t="shared" si="44"/>
        <v>1</v>
      </c>
      <c r="AE110" s="109" t="str">
        <f t="shared" si="45"/>
        <v>0-0</v>
      </c>
      <c r="AF110" s="109" t="str">
        <f t="shared" si="46"/>
        <v>Y</v>
      </c>
      <c r="AG110" s="109" t="str">
        <f t="shared" si="47"/>
        <v>B</v>
      </c>
      <c r="AM110" s="109">
        <f t="shared" si="48"/>
        <v>0</v>
      </c>
      <c r="AN110" s="109">
        <f t="shared" si="49"/>
        <v>0</v>
      </c>
      <c r="AO110" s="109" t="str">
        <f t="shared" si="50"/>
        <v/>
      </c>
      <c r="AQ110" s="109" t="str">
        <f t="shared" si="51"/>
        <v/>
      </c>
      <c r="BA110" s="229">
        <f>MOD(SUM(E99:E111),12)</f>
        <v>0</v>
      </c>
    </row>
    <row r="111" spans="1:53" ht="15.75" thickBot="1" x14ac:dyDescent="0.3">
      <c r="A111" s="88"/>
      <c r="B111" s="66" t="s">
        <v>290</v>
      </c>
      <c r="C111" s="67"/>
      <c r="D111" s="102"/>
      <c r="E111" s="32"/>
      <c r="F111" s="32"/>
      <c r="G111" s="68" t="s">
        <v>277</v>
      </c>
      <c r="H111" s="69">
        <f t="shared" si="52"/>
        <v>0</v>
      </c>
      <c r="I111" s="70">
        <f t="shared" si="53"/>
        <v>0</v>
      </c>
      <c r="J111" s="73" t="str">
        <f t="shared" si="54"/>
        <v>--</v>
      </c>
      <c r="K111" s="32"/>
      <c r="L111" s="233"/>
      <c r="M111" s="277"/>
      <c r="N111" s="277"/>
      <c r="O111" s="277"/>
      <c r="P111" s="277"/>
      <c r="Q111" s="277"/>
      <c r="R111" s="277"/>
      <c r="S111" s="277"/>
      <c r="T111" s="277"/>
      <c r="U111" s="278"/>
      <c r="V111" s="103"/>
      <c r="W111" s="84">
        <f>Y111+1</f>
        <v>49</v>
      </c>
      <c r="X111" s="84"/>
      <c r="Y111" s="78">
        <f>SUM(E99:E111)</f>
        <v>48</v>
      </c>
      <c r="Z111" s="72" t="str">
        <f t="shared" ref="Z111:Z123" si="57">IF(OR(AND(E$8=216,C110="DBL REV",C111="DBL REV",Y110&lt;=144,Y111&gt;144),AND(E$8=216,C110="TPL REV",C111="TPL REV",Y110&lt;=144,Y111&gt;144),AND(E$8=216,C110="QD REV",C111="QD REV",Y110&lt;=144,Y111&gt;144)),"ERROR","")</f>
        <v/>
      </c>
      <c r="AA111" s="72"/>
      <c r="AB111" s="72"/>
      <c r="AC111" s="72">
        <f t="shared" si="43"/>
        <v>1</v>
      </c>
      <c r="AD111" s="72">
        <f t="shared" si="44"/>
        <v>1</v>
      </c>
      <c r="AE111" s="109" t="str">
        <f t="shared" si="45"/>
        <v>0-0</v>
      </c>
      <c r="AF111" s="109" t="str">
        <f t="shared" si="46"/>
        <v>Y</v>
      </c>
      <c r="AG111" s="109" t="str">
        <f t="shared" si="47"/>
        <v>B</v>
      </c>
      <c r="AM111" s="109">
        <f t="shared" si="48"/>
        <v>0</v>
      </c>
      <c r="AN111" s="109">
        <f t="shared" si="49"/>
        <v>0</v>
      </c>
      <c r="AO111" s="109" t="str">
        <f t="shared" si="50"/>
        <v/>
      </c>
      <c r="AQ111" s="109" t="str">
        <f t="shared" si="51"/>
        <v/>
      </c>
      <c r="BA111" s="229">
        <f>MOD(SUM(E99:E112),12)</f>
        <v>0</v>
      </c>
    </row>
    <row r="112" spans="1:53" ht="15.75" thickBot="1" x14ac:dyDescent="0.3">
      <c r="A112" s="88"/>
      <c r="B112" s="66" t="s">
        <v>291</v>
      </c>
      <c r="C112" s="67"/>
      <c r="D112" s="102"/>
      <c r="E112" s="32"/>
      <c r="F112" s="32"/>
      <c r="G112" s="68" t="s">
        <v>277</v>
      </c>
      <c r="H112" s="69">
        <f t="shared" si="52"/>
        <v>0</v>
      </c>
      <c r="I112" s="70">
        <f t="shared" si="53"/>
        <v>0</v>
      </c>
      <c r="J112" s="73" t="str">
        <f t="shared" si="54"/>
        <v>--</v>
      </c>
      <c r="K112" s="32"/>
      <c r="L112" s="233"/>
      <c r="M112" s="277"/>
      <c r="N112" s="277"/>
      <c r="O112" s="277"/>
      <c r="P112" s="277"/>
      <c r="Q112" s="277"/>
      <c r="R112" s="277"/>
      <c r="S112" s="277"/>
      <c r="T112" s="277"/>
      <c r="U112" s="278"/>
      <c r="V112" s="103"/>
      <c r="W112" s="84">
        <f>Y112+1</f>
        <v>49</v>
      </c>
      <c r="X112" s="84"/>
      <c r="Y112" s="78">
        <f>SUM(E99:E112)</f>
        <v>48</v>
      </c>
      <c r="Z112" s="72" t="str">
        <f t="shared" si="57"/>
        <v/>
      </c>
      <c r="AA112" s="72"/>
      <c r="AB112" s="72"/>
      <c r="AC112" s="72">
        <f t="shared" si="43"/>
        <v>1</v>
      </c>
      <c r="AD112" s="72">
        <f t="shared" si="44"/>
        <v>1</v>
      </c>
      <c r="AE112" s="109" t="str">
        <f t="shared" si="45"/>
        <v>0-0</v>
      </c>
      <c r="AF112" s="109" t="str">
        <f t="shared" si="46"/>
        <v>Y</v>
      </c>
      <c r="AG112" s="109" t="str">
        <f t="shared" si="47"/>
        <v>B</v>
      </c>
      <c r="AM112" s="109">
        <f t="shared" si="48"/>
        <v>0</v>
      </c>
      <c r="AN112" s="109">
        <f t="shared" si="49"/>
        <v>0</v>
      </c>
      <c r="AO112" s="109" t="str">
        <f t="shared" si="50"/>
        <v/>
      </c>
      <c r="AQ112" s="109" t="str">
        <f t="shared" si="51"/>
        <v/>
      </c>
      <c r="BA112" s="229">
        <f>MOD(SUM(E99:E113),12)</f>
        <v>0</v>
      </c>
    </row>
    <row r="113" spans="1:53" ht="15.75" thickBot="1" x14ac:dyDescent="0.3">
      <c r="A113" s="88"/>
      <c r="B113" s="66" t="s">
        <v>292</v>
      </c>
      <c r="C113" s="67"/>
      <c r="D113" s="102"/>
      <c r="E113" s="32"/>
      <c r="F113" s="32"/>
      <c r="G113" s="68" t="s">
        <v>277</v>
      </c>
      <c r="H113" s="69">
        <f t="shared" si="52"/>
        <v>0</v>
      </c>
      <c r="I113" s="70">
        <f t="shared" si="53"/>
        <v>0</v>
      </c>
      <c r="J113" s="73" t="str">
        <f t="shared" si="54"/>
        <v>--</v>
      </c>
      <c r="K113" s="32"/>
      <c r="L113" s="233"/>
      <c r="M113" s="277"/>
      <c r="N113" s="277"/>
      <c r="O113" s="277"/>
      <c r="P113" s="277"/>
      <c r="Q113" s="277"/>
      <c r="R113" s="277"/>
      <c r="S113" s="277"/>
      <c r="T113" s="277"/>
      <c r="U113" s="278"/>
      <c r="V113" s="103"/>
      <c r="W113" s="84">
        <f>Y113+1</f>
        <v>49</v>
      </c>
      <c r="X113" s="84"/>
      <c r="Y113" s="78">
        <f>SUM(E99:E113)</f>
        <v>48</v>
      </c>
      <c r="Z113" s="72" t="str">
        <f t="shared" si="57"/>
        <v/>
      </c>
      <c r="AA113" s="72" t="str">
        <f t="shared" ref="AA113:AA125" si="58">IF(AND(C111&lt;&gt;"Field SPL",W110&lt;=144,Y111&gt;144),"ERROR","")</f>
        <v/>
      </c>
      <c r="AB113" s="72"/>
      <c r="AC113" s="72">
        <f t="shared" si="43"/>
        <v>1</v>
      </c>
      <c r="AD113" s="72">
        <f t="shared" si="44"/>
        <v>1</v>
      </c>
      <c r="AE113" s="109" t="str">
        <f t="shared" si="45"/>
        <v>0-0</v>
      </c>
      <c r="AF113" s="109" t="str">
        <f t="shared" si="46"/>
        <v>Y</v>
      </c>
      <c r="AG113" s="109" t="str">
        <f t="shared" si="47"/>
        <v>B</v>
      </c>
      <c r="AM113" s="109">
        <f t="shared" si="48"/>
        <v>0</v>
      </c>
      <c r="AN113" s="109">
        <f t="shared" si="49"/>
        <v>0</v>
      </c>
      <c r="AO113" s="109" t="str">
        <f t="shared" si="50"/>
        <v/>
      </c>
      <c r="AQ113" s="109" t="str">
        <f t="shared" si="51"/>
        <v/>
      </c>
      <c r="BA113" s="229">
        <f>MOD(SUM(E99:E114),12)</f>
        <v>0</v>
      </c>
    </row>
    <row r="114" spans="1:53" ht="15.75" thickBot="1" x14ac:dyDescent="0.3">
      <c r="A114" s="88"/>
      <c r="B114" s="66" t="s">
        <v>293</v>
      </c>
      <c r="C114" s="67"/>
      <c r="D114" s="102"/>
      <c r="E114" s="32"/>
      <c r="F114" s="32"/>
      <c r="G114" s="68" t="s">
        <v>277</v>
      </c>
      <c r="H114" s="69">
        <f t="shared" si="52"/>
        <v>0</v>
      </c>
      <c r="I114" s="70">
        <f t="shared" si="53"/>
        <v>0</v>
      </c>
      <c r="J114" s="73" t="str">
        <f t="shared" si="54"/>
        <v>--</v>
      </c>
      <c r="K114" s="32"/>
      <c r="L114" s="233"/>
      <c r="M114" s="277"/>
      <c r="N114" s="277"/>
      <c r="O114" s="277"/>
      <c r="P114" s="277"/>
      <c r="Q114" s="277"/>
      <c r="R114" s="277"/>
      <c r="S114" s="277"/>
      <c r="T114" s="277"/>
      <c r="U114" s="278"/>
      <c r="V114" s="103"/>
      <c r="W114" s="84">
        <f t="shared" ref="W114:W122" si="59">Y114+1</f>
        <v>49</v>
      </c>
      <c r="X114" s="84"/>
      <c r="Y114" s="78">
        <f>SUM(E99:E114)</f>
        <v>48</v>
      </c>
      <c r="Z114" s="72" t="str">
        <f t="shared" si="57"/>
        <v/>
      </c>
      <c r="AA114" s="72" t="str">
        <f t="shared" si="58"/>
        <v/>
      </c>
      <c r="AB114" s="72"/>
      <c r="AC114" s="72">
        <f t="shared" si="43"/>
        <v>1</v>
      </c>
      <c r="AD114" s="72">
        <f t="shared" si="44"/>
        <v>1</v>
      </c>
      <c r="AE114" s="109" t="str">
        <f t="shared" si="45"/>
        <v>0-0</v>
      </c>
      <c r="AF114" s="109" t="str">
        <f t="shared" si="46"/>
        <v>Y</v>
      </c>
      <c r="AG114" s="109" t="str">
        <f t="shared" si="47"/>
        <v>B</v>
      </c>
      <c r="AM114" s="109">
        <f t="shared" si="48"/>
        <v>0</v>
      </c>
      <c r="AN114" s="109">
        <f t="shared" si="49"/>
        <v>0</v>
      </c>
      <c r="AO114" s="109" t="str">
        <f t="shared" si="50"/>
        <v/>
      </c>
      <c r="AQ114" s="109" t="str">
        <f t="shared" si="51"/>
        <v/>
      </c>
      <c r="BA114" s="229">
        <f>MOD(SUM(E99:E115),12)</f>
        <v>0</v>
      </c>
    </row>
    <row r="115" spans="1:53" ht="15.75" thickBot="1" x14ac:dyDescent="0.3">
      <c r="A115" s="88"/>
      <c r="B115" s="66" t="s">
        <v>294</v>
      </c>
      <c r="C115" s="67"/>
      <c r="D115" s="102"/>
      <c r="E115" s="32"/>
      <c r="F115" s="32"/>
      <c r="G115" s="68" t="s">
        <v>277</v>
      </c>
      <c r="H115" s="69">
        <f t="shared" si="52"/>
        <v>0</v>
      </c>
      <c r="I115" s="70">
        <f t="shared" si="53"/>
        <v>0</v>
      </c>
      <c r="J115" s="73" t="str">
        <f t="shared" si="54"/>
        <v>--</v>
      </c>
      <c r="K115" s="32"/>
      <c r="L115" s="233"/>
      <c r="M115" s="277"/>
      <c r="N115" s="277"/>
      <c r="O115" s="277"/>
      <c r="P115" s="277"/>
      <c r="Q115" s="277"/>
      <c r="R115" s="277"/>
      <c r="S115" s="277"/>
      <c r="T115" s="277"/>
      <c r="U115" s="278"/>
      <c r="V115" s="103"/>
      <c r="W115" s="84">
        <f t="shared" si="59"/>
        <v>49</v>
      </c>
      <c r="X115" s="84"/>
      <c r="Y115" s="78">
        <f>SUM(E99:E115)</f>
        <v>48</v>
      </c>
      <c r="Z115" s="72" t="str">
        <f t="shared" si="57"/>
        <v/>
      </c>
      <c r="AA115" s="72" t="str">
        <f t="shared" si="58"/>
        <v/>
      </c>
      <c r="AB115" s="72"/>
      <c r="AC115" s="72">
        <f t="shared" si="43"/>
        <v>1</v>
      </c>
      <c r="AD115" s="72">
        <f t="shared" si="44"/>
        <v>1</v>
      </c>
      <c r="AE115" s="109" t="str">
        <f t="shared" si="45"/>
        <v>0-0</v>
      </c>
      <c r="AF115" s="109" t="str">
        <f t="shared" si="46"/>
        <v>Y</v>
      </c>
      <c r="AG115" s="109" t="str">
        <f t="shared" si="47"/>
        <v>B</v>
      </c>
      <c r="AM115" s="109">
        <f t="shared" si="48"/>
        <v>0</v>
      </c>
      <c r="AN115" s="109">
        <f t="shared" si="49"/>
        <v>0</v>
      </c>
      <c r="AO115" s="109" t="str">
        <f t="shared" si="50"/>
        <v/>
      </c>
      <c r="AQ115" s="109" t="str">
        <f t="shared" si="51"/>
        <v/>
      </c>
      <c r="BA115" s="229">
        <f>MOD(SUM(E99:E116),12)</f>
        <v>0</v>
      </c>
    </row>
    <row r="116" spans="1:53" ht="15.75" thickBot="1" x14ac:dyDescent="0.3">
      <c r="A116" s="88"/>
      <c r="B116" s="66" t="s">
        <v>295</v>
      </c>
      <c r="C116" s="67"/>
      <c r="D116" s="102"/>
      <c r="E116" s="32"/>
      <c r="F116" s="32"/>
      <c r="G116" s="68" t="s">
        <v>277</v>
      </c>
      <c r="H116" s="69">
        <f t="shared" si="52"/>
        <v>0</v>
      </c>
      <c r="I116" s="70">
        <f t="shared" si="53"/>
        <v>0</v>
      </c>
      <c r="J116" s="73" t="str">
        <f t="shared" si="54"/>
        <v>--</v>
      </c>
      <c r="K116" s="32"/>
      <c r="L116" s="233"/>
      <c r="M116" s="277"/>
      <c r="N116" s="277"/>
      <c r="O116" s="277"/>
      <c r="P116" s="277"/>
      <c r="Q116" s="277"/>
      <c r="R116" s="277"/>
      <c r="S116" s="277"/>
      <c r="T116" s="277"/>
      <c r="U116" s="278"/>
      <c r="V116" s="103"/>
      <c r="W116" s="84">
        <f t="shared" si="59"/>
        <v>49</v>
      </c>
      <c r="X116" s="84"/>
      <c r="Y116" s="78">
        <f>SUM(E99:E116)</f>
        <v>48</v>
      </c>
      <c r="Z116" s="72" t="str">
        <f t="shared" si="57"/>
        <v/>
      </c>
      <c r="AA116" s="72" t="str">
        <f t="shared" si="58"/>
        <v/>
      </c>
      <c r="AB116" s="72"/>
      <c r="AC116" s="72">
        <f t="shared" si="43"/>
        <v>1</v>
      </c>
      <c r="AD116" s="72">
        <f t="shared" si="44"/>
        <v>1</v>
      </c>
      <c r="AE116" s="109" t="str">
        <f t="shared" si="45"/>
        <v>0-0</v>
      </c>
      <c r="AF116" s="109" t="str">
        <f t="shared" si="46"/>
        <v>Y</v>
      </c>
      <c r="AG116" s="109" t="str">
        <f t="shared" si="47"/>
        <v>B</v>
      </c>
      <c r="AM116" s="109">
        <f t="shared" si="48"/>
        <v>0</v>
      </c>
      <c r="AN116" s="109">
        <f t="shared" si="49"/>
        <v>0</v>
      </c>
      <c r="AO116" s="109" t="str">
        <f t="shared" si="50"/>
        <v/>
      </c>
      <c r="AQ116" s="109" t="str">
        <f t="shared" si="51"/>
        <v/>
      </c>
      <c r="BA116" s="229">
        <f>MOD(SUM(E99:E117),12)</f>
        <v>0</v>
      </c>
    </row>
    <row r="117" spans="1:53" ht="15.75" thickBot="1" x14ac:dyDescent="0.3">
      <c r="A117" s="88"/>
      <c r="B117" s="66" t="s">
        <v>296</v>
      </c>
      <c r="C117" s="67"/>
      <c r="D117" s="102"/>
      <c r="E117" s="32"/>
      <c r="F117" s="32"/>
      <c r="G117" s="68" t="s">
        <v>277</v>
      </c>
      <c r="H117" s="69">
        <f t="shared" si="52"/>
        <v>0</v>
      </c>
      <c r="I117" s="70">
        <f t="shared" si="53"/>
        <v>0</v>
      </c>
      <c r="J117" s="73" t="str">
        <f t="shared" si="54"/>
        <v>--</v>
      </c>
      <c r="K117" s="32"/>
      <c r="L117" s="233"/>
      <c r="M117" s="277"/>
      <c r="N117" s="277"/>
      <c r="O117" s="277"/>
      <c r="P117" s="277"/>
      <c r="Q117" s="277"/>
      <c r="R117" s="277"/>
      <c r="S117" s="277"/>
      <c r="T117" s="277"/>
      <c r="U117" s="278"/>
      <c r="V117" s="103"/>
      <c r="W117" s="84">
        <f t="shared" si="59"/>
        <v>49</v>
      </c>
      <c r="X117" s="84"/>
      <c r="Y117" s="78">
        <f>SUM(E99:E117)</f>
        <v>48</v>
      </c>
      <c r="Z117" s="72" t="str">
        <f t="shared" si="57"/>
        <v/>
      </c>
      <c r="AA117" s="72" t="str">
        <f t="shared" si="58"/>
        <v/>
      </c>
      <c r="AB117" s="72"/>
      <c r="AC117" s="72">
        <f t="shared" si="43"/>
        <v>1</v>
      </c>
      <c r="AD117" s="72">
        <f t="shared" si="44"/>
        <v>1</v>
      </c>
      <c r="AE117" s="109" t="str">
        <f t="shared" si="45"/>
        <v>0-0</v>
      </c>
      <c r="AF117" s="109" t="str">
        <f t="shared" si="46"/>
        <v>Y</v>
      </c>
      <c r="AG117" s="109" t="str">
        <f t="shared" si="47"/>
        <v>B</v>
      </c>
      <c r="AM117" s="109">
        <f t="shared" si="48"/>
        <v>0</v>
      </c>
      <c r="AN117" s="109">
        <f t="shared" si="49"/>
        <v>0</v>
      </c>
      <c r="AO117" s="109" t="str">
        <f t="shared" si="50"/>
        <v/>
      </c>
      <c r="AQ117" s="109" t="str">
        <f t="shared" si="51"/>
        <v/>
      </c>
      <c r="BA117" s="229">
        <f>MOD(SUM(E99:E118),12)</f>
        <v>0</v>
      </c>
    </row>
    <row r="118" spans="1:53" ht="15.75" thickBot="1" x14ac:dyDescent="0.3">
      <c r="A118" s="88"/>
      <c r="B118" s="66" t="s">
        <v>297</v>
      </c>
      <c r="C118" s="67"/>
      <c r="D118" s="102"/>
      <c r="E118" s="32"/>
      <c r="F118" s="32"/>
      <c r="G118" s="68" t="s">
        <v>277</v>
      </c>
      <c r="H118" s="69">
        <f t="shared" si="52"/>
        <v>0</v>
      </c>
      <c r="I118" s="70">
        <f t="shared" si="53"/>
        <v>0</v>
      </c>
      <c r="J118" s="73" t="str">
        <f t="shared" si="54"/>
        <v>--</v>
      </c>
      <c r="K118" s="32"/>
      <c r="L118" s="233"/>
      <c r="M118" s="277"/>
      <c r="N118" s="277"/>
      <c r="O118" s="277"/>
      <c r="P118" s="277"/>
      <c r="Q118" s="277"/>
      <c r="R118" s="277"/>
      <c r="S118" s="277"/>
      <c r="T118" s="277"/>
      <c r="U118" s="278"/>
      <c r="V118" s="103"/>
      <c r="W118" s="84">
        <f t="shared" si="59"/>
        <v>49</v>
      </c>
      <c r="X118" s="84"/>
      <c r="Y118" s="78">
        <f>SUM(E99:E118)</f>
        <v>48</v>
      </c>
      <c r="Z118" s="72" t="str">
        <f t="shared" si="57"/>
        <v/>
      </c>
      <c r="AA118" s="72" t="str">
        <f t="shared" si="58"/>
        <v/>
      </c>
      <c r="AB118" s="72"/>
      <c r="AC118" s="72">
        <f t="shared" si="43"/>
        <v>1</v>
      </c>
      <c r="AD118" s="72">
        <f t="shared" si="44"/>
        <v>1</v>
      </c>
      <c r="AE118" s="109" t="str">
        <f t="shared" si="45"/>
        <v>0-0</v>
      </c>
      <c r="AF118" s="109" t="str">
        <f t="shared" si="46"/>
        <v>Y</v>
      </c>
      <c r="AG118" s="109" t="str">
        <f t="shared" si="47"/>
        <v>B</v>
      </c>
      <c r="AM118" s="109">
        <f t="shared" si="48"/>
        <v>0</v>
      </c>
      <c r="AN118" s="109">
        <f t="shared" si="49"/>
        <v>0</v>
      </c>
      <c r="AO118" s="109" t="str">
        <f t="shared" si="50"/>
        <v/>
      </c>
      <c r="AQ118" s="109" t="str">
        <f t="shared" si="51"/>
        <v/>
      </c>
      <c r="BA118" s="229">
        <f>MOD(SUM(E99:E119),12)</f>
        <v>0</v>
      </c>
    </row>
    <row r="119" spans="1:53" ht="15.75" thickBot="1" x14ac:dyDescent="0.3">
      <c r="A119" s="88"/>
      <c r="B119" s="66" t="s">
        <v>298</v>
      </c>
      <c r="C119" s="67"/>
      <c r="D119" s="102"/>
      <c r="E119" s="32"/>
      <c r="F119" s="32"/>
      <c r="G119" s="68" t="s">
        <v>277</v>
      </c>
      <c r="H119" s="69">
        <f t="shared" si="52"/>
        <v>0</v>
      </c>
      <c r="I119" s="70">
        <f t="shared" si="53"/>
        <v>0</v>
      </c>
      <c r="J119" s="73" t="str">
        <f t="shared" si="54"/>
        <v>--</v>
      </c>
      <c r="K119" s="32"/>
      <c r="L119" s="233"/>
      <c r="M119" s="277"/>
      <c r="N119" s="277"/>
      <c r="O119" s="277"/>
      <c r="P119" s="277"/>
      <c r="Q119" s="277"/>
      <c r="R119" s="277"/>
      <c r="S119" s="277"/>
      <c r="T119" s="277"/>
      <c r="U119" s="278"/>
      <c r="V119" s="103"/>
      <c r="W119" s="84">
        <f t="shared" si="59"/>
        <v>49</v>
      </c>
      <c r="X119" s="84"/>
      <c r="Y119" s="78">
        <f>SUM(E99:E119)</f>
        <v>48</v>
      </c>
      <c r="Z119" s="72" t="str">
        <f t="shared" si="57"/>
        <v/>
      </c>
      <c r="AA119" s="72" t="str">
        <f t="shared" si="58"/>
        <v/>
      </c>
      <c r="AB119" s="72"/>
      <c r="AC119" s="72">
        <f t="shared" si="43"/>
        <v>1</v>
      </c>
      <c r="AD119" s="72">
        <f t="shared" si="44"/>
        <v>1</v>
      </c>
      <c r="AE119" s="109" t="str">
        <f t="shared" si="45"/>
        <v>0-0</v>
      </c>
      <c r="AF119" s="109" t="str">
        <f t="shared" si="46"/>
        <v>Y</v>
      </c>
      <c r="AG119" s="109" t="str">
        <f t="shared" si="47"/>
        <v>B</v>
      </c>
      <c r="AM119" s="109">
        <f t="shared" si="48"/>
        <v>0</v>
      </c>
      <c r="AN119" s="109">
        <f t="shared" si="49"/>
        <v>0</v>
      </c>
      <c r="AO119" s="109" t="str">
        <f t="shared" si="50"/>
        <v/>
      </c>
      <c r="AQ119" s="109" t="str">
        <f t="shared" si="51"/>
        <v/>
      </c>
      <c r="BA119" s="229">
        <f>MOD(SUM(E99:E120),12)</f>
        <v>0</v>
      </c>
    </row>
    <row r="120" spans="1:53" ht="15.75" thickBot="1" x14ac:dyDescent="0.3">
      <c r="A120" s="88"/>
      <c r="B120" s="66" t="s">
        <v>299</v>
      </c>
      <c r="C120" s="67"/>
      <c r="D120" s="102"/>
      <c r="E120" s="32"/>
      <c r="F120" s="32"/>
      <c r="G120" s="68" t="s">
        <v>277</v>
      </c>
      <c r="H120" s="69">
        <f t="shared" si="52"/>
        <v>0</v>
      </c>
      <c r="I120" s="70">
        <f t="shared" si="53"/>
        <v>0</v>
      </c>
      <c r="J120" s="73" t="str">
        <f t="shared" si="54"/>
        <v>--</v>
      </c>
      <c r="K120" s="32"/>
      <c r="L120" s="233"/>
      <c r="M120" s="277"/>
      <c r="N120" s="277"/>
      <c r="O120" s="277"/>
      <c r="P120" s="277"/>
      <c r="Q120" s="277"/>
      <c r="R120" s="277"/>
      <c r="S120" s="277"/>
      <c r="T120" s="277"/>
      <c r="U120" s="278"/>
      <c r="V120" s="103"/>
      <c r="W120" s="84">
        <f t="shared" si="59"/>
        <v>49</v>
      </c>
      <c r="X120" s="84"/>
      <c r="Y120" s="78">
        <f>SUM(E99:E120)</f>
        <v>48</v>
      </c>
      <c r="Z120" s="72" t="str">
        <f t="shared" si="57"/>
        <v/>
      </c>
      <c r="AA120" s="72" t="str">
        <f t="shared" si="58"/>
        <v/>
      </c>
      <c r="AB120" s="72"/>
      <c r="AC120" s="72">
        <f t="shared" si="43"/>
        <v>1</v>
      </c>
      <c r="AD120" s="72">
        <f t="shared" si="44"/>
        <v>1</v>
      </c>
      <c r="AE120" s="109" t="str">
        <f t="shared" si="45"/>
        <v>0-0</v>
      </c>
      <c r="AF120" s="109" t="str">
        <f t="shared" si="46"/>
        <v>Y</v>
      </c>
      <c r="AG120" s="109" t="str">
        <f t="shared" si="47"/>
        <v>B</v>
      </c>
      <c r="AM120" s="109">
        <f t="shared" si="48"/>
        <v>0</v>
      </c>
      <c r="AN120" s="109">
        <f t="shared" si="49"/>
        <v>0</v>
      </c>
      <c r="AO120" s="109" t="str">
        <f t="shared" si="50"/>
        <v/>
      </c>
      <c r="AQ120" s="109" t="str">
        <f t="shared" si="51"/>
        <v/>
      </c>
      <c r="BA120" s="229">
        <f>MOD(SUM(E99:E121),12)</f>
        <v>0</v>
      </c>
    </row>
    <row r="121" spans="1:53" ht="15.75" thickBot="1" x14ac:dyDescent="0.3">
      <c r="A121" s="88"/>
      <c r="B121" s="66" t="s">
        <v>300</v>
      </c>
      <c r="C121" s="67"/>
      <c r="D121" s="102"/>
      <c r="E121" s="32"/>
      <c r="F121" s="32"/>
      <c r="G121" s="68" t="s">
        <v>277</v>
      </c>
      <c r="H121" s="69">
        <f t="shared" si="52"/>
        <v>0</v>
      </c>
      <c r="I121" s="70">
        <f t="shared" si="53"/>
        <v>0</v>
      </c>
      <c r="J121" s="73" t="str">
        <f t="shared" si="54"/>
        <v>--</v>
      </c>
      <c r="K121" s="32"/>
      <c r="L121" s="233"/>
      <c r="M121" s="277"/>
      <c r="N121" s="277"/>
      <c r="O121" s="277"/>
      <c r="P121" s="277"/>
      <c r="Q121" s="277"/>
      <c r="R121" s="277"/>
      <c r="S121" s="277"/>
      <c r="T121" s="277"/>
      <c r="U121" s="278"/>
      <c r="V121" s="103"/>
      <c r="W121" s="84">
        <f t="shared" si="59"/>
        <v>49</v>
      </c>
      <c r="X121" s="84"/>
      <c r="Y121" s="78">
        <f>SUM(E99:E121)</f>
        <v>48</v>
      </c>
      <c r="Z121" s="72" t="str">
        <f t="shared" si="57"/>
        <v/>
      </c>
      <c r="AA121" s="72" t="str">
        <f t="shared" si="58"/>
        <v/>
      </c>
      <c r="AB121" s="72"/>
      <c r="AC121" s="72">
        <f t="shared" si="43"/>
        <v>1</v>
      </c>
      <c r="AD121" s="72">
        <f t="shared" si="44"/>
        <v>1</v>
      </c>
      <c r="AE121" s="109" t="str">
        <f t="shared" si="45"/>
        <v>0-0</v>
      </c>
      <c r="AF121" s="109" t="str">
        <f t="shared" si="46"/>
        <v>Y</v>
      </c>
      <c r="AG121" s="109" t="str">
        <f t="shared" si="47"/>
        <v>B</v>
      </c>
      <c r="AM121" s="109">
        <f t="shared" si="48"/>
        <v>0</v>
      </c>
      <c r="AN121" s="109">
        <f t="shared" si="49"/>
        <v>0</v>
      </c>
      <c r="AO121" s="109" t="str">
        <f t="shared" si="50"/>
        <v/>
      </c>
      <c r="AQ121" s="109" t="str">
        <f t="shared" si="51"/>
        <v/>
      </c>
      <c r="BA121" s="229">
        <f>MOD(SUM(E99:E122),12)</f>
        <v>0</v>
      </c>
    </row>
    <row r="122" spans="1:53" ht="15.75" thickBot="1" x14ac:dyDescent="0.3">
      <c r="A122" s="88"/>
      <c r="B122" s="66" t="s">
        <v>301</v>
      </c>
      <c r="C122" s="67"/>
      <c r="D122" s="102"/>
      <c r="E122" s="32"/>
      <c r="F122" s="32"/>
      <c r="G122" s="68" t="s">
        <v>277</v>
      </c>
      <c r="H122" s="69">
        <f t="shared" si="52"/>
        <v>0</v>
      </c>
      <c r="I122" s="70">
        <f t="shared" si="53"/>
        <v>0</v>
      </c>
      <c r="J122" s="73" t="str">
        <f t="shared" si="54"/>
        <v>--</v>
      </c>
      <c r="K122" s="32"/>
      <c r="L122" s="233"/>
      <c r="M122" s="277"/>
      <c r="N122" s="277"/>
      <c r="O122" s="277"/>
      <c r="P122" s="277"/>
      <c r="Q122" s="277"/>
      <c r="R122" s="277"/>
      <c r="S122" s="277"/>
      <c r="T122" s="277"/>
      <c r="U122" s="278"/>
      <c r="V122" s="103"/>
      <c r="W122" s="84">
        <f t="shared" si="59"/>
        <v>49</v>
      </c>
      <c r="X122" s="84"/>
      <c r="Y122" s="78">
        <f>SUM(E99:E122)</f>
        <v>48</v>
      </c>
      <c r="Z122" s="72" t="str">
        <f t="shared" si="57"/>
        <v/>
      </c>
      <c r="AA122" s="72" t="str">
        <f t="shared" si="58"/>
        <v/>
      </c>
      <c r="AB122" s="72"/>
      <c r="AC122" s="72">
        <f t="shared" si="43"/>
        <v>1</v>
      </c>
      <c r="AD122" s="72">
        <f t="shared" si="44"/>
        <v>1</v>
      </c>
      <c r="AE122" s="109" t="str">
        <f t="shared" si="45"/>
        <v>0-0</v>
      </c>
      <c r="AF122" s="109" t="str">
        <f t="shared" si="46"/>
        <v>Y</v>
      </c>
      <c r="AG122" s="109" t="str">
        <f t="shared" si="47"/>
        <v>B</v>
      </c>
      <c r="AM122" s="109">
        <f t="shared" si="48"/>
        <v>0</v>
      </c>
      <c r="AN122" s="109">
        <f t="shared" si="49"/>
        <v>0</v>
      </c>
      <c r="AO122" s="109" t="str">
        <f t="shared" si="50"/>
        <v/>
      </c>
      <c r="AQ122" s="109" t="str">
        <f t="shared" si="51"/>
        <v/>
      </c>
      <c r="BA122" s="229">
        <f>MOD(SUM(E99:E123),12)</f>
        <v>0</v>
      </c>
    </row>
    <row r="123" spans="1:53" ht="15.75" thickBot="1" x14ac:dyDescent="0.3">
      <c r="A123" s="88"/>
      <c r="B123" s="66" t="s">
        <v>302</v>
      </c>
      <c r="C123" s="67"/>
      <c r="D123" s="102"/>
      <c r="E123" s="32"/>
      <c r="F123" s="32"/>
      <c r="G123" s="68" t="s">
        <v>277</v>
      </c>
      <c r="H123" s="69">
        <f t="shared" si="52"/>
        <v>0</v>
      </c>
      <c r="I123" s="70">
        <f t="shared" si="53"/>
        <v>0</v>
      </c>
      <c r="J123" s="73" t="str">
        <f t="shared" si="54"/>
        <v>--</v>
      </c>
      <c r="K123" s="32"/>
      <c r="L123" s="234"/>
      <c r="M123" s="277"/>
      <c r="N123" s="277"/>
      <c r="O123" s="277"/>
      <c r="P123" s="277"/>
      <c r="Q123" s="277"/>
      <c r="R123" s="277"/>
      <c r="S123" s="277"/>
      <c r="T123" s="277"/>
      <c r="U123" s="278"/>
      <c r="V123" s="103"/>
      <c r="W123" s="72"/>
      <c r="X123" s="72"/>
      <c r="Y123" s="78">
        <f>SUM(E99:E123)</f>
        <v>48</v>
      </c>
      <c r="Z123" s="72" t="str">
        <f t="shared" si="57"/>
        <v/>
      </c>
      <c r="AA123" s="72" t="str">
        <f t="shared" si="58"/>
        <v/>
      </c>
      <c r="AB123" s="72"/>
      <c r="AC123" s="72">
        <f t="shared" si="43"/>
        <v>1</v>
      </c>
      <c r="AD123" s="72">
        <f t="shared" si="44"/>
        <v>1</v>
      </c>
      <c r="AE123" s="109" t="str">
        <f t="shared" si="45"/>
        <v>0-0</v>
      </c>
      <c r="AF123" s="109" t="str">
        <f t="shared" si="46"/>
        <v>Y</v>
      </c>
      <c r="AG123" s="109" t="str">
        <f t="shared" si="47"/>
        <v>B</v>
      </c>
      <c r="AM123" s="109">
        <f t="shared" si="48"/>
        <v>0</v>
      </c>
      <c r="AN123" s="109">
        <f t="shared" si="49"/>
        <v>0</v>
      </c>
      <c r="AO123" s="109" t="str">
        <f t="shared" si="50"/>
        <v/>
      </c>
      <c r="AQ123" s="109" t="str">
        <f t="shared" si="51"/>
        <v/>
      </c>
      <c r="BA123" s="228"/>
    </row>
    <row r="124" spans="1:53" ht="16.5" thickBot="1" x14ac:dyDescent="0.3">
      <c r="A124" s="88"/>
      <c r="B124" s="319" t="s">
        <v>309</v>
      </c>
      <c r="C124" s="320"/>
      <c r="D124" s="79"/>
      <c r="E124" s="80"/>
      <c r="F124" s="80"/>
      <c r="G124" s="81"/>
      <c r="H124" s="192"/>
      <c r="I124" s="192"/>
      <c r="J124" s="192"/>
      <c r="K124" s="82"/>
      <c r="L124" s="319" t="s">
        <v>306</v>
      </c>
      <c r="M124" s="330"/>
      <c r="N124" s="330"/>
      <c r="O124" s="330"/>
      <c r="P124" s="330"/>
      <c r="Q124" s="330"/>
      <c r="R124" s="330"/>
      <c r="S124" s="330"/>
      <c r="T124" s="330"/>
      <c r="U124" s="320"/>
      <c r="V124" s="104"/>
      <c r="W124" s="72"/>
      <c r="X124" s="72"/>
      <c r="Y124" s="72"/>
      <c r="Z124" s="72"/>
      <c r="AA124" s="72" t="str">
        <f t="shared" si="58"/>
        <v/>
      </c>
      <c r="AB124" s="72"/>
      <c r="AC124" s="72">
        <f>SUM(AC99:AC123)</f>
        <v>25</v>
      </c>
      <c r="AD124" s="72">
        <f>SUM(AD99:AD123)</f>
        <v>22</v>
      </c>
      <c r="AM124" s="109">
        <f>SUM(AM99:AM123)</f>
        <v>2</v>
      </c>
      <c r="AN124" s="109">
        <f>SUM(AN99:AN123)</f>
        <v>1</v>
      </c>
      <c r="AO124" s="109">
        <f>((COUNTIF(AO99:AO123,"Y")/3)*2)</f>
        <v>0</v>
      </c>
      <c r="AP124" s="109">
        <f>(COUNTIF(AO99:AO123,"Y")/3)</f>
        <v>0</v>
      </c>
      <c r="AQ124" s="109">
        <f>(COUNTIF(AQ99:AQ123,"Y")/2)</f>
        <v>0</v>
      </c>
      <c r="AR124" s="109">
        <f>(COUNTIF(AQ99:AQ123,"Y")/2)</f>
        <v>0</v>
      </c>
      <c r="BA124" s="228"/>
    </row>
    <row r="125" spans="1:53" ht="16.5" thickBot="1" x14ac:dyDescent="0.3">
      <c r="A125" s="88"/>
      <c r="B125" s="319" t="s">
        <v>307</v>
      </c>
      <c r="C125" s="320"/>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58"/>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312" t="s">
        <v>222</v>
      </c>
      <c r="C129" s="313"/>
      <c r="D129" s="314" t="s">
        <v>223</v>
      </c>
      <c r="E129" s="305"/>
      <c r="F129" s="88"/>
      <c r="G129" s="315" t="s">
        <v>224</v>
      </c>
      <c r="H129" s="316"/>
      <c r="I129" s="28">
        <f>SUM(E140:E164)</f>
        <v>12</v>
      </c>
      <c r="J129" s="317" t="s">
        <v>225</v>
      </c>
      <c r="K129" s="318"/>
      <c r="L129" s="305"/>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5" t="s">
        <v>226</v>
      </c>
      <c r="AA129" s="296"/>
      <c r="AB129" s="297"/>
      <c r="AC129" s="25"/>
      <c r="AD129" s="25"/>
      <c r="AH129" s="109">
        <v>2</v>
      </c>
      <c r="AI129" s="109" t="str">
        <f>IF($E130="SS",COUNTIFS($C140:$C164,"FST",$E140:$E164,"2"),"0")</f>
        <v>0</v>
      </c>
      <c r="AJ129" s="109" t="str">
        <f>IF($E130="RPX",COUNTIFS($C140:$C164,"FST",$E140:$E164,"2"),"0")</f>
        <v>0</v>
      </c>
      <c r="AK129" s="109">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1</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EUC</v>
      </c>
      <c r="F130" s="88"/>
      <c r="G130" s="304" t="s">
        <v>230</v>
      </c>
      <c r="H130" s="305"/>
      <c r="I130" s="33">
        <f>E131-I129</f>
        <v>12</v>
      </c>
      <c r="J130" s="289" t="s">
        <v>231</v>
      </c>
      <c r="K130" s="290"/>
      <c r="L130" s="34">
        <f>I134</f>
        <v>805</v>
      </c>
      <c r="M130" s="196">
        <v>4</v>
      </c>
      <c r="N130" s="35">
        <f>SUM(AI130,AI141)</f>
        <v>0</v>
      </c>
      <c r="O130" s="35">
        <v>0</v>
      </c>
      <c r="P130" s="35">
        <f>SUM(AJ130,AJ141)</f>
        <v>0</v>
      </c>
      <c r="Q130" s="35">
        <v>0</v>
      </c>
      <c r="R130" s="35">
        <f>COUNTIFS($E140:$E164,"4",$F140:$F164,"Pole",$C140:$C164,"FST")</f>
        <v>1</v>
      </c>
      <c r="S130" s="35">
        <f>SUM(AL130,AK141)</f>
        <v>0</v>
      </c>
      <c r="T130" s="35">
        <v>0</v>
      </c>
      <c r="U130" s="35">
        <f>SUM(AK130,AL141)</f>
        <v>1</v>
      </c>
      <c r="V130" s="35">
        <v>0</v>
      </c>
      <c r="W130" s="34">
        <f>COUNTIFS($E140:$E164,"4",$F140:$F164,"HH",$C140:$C164,"FST")</f>
        <v>0</v>
      </c>
      <c r="X130" s="35">
        <f>COUNTIFS($E140:$E164,"4",$F140:$F164,"Ped",$C140:$C164,"FST")</f>
        <v>0</v>
      </c>
      <c r="Y130" s="25"/>
      <c r="Z130" s="298" t="s">
        <v>232</v>
      </c>
      <c r="AA130" s="300" t="s">
        <v>233</v>
      </c>
      <c r="AB130" s="301"/>
      <c r="AC130" s="25"/>
      <c r="AD130" s="25"/>
      <c r="AH130" s="109">
        <v>4</v>
      </c>
      <c r="AI130" s="109" t="str">
        <f>IF($E130="SS",COUNTIFS($C140:$C164,"FST",$E140:$E164,"4"),"0")</f>
        <v>0</v>
      </c>
      <c r="AJ130" s="109" t="str">
        <f>IF($E130="RPX",COUNTIFS($C140:$C164,"FST",$E140:$E164,"4"),"0")</f>
        <v>0</v>
      </c>
      <c r="AK130" s="109">
        <f>IF($E130="EUC",COUNTIFS($C140:$C164,"FST",$E140:$E164,"4"),"0")</f>
        <v>1</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24</v>
      </c>
      <c r="F131" s="88"/>
      <c r="G131" s="291" t="s">
        <v>237</v>
      </c>
      <c r="H131" s="292"/>
      <c r="I131" s="35">
        <f>IF(E131=0,0,12-(MOD(I129,12)))</f>
        <v>12</v>
      </c>
      <c r="J131" s="289" t="s">
        <v>238</v>
      </c>
      <c r="K131" s="290"/>
      <c r="L131" s="39">
        <f>I135-I129</f>
        <v>804</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299"/>
      <c r="AA131" s="302"/>
      <c r="AB131" s="303"/>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12</v>
      </c>
      <c r="F132" s="88"/>
      <c r="G132" s="321" t="s">
        <v>242</v>
      </c>
      <c r="H132" s="43" t="s">
        <v>243</v>
      </c>
      <c r="I132" s="35">
        <f>IF(E132&lt;&gt;0,1,0)</f>
        <v>1</v>
      </c>
      <c r="J132" s="291" t="s">
        <v>244</v>
      </c>
      <c r="K132" s="292"/>
      <c r="L132" s="44">
        <f>'Cable Calculator'!S3</f>
        <v>1579</v>
      </c>
      <c r="M132" s="196">
        <v>8</v>
      </c>
      <c r="N132" s="35">
        <f>SUM(AI132,AI143)</f>
        <v>0</v>
      </c>
      <c r="O132" s="35">
        <v>0</v>
      </c>
      <c r="P132" s="35">
        <f>SUM(AJ132,AJ143)</f>
        <v>0</v>
      </c>
      <c r="Q132" s="35">
        <v>0</v>
      </c>
      <c r="R132" s="35">
        <f>COUNTIFS($E140:$E164,"8",$F140:$F164,"Pole",$C140:$C164,"FST")</f>
        <v>1</v>
      </c>
      <c r="S132" s="35">
        <f>SUM(AL132,AK143)</f>
        <v>0</v>
      </c>
      <c r="T132" s="35">
        <v>0</v>
      </c>
      <c r="U132" s="35">
        <f>SUM(AK132,AL143)</f>
        <v>1</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1</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805</v>
      </c>
      <c r="F133" s="88"/>
      <c r="G133" s="322"/>
      <c r="H133" s="47" t="s">
        <v>248</v>
      </c>
      <c r="I133" s="35">
        <f>IF(E132&lt;&gt;0,E132,0)</f>
        <v>12</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0</v>
      </c>
      <c r="V133" s="35">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321" t="s">
        <v>251</v>
      </c>
      <c r="H134" s="51" t="s">
        <v>252</v>
      </c>
      <c r="I134" s="112">
        <f>E133</f>
        <v>805</v>
      </c>
      <c r="J134" s="323" t="s">
        <v>253</v>
      </c>
      <c r="K134" s="324"/>
      <c r="L134" s="325"/>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Y</v>
      </c>
      <c r="F135" s="88"/>
      <c r="G135" s="322"/>
      <c r="H135" s="47" t="s">
        <v>257</v>
      </c>
      <c r="I135" s="35">
        <f>IF(E133="","0",IF(AND(E130="EUC",E131=432), I134+(203-E132),IF(E133=0,0,(E133+(E131-E132)-1))))</f>
        <v>816</v>
      </c>
      <c r="J135" s="285" t="str">
        <f>IFERROR(IF(OR(E130="EUC",E130="SS"),"---",IF(OR(P129,S129),"NO 2F Tethers for RPX!",IF(OR(P131,S131),"NO 6F Tethers for RPX!","---"))),"---")</f>
        <v>---</v>
      </c>
      <c r="K135" s="286"/>
      <c r="L135" s="287"/>
      <c r="M135" s="285" t="str">
        <f>IF(E132&gt;60,"Dead Count &gt;60: Consider Downsize","---")</f>
        <v>---</v>
      </c>
      <c r="N135" s="286"/>
      <c r="O135" s="286"/>
      <c r="P135" s="286"/>
      <c r="Q135" s="286"/>
      <c r="R135" s="286"/>
      <c r="S135" s="286"/>
      <c r="T135" s="286"/>
      <c r="U135" s="287"/>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12</v>
      </c>
      <c r="D136" s="31" t="s">
        <v>259</v>
      </c>
      <c r="E136" s="101" t="str">
        <f>IF(AS130="Y","DBL",IF(AS131="Y","TRPL",IF(AS132="Y","QUAD","")))</f>
        <v/>
      </c>
      <c r="F136" s="88"/>
      <c r="G136" s="192"/>
      <c r="H136" s="57"/>
      <c r="I136" s="192"/>
      <c r="J136" s="285"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86"/>
      <c r="L136" s="287"/>
      <c r="M136" s="285" t="str">
        <f>IF(AND(OR(E130="SS",E130="RPX",E130="EUC",E130="RPX-T"),(OR(C140="",C140="Field SPL"))),"Cannot have FlexNap cables without tethers","---")</f>
        <v>---</v>
      </c>
      <c r="N136" s="286"/>
      <c r="O136" s="286"/>
      <c r="P136" s="286"/>
      <c r="Q136" s="286"/>
      <c r="R136" s="286"/>
      <c r="S136" s="286"/>
      <c r="T136" s="286"/>
      <c r="U136" s="287"/>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85" t="str">
        <f>IF(AND(OR(E130="RPX", E130="RPX-T", E130="SS"),E131=216),"NO 216 For RPX, RPX-T, OR SS CABLE","---")</f>
        <v>---</v>
      </c>
      <c r="K137" s="286"/>
      <c r="L137" s="287"/>
      <c r="M137" s="285" t="str" cm="1">
        <f t="array" ref="M137">IF(AND(E130="",OR(C140:C164="FST",C140:C164="REV T",C140:C164="DBL REV",C140:C164="TPL REV", C140:C164="QD REV")),"Non-FlexNap cables cannot have tethers","---")</f>
        <v>---</v>
      </c>
      <c r="N137" s="286"/>
      <c r="O137" s="286"/>
      <c r="P137" s="286"/>
      <c r="Q137" s="286"/>
      <c r="R137" s="286"/>
      <c r="S137" s="286"/>
      <c r="T137" s="286"/>
      <c r="U137" s="287"/>
      <c r="V137" s="25"/>
      <c r="W137" s="58"/>
      <c r="X137" s="58"/>
      <c r="Y137" s="25"/>
      <c r="Z137" s="45">
        <v>6</v>
      </c>
      <c r="AA137" s="65">
        <v>61</v>
      </c>
      <c r="AB137" s="65">
        <v>72</v>
      </c>
      <c r="AC137" s="25"/>
      <c r="AD137" s="25"/>
      <c r="BA137" s="226"/>
    </row>
    <row r="138" spans="1:53" ht="15.75" customHeight="1" thickBot="1" x14ac:dyDescent="0.3">
      <c r="A138" s="88"/>
      <c r="B138" s="321" t="s">
        <v>260</v>
      </c>
      <c r="C138" s="293" t="s">
        <v>261</v>
      </c>
      <c r="D138" s="293" t="s">
        <v>262</v>
      </c>
      <c r="E138" s="306" t="s">
        <v>263</v>
      </c>
      <c r="F138" s="293" t="s">
        <v>264</v>
      </c>
      <c r="G138" s="308" t="s">
        <v>265</v>
      </c>
      <c r="H138" s="308" t="s">
        <v>266</v>
      </c>
      <c r="I138" s="308" t="s">
        <v>267</v>
      </c>
      <c r="J138" s="310" t="s">
        <v>268</v>
      </c>
      <c r="K138" s="293" t="s">
        <v>269</v>
      </c>
      <c r="L138" s="279" t="s">
        <v>270</v>
      </c>
      <c r="M138" s="281" t="s">
        <v>271</v>
      </c>
      <c r="N138" s="281"/>
      <c r="O138" s="281"/>
      <c r="P138" s="281"/>
      <c r="Q138" s="281"/>
      <c r="R138" s="281"/>
      <c r="S138" s="281"/>
      <c r="T138" s="281"/>
      <c r="U138" s="282"/>
      <c r="V138" s="107"/>
      <c r="W138" s="72"/>
      <c r="X138" s="72"/>
      <c r="Y138" s="72"/>
      <c r="Z138" s="45">
        <v>7</v>
      </c>
      <c r="AA138" s="65">
        <v>73</v>
      </c>
      <c r="AB138" s="65">
        <v>84</v>
      </c>
      <c r="AC138" s="25"/>
      <c r="AD138" s="25"/>
      <c r="BA138" s="228"/>
    </row>
    <row r="139" spans="1:53" ht="15.75" thickBot="1" x14ac:dyDescent="0.3">
      <c r="A139" s="88"/>
      <c r="B139" s="322"/>
      <c r="C139" s="294"/>
      <c r="D139" s="294"/>
      <c r="E139" s="307"/>
      <c r="F139" s="294"/>
      <c r="G139" s="309"/>
      <c r="H139" s="309"/>
      <c r="I139" s="309"/>
      <c r="J139" s="311"/>
      <c r="K139" s="294"/>
      <c r="L139" s="280"/>
      <c r="M139" s="283"/>
      <c r="N139" s="283"/>
      <c r="O139" s="283"/>
      <c r="P139" s="283"/>
      <c r="Q139" s="283"/>
      <c r="R139" s="283"/>
      <c r="S139" s="283"/>
      <c r="T139" s="283"/>
      <c r="U139" s="284"/>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746</v>
      </c>
      <c r="E140" s="32">
        <v>4</v>
      </c>
      <c r="F140" s="32" t="s">
        <v>483</v>
      </c>
      <c r="G140" s="68" t="s">
        <v>277</v>
      </c>
      <c r="H140" s="69">
        <f>IF(I140=0,0,I140-(E140-1))</f>
        <v>813</v>
      </c>
      <c r="I140" s="70">
        <f>IF(E140=0,0,I135)</f>
        <v>816</v>
      </c>
      <c r="J140" s="71" t="s">
        <v>278</v>
      </c>
      <c r="K140" s="32"/>
      <c r="L140" s="233"/>
      <c r="M140" s="277"/>
      <c r="N140" s="277"/>
      <c r="O140" s="277"/>
      <c r="P140" s="277"/>
      <c r="Q140" s="277"/>
      <c r="R140" s="277"/>
      <c r="S140" s="277"/>
      <c r="T140" s="277"/>
      <c r="U140" s="278"/>
      <c r="V140" s="103"/>
      <c r="W140" s="72"/>
      <c r="X140" s="72"/>
      <c r="Y140" s="72"/>
      <c r="Z140" s="45">
        <v>9</v>
      </c>
      <c r="AA140" s="46">
        <v>97</v>
      </c>
      <c r="AB140" s="46">
        <v>108</v>
      </c>
      <c r="AC140" s="72">
        <f t="shared" ref="AC140:AC164" si="60">IF(B140&lt;&gt;"FST",1,0)</f>
        <v>1</v>
      </c>
      <c r="AD140" s="72">
        <f t="shared" ref="AD140:AD164" si="61">IF(C140&lt;&gt;"FST",1,0)</f>
        <v>0</v>
      </c>
      <c r="AE140" s="109" t="str">
        <f t="shared" ref="AE140:AE164" si="62">CONCATENATE(H140,"-",I140)</f>
        <v>813-816</v>
      </c>
      <c r="AF140" s="109" t="str">
        <f t="shared" ref="AF140:AF164" si="63">IF(C140="Field SPL","N","Y")</f>
        <v>Y</v>
      </c>
      <c r="AG140" s="109" t="str">
        <f t="shared" ref="AG140:AG164" si="64">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65">VALUE(IF(C140="FST","0",IF(C140="REV T","1",IF(C140="DBL REV",".5","0"))))</f>
        <v>0</v>
      </c>
      <c r="AN140" s="109">
        <f t="shared" ref="AN140:AN164" si="66">VALUE(IF(C140="FST","0",IF(C140="REV T","0",IF(C140="DBL REV",".5","0"))))</f>
        <v>0</v>
      </c>
      <c r="AO140" s="109" t="str">
        <f t="shared" ref="AO140:AO164" si="67">IF(C140="TPL REV","Y","")</f>
        <v/>
      </c>
      <c r="AQ140" s="109" t="str">
        <f t="shared" ref="AQ140:AQ164" si="68">IF(C140="QD REV","Y","")</f>
        <v/>
      </c>
      <c r="BA140" s="229">
        <f>MOD(E140,12)</f>
        <v>4</v>
      </c>
    </row>
    <row r="141" spans="1:53" ht="15.75" thickBot="1" x14ac:dyDescent="0.3">
      <c r="A141" s="88"/>
      <c r="B141" s="66" t="s">
        <v>279</v>
      </c>
      <c r="C141" s="67" t="s">
        <v>484</v>
      </c>
      <c r="D141" s="102" t="s">
        <v>747</v>
      </c>
      <c r="E141" s="32">
        <v>8</v>
      </c>
      <c r="F141" s="32" t="s">
        <v>483</v>
      </c>
      <c r="G141" s="68" t="s">
        <v>277</v>
      </c>
      <c r="H141" s="69">
        <f t="shared" ref="H141:H164" si="69">IF(E141=0,0,I141-(E141-1))</f>
        <v>805</v>
      </c>
      <c r="I141" s="70">
        <f t="shared" ref="I141:I164" si="70">IF(E141=0,0,H140-1)</f>
        <v>812</v>
      </c>
      <c r="J141" s="73" t="str">
        <f>IF(C141="","--",IF(AND(C141&lt;&gt;"FST",C141&lt;&gt;"TCF",BA140&lt;&gt;0),BA140,"--"))</f>
        <v>--</v>
      </c>
      <c r="K141" s="32"/>
      <c r="L141" s="233"/>
      <c r="M141" s="277"/>
      <c r="N141" s="277"/>
      <c r="O141" s="277"/>
      <c r="P141" s="277"/>
      <c r="Q141" s="277"/>
      <c r="R141" s="277"/>
      <c r="S141" s="277"/>
      <c r="T141" s="277"/>
      <c r="U141" s="278"/>
      <c r="V141" s="103"/>
      <c r="W141" s="72"/>
      <c r="X141" s="72"/>
      <c r="Y141" s="72"/>
      <c r="Z141" s="45">
        <v>10</v>
      </c>
      <c r="AA141" s="46">
        <v>109</v>
      </c>
      <c r="AB141" s="46">
        <v>120</v>
      </c>
      <c r="AC141" s="72">
        <f t="shared" si="60"/>
        <v>1</v>
      </c>
      <c r="AD141" s="72">
        <f t="shared" si="61"/>
        <v>0</v>
      </c>
      <c r="AE141" s="109" t="str">
        <f t="shared" si="62"/>
        <v>805-812</v>
      </c>
      <c r="AF141" s="109" t="str">
        <f t="shared" si="63"/>
        <v>Y</v>
      </c>
      <c r="AG141" s="109" t="str">
        <f t="shared" si="64"/>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65"/>
        <v>0</v>
      </c>
      <c r="AN141" s="109">
        <f t="shared" si="66"/>
        <v>0</v>
      </c>
      <c r="AO141" s="109" t="str">
        <f t="shared" si="67"/>
        <v/>
      </c>
      <c r="AQ141" s="109" t="str">
        <f t="shared" si="68"/>
        <v/>
      </c>
      <c r="BA141" s="229">
        <f>MOD(SUM(E140:E141),12)</f>
        <v>0</v>
      </c>
    </row>
    <row r="142" spans="1:53" ht="15.75" thickBot="1" x14ac:dyDescent="0.3">
      <c r="A142" s="88"/>
      <c r="B142" s="74" t="s">
        <v>280</v>
      </c>
      <c r="C142" s="67"/>
      <c r="D142" s="102"/>
      <c r="E142" s="32"/>
      <c r="F142" s="32"/>
      <c r="G142" s="75" t="s">
        <v>277</v>
      </c>
      <c r="H142" s="69">
        <f t="shared" si="69"/>
        <v>0</v>
      </c>
      <c r="I142" s="70">
        <f t="shared" si="70"/>
        <v>0</v>
      </c>
      <c r="J142" s="73" t="str">
        <f t="shared" ref="J142:J164" si="71">IF(C142="","--",IF(AND(C142&lt;&gt;"FST",C142&lt;&gt;"TCF",BA141&lt;&gt;0),BA141,"--"))</f>
        <v>--</v>
      </c>
      <c r="K142" s="32"/>
      <c r="L142" s="233"/>
      <c r="M142" s="277"/>
      <c r="N142" s="277"/>
      <c r="O142" s="277"/>
      <c r="P142" s="277"/>
      <c r="Q142" s="277"/>
      <c r="R142" s="277"/>
      <c r="S142" s="277"/>
      <c r="T142" s="277"/>
      <c r="U142" s="278"/>
      <c r="V142" s="103"/>
      <c r="W142" s="72"/>
      <c r="X142" s="72"/>
      <c r="Y142" s="72"/>
      <c r="Z142" s="45">
        <v>11</v>
      </c>
      <c r="AA142" s="46">
        <v>121</v>
      </c>
      <c r="AB142" s="46">
        <v>132</v>
      </c>
      <c r="AC142" s="72">
        <f t="shared" si="60"/>
        <v>1</v>
      </c>
      <c r="AD142" s="72">
        <f t="shared" si="61"/>
        <v>1</v>
      </c>
      <c r="AE142" s="109" t="str">
        <f t="shared" si="62"/>
        <v>0-0</v>
      </c>
      <c r="AF142" s="109" t="str">
        <f t="shared" si="63"/>
        <v>Y</v>
      </c>
      <c r="AG142" s="109" t="str">
        <f t="shared" si="64"/>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65"/>
        <v>0</v>
      </c>
      <c r="AN142" s="109">
        <f t="shared" si="66"/>
        <v>0</v>
      </c>
      <c r="AO142" s="109" t="str">
        <f t="shared" si="67"/>
        <v/>
      </c>
      <c r="AQ142" s="109" t="str">
        <f t="shared" si="68"/>
        <v/>
      </c>
      <c r="BA142" s="229">
        <f>MOD(SUM(E140:E143),12)</f>
        <v>0</v>
      </c>
    </row>
    <row r="143" spans="1:53" ht="15.75" thickBot="1" x14ac:dyDescent="0.3">
      <c r="A143" s="88"/>
      <c r="B143" s="66" t="s">
        <v>281</v>
      </c>
      <c r="C143" s="67"/>
      <c r="D143" s="102"/>
      <c r="E143" s="32"/>
      <c r="F143" s="32"/>
      <c r="G143" s="68" t="s">
        <v>277</v>
      </c>
      <c r="H143" s="69">
        <f t="shared" si="69"/>
        <v>0</v>
      </c>
      <c r="I143" s="70">
        <f t="shared" si="70"/>
        <v>0</v>
      </c>
      <c r="J143" s="73" t="str">
        <f t="shared" si="71"/>
        <v>--</v>
      </c>
      <c r="K143" s="32"/>
      <c r="L143" s="233"/>
      <c r="M143" s="277"/>
      <c r="N143" s="277"/>
      <c r="O143" s="277"/>
      <c r="P143" s="277"/>
      <c r="Q143" s="277"/>
      <c r="R143" s="277"/>
      <c r="S143" s="277"/>
      <c r="T143" s="277"/>
      <c r="U143" s="278"/>
      <c r="V143" s="103"/>
      <c r="W143" s="72"/>
      <c r="X143" s="72"/>
      <c r="Y143" s="72"/>
      <c r="Z143" s="45">
        <v>12</v>
      </c>
      <c r="AA143" s="76">
        <v>133</v>
      </c>
      <c r="AB143" s="76">
        <v>144</v>
      </c>
      <c r="AC143" s="72">
        <f t="shared" si="60"/>
        <v>1</v>
      </c>
      <c r="AD143" s="72">
        <f t="shared" si="61"/>
        <v>1</v>
      </c>
      <c r="AE143" s="109" t="str">
        <f t="shared" si="62"/>
        <v>0-0</v>
      </c>
      <c r="AF143" s="109" t="str">
        <f t="shared" si="63"/>
        <v>Y</v>
      </c>
      <c r="AG143" s="109" t="str">
        <f t="shared" si="64"/>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65"/>
        <v>0</v>
      </c>
      <c r="AN143" s="109">
        <f t="shared" si="66"/>
        <v>0</v>
      </c>
      <c r="AO143" s="109" t="str">
        <f t="shared" si="67"/>
        <v/>
      </c>
      <c r="AQ143" s="109" t="str">
        <f t="shared" si="68"/>
        <v/>
      </c>
      <c r="BA143" s="229">
        <f>MOD(SUM(E140:E144),12)</f>
        <v>0</v>
      </c>
    </row>
    <row r="144" spans="1:53" ht="15.75" thickBot="1" x14ac:dyDescent="0.3">
      <c r="A144" s="88"/>
      <c r="B144" s="66" t="s">
        <v>282</v>
      </c>
      <c r="C144" s="67"/>
      <c r="D144" s="102"/>
      <c r="E144" s="32"/>
      <c r="F144" s="32"/>
      <c r="G144" s="68" t="s">
        <v>277</v>
      </c>
      <c r="H144" s="69">
        <f t="shared" si="69"/>
        <v>0</v>
      </c>
      <c r="I144" s="70">
        <f t="shared" si="70"/>
        <v>0</v>
      </c>
      <c r="J144" s="73" t="str">
        <f t="shared" si="71"/>
        <v>--</v>
      </c>
      <c r="K144" s="32"/>
      <c r="L144" s="233"/>
      <c r="M144" s="277"/>
      <c r="N144" s="277"/>
      <c r="O144" s="277"/>
      <c r="P144" s="277"/>
      <c r="Q144" s="277"/>
      <c r="R144" s="277"/>
      <c r="S144" s="277"/>
      <c r="T144" s="277"/>
      <c r="U144" s="278"/>
      <c r="V144" s="103"/>
      <c r="W144" s="72"/>
      <c r="X144" s="72"/>
      <c r="Y144" s="72"/>
      <c r="Z144" s="45">
        <v>13</v>
      </c>
      <c r="AA144" s="77">
        <f t="shared" ref="AA144:AA149" si="72">AB143+1</f>
        <v>145</v>
      </c>
      <c r="AB144" s="77">
        <f t="shared" ref="AB144:AB149" si="73">AB143+12</f>
        <v>156</v>
      </c>
      <c r="AC144" s="72">
        <f t="shared" si="60"/>
        <v>1</v>
      </c>
      <c r="AD144" s="72">
        <f t="shared" si="61"/>
        <v>1</v>
      </c>
      <c r="AE144" s="109" t="str">
        <f t="shared" si="62"/>
        <v>0-0</v>
      </c>
      <c r="AF144" s="109" t="str">
        <f t="shared" si="63"/>
        <v>Y</v>
      </c>
      <c r="AG144" s="109" t="str">
        <f t="shared" si="64"/>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65"/>
        <v>0</v>
      </c>
      <c r="AN144" s="109">
        <f t="shared" si="66"/>
        <v>0</v>
      </c>
      <c r="AO144" s="109" t="str">
        <f t="shared" si="67"/>
        <v/>
      </c>
      <c r="AQ144" s="109" t="str">
        <f t="shared" si="68"/>
        <v/>
      </c>
      <c r="BA144" s="229">
        <f>MOD(SUM(E140:E145),12)</f>
        <v>0</v>
      </c>
    </row>
    <row r="145" spans="1:53" ht="15.75" thickBot="1" x14ac:dyDescent="0.3">
      <c r="A145" s="88"/>
      <c r="B145" s="66" t="s">
        <v>283</v>
      </c>
      <c r="C145" s="67"/>
      <c r="D145" s="102"/>
      <c r="E145" s="32"/>
      <c r="F145" s="32"/>
      <c r="G145" s="68" t="s">
        <v>277</v>
      </c>
      <c r="H145" s="69">
        <f t="shared" si="69"/>
        <v>0</v>
      </c>
      <c r="I145" s="70">
        <f t="shared" si="70"/>
        <v>0</v>
      </c>
      <c r="J145" s="73" t="str">
        <f t="shared" si="71"/>
        <v>--</v>
      </c>
      <c r="K145" s="32"/>
      <c r="L145" s="233"/>
      <c r="M145" s="277"/>
      <c r="N145" s="277"/>
      <c r="O145" s="277"/>
      <c r="P145" s="277"/>
      <c r="Q145" s="277"/>
      <c r="R145" s="277"/>
      <c r="S145" s="277"/>
      <c r="T145" s="277"/>
      <c r="U145" s="278"/>
      <c r="V145" s="103"/>
      <c r="W145" s="72"/>
      <c r="X145" s="72"/>
      <c r="Y145" s="72"/>
      <c r="Z145" s="45">
        <v>14</v>
      </c>
      <c r="AA145" s="77">
        <f t="shared" si="72"/>
        <v>157</v>
      </c>
      <c r="AB145" s="77">
        <f t="shared" si="73"/>
        <v>168</v>
      </c>
      <c r="AC145" s="72">
        <f t="shared" si="60"/>
        <v>1</v>
      </c>
      <c r="AD145" s="72">
        <f t="shared" si="61"/>
        <v>1</v>
      </c>
      <c r="AE145" s="109" t="str">
        <f t="shared" si="62"/>
        <v>0-0</v>
      </c>
      <c r="AF145" s="109" t="str">
        <f t="shared" si="63"/>
        <v>Y</v>
      </c>
      <c r="AG145" s="109" t="str">
        <f t="shared" si="64"/>
        <v>B</v>
      </c>
      <c r="AM145" s="109">
        <f t="shared" si="65"/>
        <v>0</v>
      </c>
      <c r="AN145" s="109">
        <f t="shared" si="66"/>
        <v>0</v>
      </c>
      <c r="AO145" s="109" t="str">
        <f t="shared" si="67"/>
        <v/>
      </c>
      <c r="AQ145" s="109" t="str">
        <f t="shared" si="68"/>
        <v/>
      </c>
      <c r="BA145" s="229">
        <f>MOD(SUM(E140:E146),12)</f>
        <v>0</v>
      </c>
    </row>
    <row r="146" spans="1:53" ht="15.75" thickBot="1" x14ac:dyDescent="0.3">
      <c r="A146" s="88"/>
      <c r="B146" s="66" t="s">
        <v>284</v>
      </c>
      <c r="C146" s="67"/>
      <c r="D146" s="102"/>
      <c r="E146" s="32"/>
      <c r="F146" s="32"/>
      <c r="G146" s="68" t="s">
        <v>277</v>
      </c>
      <c r="H146" s="69">
        <f t="shared" si="69"/>
        <v>0</v>
      </c>
      <c r="I146" s="70">
        <f t="shared" si="70"/>
        <v>0</v>
      </c>
      <c r="J146" s="73" t="str">
        <f t="shared" si="71"/>
        <v>--</v>
      </c>
      <c r="K146" s="32"/>
      <c r="L146" s="233"/>
      <c r="M146" s="277"/>
      <c r="N146" s="277"/>
      <c r="O146" s="277"/>
      <c r="P146" s="277"/>
      <c r="Q146" s="277"/>
      <c r="R146" s="277"/>
      <c r="S146" s="277"/>
      <c r="T146" s="277"/>
      <c r="U146" s="278"/>
      <c r="V146" s="103"/>
      <c r="W146" s="72"/>
      <c r="X146" s="72"/>
      <c r="Y146" s="72"/>
      <c r="Z146" s="45">
        <v>15</v>
      </c>
      <c r="AA146" s="77">
        <f t="shared" si="72"/>
        <v>169</v>
      </c>
      <c r="AB146" s="77">
        <f t="shared" si="73"/>
        <v>180</v>
      </c>
      <c r="AC146" s="72">
        <f t="shared" si="60"/>
        <v>1</v>
      </c>
      <c r="AD146" s="72">
        <f t="shared" si="61"/>
        <v>1</v>
      </c>
      <c r="AE146" s="109" t="str">
        <f t="shared" si="62"/>
        <v>0-0</v>
      </c>
      <c r="AF146" s="109" t="str">
        <f t="shared" si="63"/>
        <v>Y</v>
      </c>
      <c r="AG146" s="109" t="str">
        <f t="shared" si="64"/>
        <v>B</v>
      </c>
      <c r="AM146" s="109">
        <f t="shared" si="65"/>
        <v>0</v>
      </c>
      <c r="AN146" s="109">
        <f t="shared" si="66"/>
        <v>0</v>
      </c>
      <c r="AO146" s="109" t="str">
        <f t="shared" si="67"/>
        <v/>
      </c>
      <c r="AQ146" s="109" t="str">
        <f t="shared" si="68"/>
        <v/>
      </c>
      <c r="BA146" s="229">
        <f>MOD(SUM(E140:E147),12)</f>
        <v>0</v>
      </c>
    </row>
    <row r="147" spans="1:53" ht="15.75" thickBot="1" x14ac:dyDescent="0.3">
      <c r="A147" s="88"/>
      <c r="B147" s="66" t="s">
        <v>285</v>
      </c>
      <c r="C147" s="67"/>
      <c r="D147" s="102"/>
      <c r="E147" s="32"/>
      <c r="F147" s="32"/>
      <c r="G147" s="68" t="s">
        <v>277</v>
      </c>
      <c r="H147" s="69">
        <f t="shared" si="69"/>
        <v>0</v>
      </c>
      <c r="I147" s="70">
        <f t="shared" si="70"/>
        <v>0</v>
      </c>
      <c r="J147" s="73" t="str">
        <f t="shared" si="71"/>
        <v>--</v>
      </c>
      <c r="K147" s="32"/>
      <c r="L147" s="233"/>
      <c r="M147" s="277"/>
      <c r="N147" s="277"/>
      <c r="O147" s="277"/>
      <c r="P147" s="277"/>
      <c r="Q147" s="277"/>
      <c r="R147" s="277"/>
      <c r="S147" s="277"/>
      <c r="T147" s="277"/>
      <c r="U147" s="278"/>
      <c r="V147" s="103"/>
      <c r="W147" s="72"/>
      <c r="X147" s="72"/>
      <c r="Y147" s="72"/>
      <c r="Z147" s="45">
        <f>Z146+1</f>
        <v>16</v>
      </c>
      <c r="AA147" s="77">
        <f t="shared" si="72"/>
        <v>181</v>
      </c>
      <c r="AB147" s="77">
        <f t="shared" si="73"/>
        <v>192</v>
      </c>
      <c r="AC147" s="72">
        <f t="shared" si="60"/>
        <v>1</v>
      </c>
      <c r="AD147" s="72">
        <f t="shared" si="61"/>
        <v>1</v>
      </c>
      <c r="AE147" s="109" t="str">
        <f t="shared" si="62"/>
        <v>0-0</v>
      </c>
      <c r="AF147" s="109" t="str">
        <f t="shared" si="63"/>
        <v>Y</v>
      </c>
      <c r="AG147" s="109" t="str">
        <f t="shared" si="64"/>
        <v>B</v>
      </c>
      <c r="AM147" s="109">
        <f t="shared" si="65"/>
        <v>0</v>
      </c>
      <c r="AN147" s="109">
        <f t="shared" si="66"/>
        <v>0</v>
      </c>
      <c r="AO147" s="109" t="str">
        <f t="shared" si="67"/>
        <v/>
      </c>
      <c r="AQ147" s="109" t="str">
        <f t="shared" si="68"/>
        <v/>
      </c>
      <c r="BA147" s="229">
        <f>MOD(SUM(E140:E148),12)</f>
        <v>0</v>
      </c>
    </row>
    <row r="148" spans="1:53" ht="15.75" thickBot="1" x14ac:dyDescent="0.3">
      <c r="A148" s="88"/>
      <c r="B148" s="66" t="s">
        <v>286</v>
      </c>
      <c r="C148" s="67"/>
      <c r="D148" s="102"/>
      <c r="E148" s="32"/>
      <c r="F148" s="32"/>
      <c r="G148" s="68" t="s">
        <v>277</v>
      </c>
      <c r="H148" s="69">
        <f t="shared" si="69"/>
        <v>0</v>
      </c>
      <c r="I148" s="70">
        <f t="shared" si="70"/>
        <v>0</v>
      </c>
      <c r="J148" s="73" t="str">
        <f t="shared" si="71"/>
        <v>--</v>
      </c>
      <c r="K148" s="32"/>
      <c r="L148" s="233"/>
      <c r="M148" s="277"/>
      <c r="N148" s="277"/>
      <c r="O148" s="277"/>
      <c r="P148" s="277"/>
      <c r="Q148" s="277"/>
      <c r="R148" s="277"/>
      <c r="S148" s="277"/>
      <c r="T148" s="277"/>
      <c r="U148" s="278"/>
      <c r="V148" s="103"/>
      <c r="W148" s="72"/>
      <c r="X148" s="72"/>
      <c r="Y148" s="72"/>
      <c r="Z148" s="45">
        <f>Z147+1</f>
        <v>17</v>
      </c>
      <c r="AA148" s="77">
        <f t="shared" si="72"/>
        <v>193</v>
      </c>
      <c r="AB148" s="77">
        <f t="shared" si="73"/>
        <v>204</v>
      </c>
      <c r="AC148" s="72">
        <f t="shared" si="60"/>
        <v>1</v>
      </c>
      <c r="AD148" s="72">
        <f t="shared" si="61"/>
        <v>1</v>
      </c>
      <c r="AE148" s="109" t="str">
        <f t="shared" si="62"/>
        <v>0-0</v>
      </c>
      <c r="AF148" s="109" t="str">
        <f t="shared" si="63"/>
        <v>Y</v>
      </c>
      <c r="AG148" s="109" t="str">
        <f t="shared" si="64"/>
        <v>B</v>
      </c>
      <c r="AM148" s="109">
        <f t="shared" si="65"/>
        <v>0</v>
      </c>
      <c r="AN148" s="109">
        <f t="shared" si="66"/>
        <v>0</v>
      </c>
      <c r="AO148" s="109" t="str">
        <f t="shared" si="67"/>
        <v/>
      </c>
      <c r="AQ148" s="109" t="str">
        <f t="shared" si="68"/>
        <v/>
      </c>
      <c r="BA148" s="229">
        <f>MOD(SUM(E140:E149),12)</f>
        <v>0</v>
      </c>
    </row>
    <row r="149" spans="1:53" ht="15.75" thickBot="1" x14ac:dyDescent="0.3">
      <c r="A149" s="88"/>
      <c r="B149" s="66" t="s">
        <v>287</v>
      </c>
      <c r="C149" s="67"/>
      <c r="D149" s="102"/>
      <c r="E149" s="32"/>
      <c r="F149" s="32"/>
      <c r="G149" s="68" t="s">
        <v>277</v>
      </c>
      <c r="H149" s="69">
        <f t="shared" si="69"/>
        <v>0</v>
      </c>
      <c r="I149" s="70">
        <f t="shared" si="70"/>
        <v>0</v>
      </c>
      <c r="J149" s="73" t="str">
        <f t="shared" si="71"/>
        <v>--</v>
      </c>
      <c r="K149" s="32"/>
      <c r="L149" s="233"/>
      <c r="M149" s="277"/>
      <c r="N149" s="277"/>
      <c r="O149" s="277"/>
      <c r="P149" s="277"/>
      <c r="Q149" s="277"/>
      <c r="R149" s="277"/>
      <c r="S149" s="277"/>
      <c r="T149" s="277"/>
      <c r="U149" s="278"/>
      <c r="V149" s="103"/>
      <c r="W149" s="72"/>
      <c r="X149" s="72"/>
      <c r="Y149" s="72"/>
      <c r="Z149" s="45">
        <f>Z148+1</f>
        <v>18</v>
      </c>
      <c r="AA149" s="77">
        <f t="shared" si="72"/>
        <v>205</v>
      </c>
      <c r="AB149" s="77">
        <f t="shared" si="73"/>
        <v>216</v>
      </c>
      <c r="AC149" s="72">
        <f t="shared" si="60"/>
        <v>1</v>
      </c>
      <c r="AD149" s="72">
        <f t="shared" si="61"/>
        <v>1</v>
      </c>
      <c r="AE149" s="109" t="str">
        <f t="shared" si="62"/>
        <v>0-0</v>
      </c>
      <c r="AF149" s="109" t="str">
        <f t="shared" si="63"/>
        <v>Y</v>
      </c>
      <c r="AG149" s="109" t="str">
        <f t="shared" si="64"/>
        <v>B</v>
      </c>
      <c r="AM149" s="109">
        <f t="shared" si="65"/>
        <v>0</v>
      </c>
      <c r="AN149" s="109">
        <f t="shared" si="66"/>
        <v>0</v>
      </c>
      <c r="AO149" s="109" t="str">
        <f t="shared" si="67"/>
        <v/>
      </c>
      <c r="AQ149" s="109" t="str">
        <f t="shared" si="68"/>
        <v/>
      </c>
      <c r="BA149" s="229">
        <f>MOD(SUM(E140:E150),12)</f>
        <v>0</v>
      </c>
    </row>
    <row r="150" spans="1:53" ht="15.75" thickBot="1" x14ac:dyDescent="0.3">
      <c r="A150" s="88"/>
      <c r="B150" s="66" t="s">
        <v>288</v>
      </c>
      <c r="C150" s="67"/>
      <c r="D150" s="102"/>
      <c r="E150" s="32"/>
      <c r="F150" s="32"/>
      <c r="G150" s="68" t="s">
        <v>277</v>
      </c>
      <c r="H150" s="69">
        <f t="shared" si="69"/>
        <v>0</v>
      </c>
      <c r="I150" s="70">
        <f t="shared" si="70"/>
        <v>0</v>
      </c>
      <c r="J150" s="73" t="str">
        <f t="shared" si="71"/>
        <v>--</v>
      </c>
      <c r="K150" s="32"/>
      <c r="L150" s="233"/>
      <c r="M150" s="277"/>
      <c r="N150" s="277"/>
      <c r="O150" s="277"/>
      <c r="P150" s="277"/>
      <c r="Q150" s="277"/>
      <c r="R150" s="277"/>
      <c r="S150" s="277"/>
      <c r="T150" s="277"/>
      <c r="U150" s="278"/>
      <c r="V150" s="103"/>
      <c r="W150" s="84"/>
      <c r="X150" s="84"/>
      <c r="Y150" s="72"/>
      <c r="Z150" s="72"/>
      <c r="AA150" s="72"/>
      <c r="AB150" s="72"/>
      <c r="AC150" s="72">
        <f t="shared" si="60"/>
        <v>1</v>
      </c>
      <c r="AD150" s="72">
        <f t="shared" si="61"/>
        <v>1</v>
      </c>
      <c r="AE150" s="109" t="str">
        <f t="shared" si="62"/>
        <v>0-0</v>
      </c>
      <c r="AF150" s="109" t="str">
        <f t="shared" si="63"/>
        <v>Y</v>
      </c>
      <c r="AG150" s="109" t="str">
        <f t="shared" si="64"/>
        <v>B</v>
      </c>
      <c r="AM150" s="109">
        <f t="shared" si="65"/>
        <v>0</v>
      </c>
      <c r="AN150" s="109">
        <f t="shared" si="66"/>
        <v>0</v>
      </c>
      <c r="AO150" s="109" t="str">
        <f t="shared" si="67"/>
        <v/>
      </c>
      <c r="AQ150" s="109" t="str">
        <f t="shared" si="68"/>
        <v/>
      </c>
      <c r="BA150" s="229">
        <f>MOD(SUM(E140:E151),12)</f>
        <v>0</v>
      </c>
    </row>
    <row r="151" spans="1:53" ht="15.75" thickBot="1" x14ac:dyDescent="0.3">
      <c r="A151" s="88"/>
      <c r="B151" s="66" t="s">
        <v>289</v>
      </c>
      <c r="C151" s="67"/>
      <c r="D151" s="102"/>
      <c r="E151" s="32"/>
      <c r="F151" s="32"/>
      <c r="G151" s="68" t="s">
        <v>277</v>
      </c>
      <c r="H151" s="69">
        <f t="shared" si="69"/>
        <v>0</v>
      </c>
      <c r="I151" s="70">
        <f t="shared" si="70"/>
        <v>0</v>
      </c>
      <c r="J151" s="73" t="str">
        <f t="shared" si="71"/>
        <v>--</v>
      </c>
      <c r="K151" s="32"/>
      <c r="L151" s="233"/>
      <c r="M151" s="277"/>
      <c r="N151" s="277"/>
      <c r="O151" s="277"/>
      <c r="P151" s="277"/>
      <c r="Q151" s="277"/>
      <c r="R151" s="277"/>
      <c r="S151" s="277"/>
      <c r="T151" s="277"/>
      <c r="U151" s="278"/>
      <c r="V151" s="103"/>
      <c r="W151" s="84">
        <f>Y151+1</f>
        <v>13</v>
      </c>
      <c r="X151" s="84"/>
      <c r="Y151" s="78">
        <f>SUM(E140:E151)</f>
        <v>12</v>
      </c>
      <c r="Z151" s="72"/>
      <c r="AA151" s="72"/>
      <c r="AB151" s="72"/>
      <c r="AC151" s="72">
        <f t="shared" si="60"/>
        <v>1</v>
      </c>
      <c r="AD151" s="72">
        <f t="shared" si="61"/>
        <v>1</v>
      </c>
      <c r="AE151" s="109" t="str">
        <f t="shared" si="62"/>
        <v>0-0</v>
      </c>
      <c r="AF151" s="109" t="str">
        <f t="shared" si="63"/>
        <v>Y</v>
      </c>
      <c r="AG151" s="109" t="str">
        <f t="shared" si="64"/>
        <v>B</v>
      </c>
      <c r="AM151" s="109">
        <f t="shared" si="65"/>
        <v>0</v>
      </c>
      <c r="AN151" s="109">
        <f t="shared" si="66"/>
        <v>0</v>
      </c>
      <c r="AO151" s="109" t="str">
        <f t="shared" si="67"/>
        <v/>
      </c>
      <c r="AQ151" s="109" t="str">
        <f t="shared" si="68"/>
        <v/>
      </c>
      <c r="BA151" s="229">
        <f>MOD(SUM(E140:E152),12)</f>
        <v>0</v>
      </c>
    </row>
    <row r="152" spans="1:53" ht="15.75" thickBot="1" x14ac:dyDescent="0.3">
      <c r="A152" s="88"/>
      <c r="B152" s="66" t="s">
        <v>290</v>
      </c>
      <c r="C152" s="67"/>
      <c r="D152" s="102"/>
      <c r="E152" s="32"/>
      <c r="F152" s="32"/>
      <c r="G152" s="68" t="s">
        <v>277</v>
      </c>
      <c r="H152" s="69">
        <f t="shared" si="69"/>
        <v>0</v>
      </c>
      <c r="I152" s="70">
        <f t="shared" si="70"/>
        <v>0</v>
      </c>
      <c r="J152" s="73" t="str">
        <f t="shared" si="71"/>
        <v>--</v>
      </c>
      <c r="K152" s="32"/>
      <c r="L152" s="233"/>
      <c r="M152" s="277"/>
      <c r="N152" s="277"/>
      <c r="O152" s="277"/>
      <c r="P152" s="277"/>
      <c r="Q152" s="277"/>
      <c r="R152" s="277"/>
      <c r="S152" s="277"/>
      <c r="T152" s="277"/>
      <c r="U152" s="278"/>
      <c r="V152" s="103"/>
      <c r="W152" s="84">
        <f>Y152+1</f>
        <v>13</v>
      </c>
      <c r="X152" s="84"/>
      <c r="Y152" s="78">
        <f>SUM(E140:E152)</f>
        <v>12</v>
      </c>
      <c r="Z152" s="72" t="str">
        <f t="shared" ref="Z152:Z164" si="74">IF(OR(AND(E$8=216,C151="DBL REV",C152="DBL REV",Y151&lt;=144,Y152&gt;144),AND(E$8=216,C151="TPL REV",C152="TPL REV",Y151&lt;=144,Y152&gt;144),AND(E$8=216,C151="QD REV",C152="QD REV",Y151&lt;=144,Y152&gt;144)),"ERROR","")</f>
        <v/>
      </c>
      <c r="AA152" s="72"/>
      <c r="AB152" s="72"/>
      <c r="AC152" s="72">
        <f t="shared" si="60"/>
        <v>1</v>
      </c>
      <c r="AD152" s="72">
        <f t="shared" si="61"/>
        <v>1</v>
      </c>
      <c r="AE152" s="109" t="str">
        <f t="shared" si="62"/>
        <v>0-0</v>
      </c>
      <c r="AF152" s="109" t="str">
        <f t="shared" si="63"/>
        <v>Y</v>
      </c>
      <c r="AG152" s="109" t="str">
        <f t="shared" si="64"/>
        <v>B</v>
      </c>
      <c r="AM152" s="109">
        <f t="shared" si="65"/>
        <v>0</v>
      </c>
      <c r="AN152" s="109">
        <f t="shared" si="66"/>
        <v>0</v>
      </c>
      <c r="AO152" s="109" t="str">
        <f t="shared" si="67"/>
        <v/>
      </c>
      <c r="AQ152" s="109" t="str">
        <f t="shared" si="68"/>
        <v/>
      </c>
      <c r="BA152" s="229">
        <f>MOD(SUM(E140:E153),12)</f>
        <v>0</v>
      </c>
    </row>
    <row r="153" spans="1:53" ht="15.75" thickBot="1" x14ac:dyDescent="0.3">
      <c r="A153" s="88"/>
      <c r="B153" s="66" t="s">
        <v>291</v>
      </c>
      <c r="C153" s="67"/>
      <c r="D153" s="102"/>
      <c r="E153" s="32"/>
      <c r="F153" s="32"/>
      <c r="G153" s="68" t="s">
        <v>277</v>
      </c>
      <c r="H153" s="69">
        <f t="shared" si="69"/>
        <v>0</v>
      </c>
      <c r="I153" s="70">
        <f t="shared" si="70"/>
        <v>0</v>
      </c>
      <c r="J153" s="73" t="str">
        <f t="shared" si="71"/>
        <v>--</v>
      </c>
      <c r="K153" s="32"/>
      <c r="L153" s="233"/>
      <c r="M153" s="277"/>
      <c r="N153" s="277"/>
      <c r="O153" s="277"/>
      <c r="P153" s="277"/>
      <c r="Q153" s="277"/>
      <c r="R153" s="277"/>
      <c r="S153" s="277"/>
      <c r="T153" s="277"/>
      <c r="U153" s="278"/>
      <c r="V153" s="103"/>
      <c r="W153" s="84">
        <f>Y153+1</f>
        <v>13</v>
      </c>
      <c r="X153" s="84"/>
      <c r="Y153" s="78">
        <f>SUM(E140:E153)</f>
        <v>12</v>
      </c>
      <c r="Z153" s="72" t="str">
        <f t="shared" si="74"/>
        <v/>
      </c>
      <c r="AA153" s="72"/>
      <c r="AB153" s="72"/>
      <c r="AC153" s="72">
        <f t="shared" si="60"/>
        <v>1</v>
      </c>
      <c r="AD153" s="72">
        <f t="shared" si="61"/>
        <v>1</v>
      </c>
      <c r="AE153" s="109" t="str">
        <f t="shared" si="62"/>
        <v>0-0</v>
      </c>
      <c r="AF153" s="109" t="str">
        <f t="shared" si="63"/>
        <v>Y</v>
      </c>
      <c r="AG153" s="109" t="str">
        <f t="shared" si="64"/>
        <v>B</v>
      </c>
      <c r="AM153" s="109">
        <f t="shared" si="65"/>
        <v>0</v>
      </c>
      <c r="AN153" s="109">
        <f t="shared" si="66"/>
        <v>0</v>
      </c>
      <c r="AO153" s="109" t="str">
        <f t="shared" si="67"/>
        <v/>
      </c>
      <c r="AQ153" s="109" t="str">
        <f t="shared" si="68"/>
        <v/>
      </c>
      <c r="BA153" s="229">
        <f>MOD(SUM(E140:E154),12)</f>
        <v>0</v>
      </c>
    </row>
    <row r="154" spans="1:53" ht="15.75" thickBot="1" x14ac:dyDescent="0.3">
      <c r="A154" s="88"/>
      <c r="B154" s="66" t="s">
        <v>292</v>
      </c>
      <c r="C154" s="67"/>
      <c r="D154" s="102"/>
      <c r="E154" s="32"/>
      <c r="F154" s="32"/>
      <c r="G154" s="68" t="s">
        <v>277</v>
      </c>
      <c r="H154" s="69">
        <f t="shared" si="69"/>
        <v>0</v>
      </c>
      <c r="I154" s="70">
        <f t="shared" si="70"/>
        <v>0</v>
      </c>
      <c r="J154" s="73" t="str">
        <f t="shared" si="71"/>
        <v>--</v>
      </c>
      <c r="K154" s="32"/>
      <c r="L154" s="233"/>
      <c r="M154" s="277"/>
      <c r="N154" s="277"/>
      <c r="O154" s="277"/>
      <c r="P154" s="277"/>
      <c r="Q154" s="277"/>
      <c r="R154" s="277"/>
      <c r="S154" s="277"/>
      <c r="T154" s="277"/>
      <c r="U154" s="278"/>
      <c r="V154" s="103"/>
      <c r="W154" s="84">
        <f>Y154+1</f>
        <v>13</v>
      </c>
      <c r="X154" s="84"/>
      <c r="Y154" s="78">
        <f>SUM(E140:E154)</f>
        <v>12</v>
      </c>
      <c r="Z154" s="72" t="str">
        <f t="shared" si="74"/>
        <v/>
      </c>
      <c r="AA154" s="72" t="str">
        <f t="shared" ref="AA154:AA166" si="75">IF(AND(C152&lt;&gt;"Field SPL",W151&lt;=144,Y152&gt;144),"ERROR","")</f>
        <v/>
      </c>
      <c r="AB154" s="72"/>
      <c r="AC154" s="72">
        <f t="shared" si="60"/>
        <v>1</v>
      </c>
      <c r="AD154" s="72">
        <f t="shared" si="61"/>
        <v>1</v>
      </c>
      <c r="AE154" s="109" t="str">
        <f t="shared" si="62"/>
        <v>0-0</v>
      </c>
      <c r="AF154" s="109" t="str">
        <f t="shared" si="63"/>
        <v>Y</v>
      </c>
      <c r="AG154" s="109" t="str">
        <f t="shared" si="64"/>
        <v>B</v>
      </c>
      <c r="AM154" s="109">
        <f t="shared" si="65"/>
        <v>0</v>
      </c>
      <c r="AN154" s="109">
        <f t="shared" si="66"/>
        <v>0</v>
      </c>
      <c r="AO154" s="109" t="str">
        <f t="shared" si="67"/>
        <v/>
      </c>
      <c r="AQ154" s="109" t="str">
        <f t="shared" si="68"/>
        <v/>
      </c>
      <c r="BA154" s="229">
        <f>MOD(SUM(E140:E155),12)</f>
        <v>0</v>
      </c>
    </row>
    <row r="155" spans="1:53" ht="15.75" thickBot="1" x14ac:dyDescent="0.3">
      <c r="A155" s="88"/>
      <c r="B155" s="66" t="s">
        <v>293</v>
      </c>
      <c r="C155" s="67"/>
      <c r="D155" s="102"/>
      <c r="E155" s="32"/>
      <c r="F155" s="32"/>
      <c r="G155" s="68" t="s">
        <v>277</v>
      </c>
      <c r="H155" s="69">
        <f t="shared" si="69"/>
        <v>0</v>
      </c>
      <c r="I155" s="70">
        <f t="shared" si="70"/>
        <v>0</v>
      </c>
      <c r="J155" s="73" t="str">
        <f t="shared" si="71"/>
        <v>--</v>
      </c>
      <c r="K155" s="32"/>
      <c r="L155" s="233"/>
      <c r="M155" s="277"/>
      <c r="N155" s="277"/>
      <c r="O155" s="277"/>
      <c r="P155" s="277"/>
      <c r="Q155" s="277"/>
      <c r="R155" s="277"/>
      <c r="S155" s="277"/>
      <c r="T155" s="277"/>
      <c r="U155" s="278"/>
      <c r="V155" s="103"/>
      <c r="W155" s="84">
        <f t="shared" ref="W155:W163" si="76">Y155+1</f>
        <v>13</v>
      </c>
      <c r="X155" s="84"/>
      <c r="Y155" s="78">
        <f>SUM(E140:E155)</f>
        <v>12</v>
      </c>
      <c r="Z155" s="72" t="str">
        <f t="shared" si="74"/>
        <v/>
      </c>
      <c r="AA155" s="72" t="str">
        <f t="shared" si="75"/>
        <v/>
      </c>
      <c r="AB155" s="72"/>
      <c r="AC155" s="72">
        <f t="shared" si="60"/>
        <v>1</v>
      </c>
      <c r="AD155" s="72">
        <f t="shared" si="61"/>
        <v>1</v>
      </c>
      <c r="AE155" s="109" t="str">
        <f t="shared" si="62"/>
        <v>0-0</v>
      </c>
      <c r="AF155" s="109" t="str">
        <f t="shared" si="63"/>
        <v>Y</v>
      </c>
      <c r="AG155" s="109" t="str">
        <f t="shared" si="64"/>
        <v>B</v>
      </c>
      <c r="AM155" s="109">
        <f t="shared" si="65"/>
        <v>0</v>
      </c>
      <c r="AN155" s="109">
        <f t="shared" si="66"/>
        <v>0</v>
      </c>
      <c r="AO155" s="109" t="str">
        <f t="shared" si="67"/>
        <v/>
      </c>
      <c r="AQ155" s="109" t="str">
        <f t="shared" si="68"/>
        <v/>
      </c>
      <c r="BA155" s="229">
        <f>MOD(SUM(E140:E156),12)</f>
        <v>0</v>
      </c>
    </row>
    <row r="156" spans="1:53" ht="15.75" thickBot="1" x14ac:dyDescent="0.3">
      <c r="A156" s="88"/>
      <c r="B156" s="66" t="s">
        <v>294</v>
      </c>
      <c r="C156" s="67"/>
      <c r="D156" s="102"/>
      <c r="E156" s="32"/>
      <c r="F156" s="32"/>
      <c r="G156" s="68" t="s">
        <v>277</v>
      </c>
      <c r="H156" s="69">
        <f t="shared" si="69"/>
        <v>0</v>
      </c>
      <c r="I156" s="70">
        <f t="shared" si="70"/>
        <v>0</v>
      </c>
      <c r="J156" s="73" t="str">
        <f t="shared" si="71"/>
        <v>--</v>
      </c>
      <c r="K156" s="32"/>
      <c r="L156" s="233"/>
      <c r="M156" s="277"/>
      <c r="N156" s="277"/>
      <c r="O156" s="277"/>
      <c r="P156" s="277"/>
      <c r="Q156" s="277"/>
      <c r="R156" s="277"/>
      <c r="S156" s="277"/>
      <c r="T156" s="277"/>
      <c r="U156" s="278"/>
      <c r="V156" s="103"/>
      <c r="W156" s="84">
        <f t="shared" si="76"/>
        <v>13</v>
      </c>
      <c r="X156" s="84"/>
      <c r="Y156" s="78">
        <f>SUM(E140:E156)</f>
        <v>12</v>
      </c>
      <c r="Z156" s="72" t="str">
        <f t="shared" si="74"/>
        <v/>
      </c>
      <c r="AA156" s="72" t="str">
        <f t="shared" si="75"/>
        <v/>
      </c>
      <c r="AB156" s="72"/>
      <c r="AC156" s="72">
        <f t="shared" si="60"/>
        <v>1</v>
      </c>
      <c r="AD156" s="72">
        <f t="shared" si="61"/>
        <v>1</v>
      </c>
      <c r="AE156" s="109" t="str">
        <f t="shared" si="62"/>
        <v>0-0</v>
      </c>
      <c r="AF156" s="109" t="str">
        <f t="shared" si="63"/>
        <v>Y</v>
      </c>
      <c r="AG156" s="109" t="str">
        <f t="shared" si="64"/>
        <v>B</v>
      </c>
      <c r="AM156" s="109">
        <f t="shared" si="65"/>
        <v>0</v>
      </c>
      <c r="AN156" s="109">
        <f t="shared" si="66"/>
        <v>0</v>
      </c>
      <c r="AO156" s="109" t="str">
        <f t="shared" si="67"/>
        <v/>
      </c>
      <c r="AQ156" s="109" t="str">
        <f t="shared" si="68"/>
        <v/>
      </c>
      <c r="BA156" s="229">
        <f>MOD(SUM(E140:E157),12)</f>
        <v>0</v>
      </c>
    </row>
    <row r="157" spans="1:53" ht="15.75" thickBot="1" x14ac:dyDescent="0.3">
      <c r="A157" s="88"/>
      <c r="B157" s="66" t="s">
        <v>295</v>
      </c>
      <c r="C157" s="67"/>
      <c r="D157" s="102"/>
      <c r="E157" s="32"/>
      <c r="F157" s="32"/>
      <c r="G157" s="68" t="s">
        <v>277</v>
      </c>
      <c r="H157" s="69">
        <f t="shared" si="69"/>
        <v>0</v>
      </c>
      <c r="I157" s="70">
        <f t="shared" si="70"/>
        <v>0</v>
      </c>
      <c r="J157" s="73" t="str">
        <f t="shared" si="71"/>
        <v>--</v>
      </c>
      <c r="K157" s="32"/>
      <c r="L157" s="233"/>
      <c r="M157" s="277"/>
      <c r="N157" s="277"/>
      <c r="O157" s="277"/>
      <c r="P157" s="277"/>
      <c r="Q157" s="277"/>
      <c r="R157" s="277"/>
      <c r="S157" s="277"/>
      <c r="T157" s="277"/>
      <c r="U157" s="278"/>
      <c r="V157" s="103"/>
      <c r="W157" s="84">
        <f t="shared" si="76"/>
        <v>13</v>
      </c>
      <c r="X157" s="84"/>
      <c r="Y157" s="78">
        <f>SUM(E140:E157)</f>
        <v>12</v>
      </c>
      <c r="Z157" s="72" t="str">
        <f t="shared" si="74"/>
        <v/>
      </c>
      <c r="AA157" s="72" t="str">
        <f t="shared" si="75"/>
        <v/>
      </c>
      <c r="AB157" s="72"/>
      <c r="AC157" s="72">
        <f t="shared" si="60"/>
        <v>1</v>
      </c>
      <c r="AD157" s="72">
        <f t="shared" si="61"/>
        <v>1</v>
      </c>
      <c r="AE157" s="109" t="str">
        <f t="shared" si="62"/>
        <v>0-0</v>
      </c>
      <c r="AF157" s="109" t="str">
        <f t="shared" si="63"/>
        <v>Y</v>
      </c>
      <c r="AG157" s="109" t="str">
        <f t="shared" si="64"/>
        <v>B</v>
      </c>
      <c r="AM157" s="109">
        <f t="shared" si="65"/>
        <v>0</v>
      </c>
      <c r="AN157" s="109">
        <f t="shared" si="66"/>
        <v>0</v>
      </c>
      <c r="AO157" s="109" t="str">
        <f t="shared" si="67"/>
        <v/>
      </c>
      <c r="AQ157" s="109" t="str">
        <f t="shared" si="68"/>
        <v/>
      </c>
      <c r="BA157" s="229">
        <f>MOD(SUM(E140:E158),12)</f>
        <v>0</v>
      </c>
    </row>
    <row r="158" spans="1:53" ht="15.75" thickBot="1" x14ac:dyDescent="0.3">
      <c r="A158" s="88"/>
      <c r="B158" s="66" t="s">
        <v>296</v>
      </c>
      <c r="C158" s="67"/>
      <c r="D158" s="102"/>
      <c r="E158" s="32"/>
      <c r="F158" s="32"/>
      <c r="G158" s="68" t="s">
        <v>277</v>
      </c>
      <c r="H158" s="69">
        <f t="shared" si="69"/>
        <v>0</v>
      </c>
      <c r="I158" s="70">
        <f t="shared" si="70"/>
        <v>0</v>
      </c>
      <c r="J158" s="73" t="str">
        <f t="shared" si="71"/>
        <v>--</v>
      </c>
      <c r="K158" s="32"/>
      <c r="L158" s="233"/>
      <c r="M158" s="277"/>
      <c r="N158" s="277"/>
      <c r="O158" s="277"/>
      <c r="P158" s="277"/>
      <c r="Q158" s="277"/>
      <c r="R158" s="277"/>
      <c r="S158" s="277"/>
      <c r="T158" s="277"/>
      <c r="U158" s="278"/>
      <c r="V158" s="103"/>
      <c r="W158" s="84">
        <f t="shared" si="76"/>
        <v>13</v>
      </c>
      <c r="X158" s="84"/>
      <c r="Y158" s="78">
        <f>SUM(E140:E158)</f>
        <v>12</v>
      </c>
      <c r="Z158" s="72" t="str">
        <f t="shared" si="74"/>
        <v/>
      </c>
      <c r="AA158" s="72" t="str">
        <f t="shared" si="75"/>
        <v/>
      </c>
      <c r="AB158" s="72"/>
      <c r="AC158" s="72">
        <f t="shared" si="60"/>
        <v>1</v>
      </c>
      <c r="AD158" s="72">
        <f t="shared" si="61"/>
        <v>1</v>
      </c>
      <c r="AE158" s="109" t="str">
        <f t="shared" si="62"/>
        <v>0-0</v>
      </c>
      <c r="AF158" s="109" t="str">
        <f t="shared" si="63"/>
        <v>Y</v>
      </c>
      <c r="AG158" s="109" t="str">
        <f t="shared" si="64"/>
        <v>B</v>
      </c>
      <c r="AM158" s="109">
        <f t="shared" si="65"/>
        <v>0</v>
      </c>
      <c r="AN158" s="109">
        <f t="shared" si="66"/>
        <v>0</v>
      </c>
      <c r="AO158" s="109" t="str">
        <f t="shared" si="67"/>
        <v/>
      </c>
      <c r="AQ158" s="109" t="str">
        <f t="shared" si="68"/>
        <v/>
      </c>
      <c r="BA158" s="229">
        <f>MOD(SUM(E140:E159),12)</f>
        <v>0</v>
      </c>
    </row>
    <row r="159" spans="1:53" ht="15.75" thickBot="1" x14ac:dyDescent="0.3">
      <c r="A159" s="88"/>
      <c r="B159" s="66" t="s">
        <v>297</v>
      </c>
      <c r="C159" s="67"/>
      <c r="D159" s="102"/>
      <c r="E159" s="32"/>
      <c r="F159" s="32"/>
      <c r="G159" s="68" t="s">
        <v>277</v>
      </c>
      <c r="H159" s="69">
        <f t="shared" si="69"/>
        <v>0</v>
      </c>
      <c r="I159" s="70">
        <f t="shared" si="70"/>
        <v>0</v>
      </c>
      <c r="J159" s="73" t="str">
        <f t="shared" si="71"/>
        <v>--</v>
      </c>
      <c r="K159" s="32"/>
      <c r="L159" s="233"/>
      <c r="M159" s="277"/>
      <c r="N159" s="277"/>
      <c r="O159" s="277"/>
      <c r="P159" s="277"/>
      <c r="Q159" s="277"/>
      <c r="R159" s="277"/>
      <c r="S159" s="277"/>
      <c r="T159" s="277"/>
      <c r="U159" s="278"/>
      <c r="V159" s="103"/>
      <c r="W159" s="84">
        <f t="shared" si="76"/>
        <v>13</v>
      </c>
      <c r="X159" s="84"/>
      <c r="Y159" s="78">
        <f>SUM(E140:E159)</f>
        <v>12</v>
      </c>
      <c r="Z159" s="72" t="str">
        <f t="shared" si="74"/>
        <v/>
      </c>
      <c r="AA159" s="72" t="str">
        <f t="shared" si="75"/>
        <v/>
      </c>
      <c r="AB159" s="72"/>
      <c r="AC159" s="72">
        <f t="shared" si="60"/>
        <v>1</v>
      </c>
      <c r="AD159" s="72">
        <f t="shared" si="61"/>
        <v>1</v>
      </c>
      <c r="AE159" s="109" t="str">
        <f t="shared" si="62"/>
        <v>0-0</v>
      </c>
      <c r="AF159" s="109" t="str">
        <f t="shared" si="63"/>
        <v>Y</v>
      </c>
      <c r="AG159" s="109" t="str">
        <f t="shared" si="64"/>
        <v>B</v>
      </c>
      <c r="AM159" s="109">
        <f t="shared" si="65"/>
        <v>0</v>
      </c>
      <c r="AN159" s="109">
        <f t="shared" si="66"/>
        <v>0</v>
      </c>
      <c r="AO159" s="109" t="str">
        <f t="shared" si="67"/>
        <v/>
      </c>
      <c r="AQ159" s="109" t="str">
        <f t="shared" si="68"/>
        <v/>
      </c>
      <c r="BA159" s="229">
        <f>MOD(SUM(E140:E160),12)</f>
        <v>0</v>
      </c>
    </row>
    <row r="160" spans="1:53" ht="15.75" thickBot="1" x14ac:dyDescent="0.3">
      <c r="A160" s="88"/>
      <c r="B160" s="66" t="s">
        <v>298</v>
      </c>
      <c r="C160" s="67"/>
      <c r="D160" s="102"/>
      <c r="E160" s="32"/>
      <c r="F160" s="32"/>
      <c r="G160" s="68" t="s">
        <v>277</v>
      </c>
      <c r="H160" s="69">
        <f t="shared" si="69"/>
        <v>0</v>
      </c>
      <c r="I160" s="70">
        <f t="shared" si="70"/>
        <v>0</v>
      </c>
      <c r="J160" s="73" t="str">
        <f t="shared" si="71"/>
        <v>--</v>
      </c>
      <c r="K160" s="32"/>
      <c r="L160" s="233"/>
      <c r="M160" s="277"/>
      <c r="N160" s="277"/>
      <c r="O160" s="277"/>
      <c r="P160" s="277"/>
      <c r="Q160" s="277"/>
      <c r="R160" s="277"/>
      <c r="S160" s="277"/>
      <c r="T160" s="277"/>
      <c r="U160" s="278"/>
      <c r="V160" s="103"/>
      <c r="W160" s="84">
        <f t="shared" si="76"/>
        <v>13</v>
      </c>
      <c r="X160" s="84"/>
      <c r="Y160" s="78">
        <f>SUM(E140:E160)</f>
        <v>12</v>
      </c>
      <c r="Z160" s="72" t="str">
        <f t="shared" si="74"/>
        <v/>
      </c>
      <c r="AA160" s="72" t="str">
        <f t="shared" si="75"/>
        <v/>
      </c>
      <c r="AB160" s="72"/>
      <c r="AC160" s="72">
        <f t="shared" si="60"/>
        <v>1</v>
      </c>
      <c r="AD160" s="72">
        <f t="shared" si="61"/>
        <v>1</v>
      </c>
      <c r="AE160" s="109" t="str">
        <f t="shared" si="62"/>
        <v>0-0</v>
      </c>
      <c r="AF160" s="109" t="str">
        <f t="shared" si="63"/>
        <v>Y</v>
      </c>
      <c r="AG160" s="109" t="str">
        <f t="shared" si="64"/>
        <v>B</v>
      </c>
      <c r="AM160" s="109">
        <f t="shared" si="65"/>
        <v>0</v>
      </c>
      <c r="AN160" s="109">
        <f t="shared" si="66"/>
        <v>0</v>
      </c>
      <c r="AO160" s="109" t="str">
        <f t="shared" si="67"/>
        <v/>
      </c>
      <c r="AQ160" s="109" t="str">
        <f t="shared" si="68"/>
        <v/>
      </c>
      <c r="BA160" s="229">
        <f>MOD(SUM(E140:E161),12)</f>
        <v>0</v>
      </c>
    </row>
    <row r="161" spans="1:53" ht="15.75" thickBot="1" x14ac:dyDescent="0.3">
      <c r="A161" s="88"/>
      <c r="B161" s="66" t="s">
        <v>299</v>
      </c>
      <c r="C161" s="67"/>
      <c r="D161" s="102"/>
      <c r="E161" s="32"/>
      <c r="F161" s="32"/>
      <c r="G161" s="68" t="s">
        <v>277</v>
      </c>
      <c r="H161" s="69">
        <f t="shared" si="69"/>
        <v>0</v>
      </c>
      <c r="I161" s="70">
        <f t="shared" si="70"/>
        <v>0</v>
      </c>
      <c r="J161" s="73" t="str">
        <f t="shared" si="71"/>
        <v>--</v>
      </c>
      <c r="K161" s="32"/>
      <c r="L161" s="233"/>
      <c r="M161" s="277"/>
      <c r="N161" s="277"/>
      <c r="O161" s="277"/>
      <c r="P161" s="277"/>
      <c r="Q161" s="277"/>
      <c r="R161" s="277"/>
      <c r="S161" s="277"/>
      <c r="T161" s="277"/>
      <c r="U161" s="278"/>
      <c r="V161" s="103"/>
      <c r="W161" s="84">
        <f t="shared" si="76"/>
        <v>13</v>
      </c>
      <c r="X161" s="84"/>
      <c r="Y161" s="78">
        <f>SUM(E140:E161)</f>
        <v>12</v>
      </c>
      <c r="Z161" s="72" t="str">
        <f t="shared" si="74"/>
        <v/>
      </c>
      <c r="AA161" s="72" t="str">
        <f t="shared" si="75"/>
        <v/>
      </c>
      <c r="AB161" s="72"/>
      <c r="AC161" s="72">
        <f t="shared" si="60"/>
        <v>1</v>
      </c>
      <c r="AD161" s="72">
        <f t="shared" si="61"/>
        <v>1</v>
      </c>
      <c r="AE161" s="109" t="str">
        <f t="shared" si="62"/>
        <v>0-0</v>
      </c>
      <c r="AF161" s="109" t="str">
        <f t="shared" si="63"/>
        <v>Y</v>
      </c>
      <c r="AG161" s="109" t="str">
        <f t="shared" si="64"/>
        <v>B</v>
      </c>
      <c r="AM161" s="109">
        <f t="shared" si="65"/>
        <v>0</v>
      </c>
      <c r="AN161" s="109">
        <f t="shared" si="66"/>
        <v>0</v>
      </c>
      <c r="AO161" s="109" t="str">
        <f t="shared" si="67"/>
        <v/>
      </c>
      <c r="AQ161" s="109" t="str">
        <f t="shared" si="68"/>
        <v/>
      </c>
      <c r="BA161" s="229">
        <f>MOD(SUM(E140:E162),12)</f>
        <v>0</v>
      </c>
    </row>
    <row r="162" spans="1:53" ht="15.75" thickBot="1" x14ac:dyDescent="0.3">
      <c r="A162" s="88"/>
      <c r="B162" s="66" t="s">
        <v>300</v>
      </c>
      <c r="C162" s="67"/>
      <c r="D162" s="102"/>
      <c r="E162" s="32"/>
      <c r="F162" s="32"/>
      <c r="G162" s="68" t="s">
        <v>277</v>
      </c>
      <c r="H162" s="69">
        <f t="shared" si="69"/>
        <v>0</v>
      </c>
      <c r="I162" s="70">
        <f t="shared" si="70"/>
        <v>0</v>
      </c>
      <c r="J162" s="73" t="str">
        <f t="shared" si="71"/>
        <v>--</v>
      </c>
      <c r="K162" s="32"/>
      <c r="L162" s="233"/>
      <c r="M162" s="277"/>
      <c r="N162" s="277"/>
      <c r="O162" s="277"/>
      <c r="P162" s="277"/>
      <c r="Q162" s="277"/>
      <c r="R162" s="277"/>
      <c r="S162" s="277"/>
      <c r="T162" s="277"/>
      <c r="U162" s="278"/>
      <c r="V162" s="103"/>
      <c r="W162" s="84">
        <f t="shared" si="76"/>
        <v>13</v>
      </c>
      <c r="X162" s="84"/>
      <c r="Y162" s="78">
        <f>SUM(E140:E162)</f>
        <v>12</v>
      </c>
      <c r="Z162" s="72" t="str">
        <f t="shared" si="74"/>
        <v/>
      </c>
      <c r="AA162" s="72" t="str">
        <f t="shared" si="75"/>
        <v/>
      </c>
      <c r="AB162" s="72"/>
      <c r="AC162" s="72">
        <f t="shared" si="60"/>
        <v>1</v>
      </c>
      <c r="AD162" s="72">
        <f t="shared" si="61"/>
        <v>1</v>
      </c>
      <c r="AE162" s="109" t="str">
        <f t="shared" si="62"/>
        <v>0-0</v>
      </c>
      <c r="AF162" s="109" t="str">
        <f t="shared" si="63"/>
        <v>Y</v>
      </c>
      <c r="AG162" s="109" t="str">
        <f t="shared" si="64"/>
        <v>B</v>
      </c>
      <c r="AM162" s="109">
        <f t="shared" si="65"/>
        <v>0</v>
      </c>
      <c r="AN162" s="109">
        <f t="shared" si="66"/>
        <v>0</v>
      </c>
      <c r="AO162" s="109" t="str">
        <f t="shared" si="67"/>
        <v/>
      </c>
      <c r="AQ162" s="109" t="str">
        <f t="shared" si="68"/>
        <v/>
      </c>
      <c r="BA162" s="229">
        <f>MOD(SUM(E140:E163),12)</f>
        <v>0</v>
      </c>
    </row>
    <row r="163" spans="1:53" ht="15.75" thickBot="1" x14ac:dyDescent="0.3">
      <c r="A163" s="88"/>
      <c r="B163" s="66" t="s">
        <v>301</v>
      </c>
      <c r="C163" s="67"/>
      <c r="D163" s="102"/>
      <c r="E163" s="32"/>
      <c r="F163" s="32"/>
      <c r="G163" s="68" t="s">
        <v>277</v>
      </c>
      <c r="H163" s="69">
        <f t="shared" si="69"/>
        <v>0</v>
      </c>
      <c r="I163" s="70">
        <f t="shared" si="70"/>
        <v>0</v>
      </c>
      <c r="J163" s="73" t="str">
        <f t="shared" si="71"/>
        <v>--</v>
      </c>
      <c r="K163" s="32"/>
      <c r="L163" s="233"/>
      <c r="M163" s="277"/>
      <c r="N163" s="277"/>
      <c r="O163" s="277"/>
      <c r="P163" s="277"/>
      <c r="Q163" s="277"/>
      <c r="R163" s="277"/>
      <c r="S163" s="277"/>
      <c r="T163" s="277"/>
      <c r="U163" s="278"/>
      <c r="V163" s="103"/>
      <c r="W163" s="84">
        <f t="shared" si="76"/>
        <v>13</v>
      </c>
      <c r="X163" s="84"/>
      <c r="Y163" s="78">
        <f>SUM(E140:E163)</f>
        <v>12</v>
      </c>
      <c r="Z163" s="72" t="str">
        <f t="shared" si="74"/>
        <v/>
      </c>
      <c r="AA163" s="72" t="str">
        <f t="shared" si="75"/>
        <v/>
      </c>
      <c r="AB163" s="72"/>
      <c r="AC163" s="72">
        <f t="shared" si="60"/>
        <v>1</v>
      </c>
      <c r="AD163" s="72">
        <f t="shared" si="61"/>
        <v>1</v>
      </c>
      <c r="AE163" s="109" t="str">
        <f t="shared" si="62"/>
        <v>0-0</v>
      </c>
      <c r="AF163" s="109" t="str">
        <f t="shared" si="63"/>
        <v>Y</v>
      </c>
      <c r="AG163" s="109" t="str">
        <f t="shared" si="64"/>
        <v>B</v>
      </c>
      <c r="AM163" s="109">
        <f t="shared" si="65"/>
        <v>0</v>
      </c>
      <c r="AN163" s="109">
        <f t="shared" si="66"/>
        <v>0</v>
      </c>
      <c r="AO163" s="109" t="str">
        <f t="shared" si="67"/>
        <v/>
      </c>
      <c r="AQ163" s="109" t="str">
        <f t="shared" si="68"/>
        <v/>
      </c>
      <c r="BA163" s="229">
        <f>MOD(SUM(E140:E164),12)</f>
        <v>0</v>
      </c>
    </row>
    <row r="164" spans="1:53" ht="15.75" thickBot="1" x14ac:dyDescent="0.3">
      <c r="A164" s="88"/>
      <c r="B164" s="66" t="s">
        <v>302</v>
      </c>
      <c r="C164" s="67"/>
      <c r="D164" s="102"/>
      <c r="E164" s="32"/>
      <c r="F164" s="32"/>
      <c r="G164" s="68" t="s">
        <v>277</v>
      </c>
      <c r="H164" s="69">
        <f t="shared" si="69"/>
        <v>0</v>
      </c>
      <c r="I164" s="70">
        <f t="shared" si="70"/>
        <v>0</v>
      </c>
      <c r="J164" s="73" t="str">
        <f t="shared" si="71"/>
        <v>--</v>
      </c>
      <c r="K164" s="32"/>
      <c r="L164" s="234"/>
      <c r="M164" s="277"/>
      <c r="N164" s="277"/>
      <c r="O164" s="277"/>
      <c r="P164" s="277"/>
      <c r="Q164" s="277"/>
      <c r="R164" s="277"/>
      <c r="S164" s="277"/>
      <c r="T164" s="277"/>
      <c r="U164" s="278"/>
      <c r="V164" s="103"/>
      <c r="W164" s="72"/>
      <c r="X164" s="72"/>
      <c r="Y164" s="78">
        <f>SUM(E140:E164)</f>
        <v>12</v>
      </c>
      <c r="Z164" s="72" t="str">
        <f t="shared" si="74"/>
        <v/>
      </c>
      <c r="AA164" s="72" t="str">
        <f t="shared" si="75"/>
        <v/>
      </c>
      <c r="AB164" s="72"/>
      <c r="AC164" s="72">
        <f t="shared" si="60"/>
        <v>1</v>
      </c>
      <c r="AD164" s="72">
        <f t="shared" si="61"/>
        <v>1</v>
      </c>
      <c r="AE164" s="109" t="str">
        <f t="shared" si="62"/>
        <v>0-0</v>
      </c>
      <c r="AF164" s="109" t="str">
        <f t="shared" si="63"/>
        <v>Y</v>
      </c>
      <c r="AG164" s="109" t="str">
        <f t="shared" si="64"/>
        <v>B</v>
      </c>
      <c r="AM164" s="109">
        <f t="shared" si="65"/>
        <v>0</v>
      </c>
      <c r="AN164" s="109">
        <f t="shared" si="66"/>
        <v>0</v>
      </c>
      <c r="AO164" s="109" t="str">
        <f t="shared" si="67"/>
        <v/>
      </c>
      <c r="AQ164" s="109" t="str">
        <f t="shared" si="68"/>
        <v/>
      </c>
      <c r="BA164" s="228"/>
    </row>
    <row r="165" spans="1:53" ht="16.5" thickBot="1" x14ac:dyDescent="0.3">
      <c r="A165" s="88"/>
      <c r="B165" s="319" t="s">
        <v>311</v>
      </c>
      <c r="C165" s="320"/>
      <c r="D165" s="79"/>
      <c r="E165" s="80"/>
      <c r="F165" s="80"/>
      <c r="G165" s="81"/>
      <c r="H165" s="192"/>
      <c r="I165" s="192"/>
      <c r="J165" s="192"/>
      <c r="K165" s="82"/>
      <c r="L165" s="319" t="s">
        <v>306</v>
      </c>
      <c r="M165" s="330"/>
      <c r="N165" s="330"/>
      <c r="O165" s="330"/>
      <c r="P165" s="330"/>
      <c r="Q165" s="330"/>
      <c r="R165" s="330"/>
      <c r="S165" s="330"/>
      <c r="T165" s="330"/>
      <c r="U165" s="320"/>
      <c r="V165" s="104"/>
      <c r="W165" s="72"/>
      <c r="X165" s="72"/>
      <c r="Y165" s="72"/>
      <c r="Z165" s="72"/>
      <c r="AA165" s="72" t="str">
        <f t="shared" si="75"/>
        <v/>
      </c>
      <c r="AB165" s="72"/>
      <c r="AC165" s="72">
        <f>SUM(AC140:AC164)</f>
        <v>25</v>
      </c>
      <c r="AD165" s="72">
        <f>SUM(AD140:AD164)</f>
        <v>23</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319" t="s">
        <v>307</v>
      </c>
      <c r="C166" s="320"/>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75"/>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312" t="s">
        <v>222</v>
      </c>
      <c r="C170" s="313"/>
      <c r="D170" s="314" t="s">
        <v>223</v>
      </c>
      <c r="E170" s="305"/>
      <c r="F170" s="88"/>
      <c r="G170" s="315" t="s">
        <v>224</v>
      </c>
      <c r="H170" s="316"/>
      <c r="I170" s="28">
        <f>SUM(E181:E205)</f>
        <v>24</v>
      </c>
      <c r="J170" s="317" t="s">
        <v>225</v>
      </c>
      <c r="K170" s="318"/>
      <c r="L170" s="305"/>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5" t="s">
        <v>226</v>
      </c>
      <c r="AA170" s="296"/>
      <c r="AB170" s="297"/>
      <c r="AC170" s="25"/>
      <c r="AD170" s="25"/>
      <c r="AH170" s="109">
        <v>2</v>
      </c>
      <c r="AI170" s="109" t="str">
        <f>IF($E171="SS",COUNTIFS($C181:$C205,"FST",$E181:$E205,"2"),"0")</f>
        <v>0</v>
      </c>
      <c r="AJ170" s="109" t="str">
        <f>IF($E171="RPX",COUNTIFS($C181:$C205,"FST",$E181:$E205,"2"),"0")</f>
        <v>0</v>
      </c>
      <c r="AK170" s="109">
        <f>IF($E171="EUC",COUNTIFS($C181:$C205,"FST",$E181:$E205,"2"),"0")</f>
        <v>0</v>
      </c>
      <c r="AL170" s="109" t="str">
        <f>IF($E171="RPX-T",COUNTIFS($C181:$C205,"FST",$E181:$E205,"2"),"0")</f>
        <v>0</v>
      </c>
      <c r="AT170" s="110" t="s">
        <v>227</v>
      </c>
      <c r="AU170" s="108" t="str">
        <f>IF(OR($AS171="Y",$AS172="Y",$AS173="Y"),"",COUNTIFS($E171,"SS",$E176,"Y"))</f>
        <v/>
      </c>
      <c r="AV170" s="111" t="str">
        <f>IF(OR($AS171="Y",$AS172="Y",$AS173="Y"),"",COUNTIFS($E171,"RPX",$E176,"Y"))</f>
        <v/>
      </c>
      <c r="AW170" s="111" t="str">
        <f>IF(OR($AS171="Y",$AS172="Y",$AS173="Y"),"",COUNTIFS($E171,"EUC",$E176,"Y"))</f>
        <v/>
      </c>
      <c r="AX170" s="109" t="str">
        <f>IF(OR($AS171="Y",$AS172="Y",$AS173="Y"),"",COUNTIFS($E171,"RPX-T",$E176,"Y"))</f>
        <v/>
      </c>
      <c r="BA170" s="226"/>
    </row>
    <row r="171" spans="1:53" ht="16.5" customHeight="1" thickTop="1" thickBot="1" x14ac:dyDescent="0.3">
      <c r="A171" s="88"/>
      <c r="B171" s="29" t="s">
        <v>228</v>
      </c>
      <c r="C171" s="30">
        <v>0</v>
      </c>
      <c r="D171" s="31" t="s">
        <v>229</v>
      </c>
      <c r="E171" s="66" t="str">
        <f>TEXT(IF('Cable Calculator'!X7="","",'Cable Calculator'!X7),)</f>
        <v>EUC</v>
      </c>
      <c r="F171" s="88"/>
      <c r="G171" s="304" t="s">
        <v>230</v>
      </c>
      <c r="H171" s="305"/>
      <c r="I171" s="33">
        <f>E172-I170</f>
        <v>0</v>
      </c>
      <c r="J171" s="289" t="s">
        <v>231</v>
      </c>
      <c r="K171" s="290"/>
      <c r="L171" s="34">
        <f>I175</f>
        <v>781</v>
      </c>
      <c r="M171" s="196">
        <v>4</v>
      </c>
      <c r="N171" s="35">
        <f>SUM(AI171,AI182)</f>
        <v>0</v>
      </c>
      <c r="O171" s="35">
        <v>0</v>
      </c>
      <c r="P171" s="35">
        <f>SUM(AJ171,AJ182)</f>
        <v>0</v>
      </c>
      <c r="Q171" s="35">
        <v>0</v>
      </c>
      <c r="R171" s="35">
        <f>COUNTIFS($E181:$E205,"4",$F181:$F205,"Pole",$C181:$C205,"FST")</f>
        <v>0</v>
      </c>
      <c r="S171" s="35">
        <f>SUM(AL171,AK182)</f>
        <v>0</v>
      </c>
      <c r="T171" s="35">
        <v>0</v>
      </c>
      <c r="U171" s="35">
        <f>SUM(AK171,AL182)</f>
        <v>1</v>
      </c>
      <c r="V171" s="35">
        <v>0</v>
      </c>
      <c r="W171" s="34">
        <f>COUNTIFS($E181:$E205,"4",$F181:$F205,"HH",$C181:$C205,"FST")</f>
        <v>1</v>
      </c>
      <c r="X171" s="35">
        <f>COUNTIFS($E181:$E205,"4",$F181:$F205,"Ped",$C181:$C205,"FST")</f>
        <v>0</v>
      </c>
      <c r="Y171" s="25"/>
      <c r="Z171" s="298" t="s">
        <v>232</v>
      </c>
      <c r="AA171" s="300" t="s">
        <v>233</v>
      </c>
      <c r="AB171" s="301"/>
      <c r="AC171" s="25"/>
      <c r="AD171" s="25"/>
      <c r="AH171" s="109">
        <v>4</v>
      </c>
      <c r="AI171" s="109" t="str">
        <f>IF($E171="SS",COUNTIFS($C181:$C205,"FST",$E181:$E205,"4"),"0")</f>
        <v>0</v>
      </c>
      <c r="AJ171" s="109" t="str">
        <f>IF($E171="RPX",COUNTIFS($C181:$C205,"FST",$E181:$E205,"4"),"0")</f>
        <v>0</v>
      </c>
      <c r="AK171" s="109">
        <f>IF($E171="EUC",COUNTIFS($C181:$C205,"FST",$E181:$E205,"4"),"0")</f>
        <v>1</v>
      </c>
      <c r="AL171" s="109" t="str">
        <f>IF($E171="RPX-T",COUNTIFS($C181:$C205,"FST",$E181:$E205,"4"),"0")</f>
        <v>0</v>
      </c>
      <c r="AS171" s="109" t="str">
        <f>IF(AND(E176="Y",E172=24,E173=0),"Y","N")</f>
        <v>Y</v>
      </c>
      <c r="AT171" s="110" t="s">
        <v>234</v>
      </c>
      <c r="AU171" s="109">
        <f>COUNTIFS($E171,"SS",$AS171,"Y")</f>
        <v>0</v>
      </c>
      <c r="AV171" s="111">
        <f>COUNTIFS($E171,"RPX",$AS171,"Y")</f>
        <v>0</v>
      </c>
      <c r="AW171" s="111">
        <f>COUNTIFS($E171,"EUC",$AS171,"Y")</f>
        <v>1</v>
      </c>
      <c r="AX171" s="109">
        <f>COUNTIFS($E171,"RPX-T",$AS171,"Y")</f>
        <v>0</v>
      </c>
      <c r="BA171" s="227"/>
    </row>
    <row r="172" spans="1:53" ht="16.5" thickTop="1" thickBot="1" x14ac:dyDescent="0.3">
      <c r="A172" s="88"/>
      <c r="B172" s="36" t="s">
        <v>235</v>
      </c>
      <c r="C172" s="37">
        <v>0</v>
      </c>
      <c r="D172" s="38" t="s">
        <v>236</v>
      </c>
      <c r="E172" s="32">
        <v>24</v>
      </c>
      <c r="F172" s="88"/>
      <c r="G172" s="291" t="s">
        <v>237</v>
      </c>
      <c r="H172" s="292"/>
      <c r="I172" s="35">
        <f>IF(E172=0,0,12-(MOD(I170,12)))</f>
        <v>12</v>
      </c>
      <c r="J172" s="289" t="s">
        <v>238</v>
      </c>
      <c r="K172" s="290"/>
      <c r="L172" s="39">
        <f>I176-I170</f>
        <v>780</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299"/>
      <c r="AA172" s="302"/>
      <c r="AB172" s="303"/>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0</v>
      </c>
      <c r="F173" s="88"/>
      <c r="G173" s="321" t="s">
        <v>242</v>
      </c>
      <c r="H173" s="43" t="s">
        <v>243</v>
      </c>
      <c r="I173" s="35">
        <f>IF(E173&lt;&gt;0,1,0)</f>
        <v>0</v>
      </c>
      <c r="J173" s="291" t="s">
        <v>244</v>
      </c>
      <c r="K173" s="292"/>
      <c r="L173" s="44">
        <f>'Cable Calculator'!X3</f>
        <v>1155</v>
      </c>
      <c r="M173" s="196">
        <v>8</v>
      </c>
      <c r="N173" s="35">
        <f>SUM(AI173,AI184)</f>
        <v>0</v>
      </c>
      <c r="O173" s="35">
        <v>0</v>
      </c>
      <c r="P173" s="35">
        <f>SUM(AJ173,AJ184)</f>
        <v>0</v>
      </c>
      <c r="Q173" s="35">
        <v>0</v>
      </c>
      <c r="R173" s="35">
        <f>COUNTIFS($E181:$E205,"8",$F181:$F205,"Pole",$C181:$C205,"FST")</f>
        <v>0</v>
      </c>
      <c r="S173" s="35">
        <f>SUM(AL173,AK184)</f>
        <v>0</v>
      </c>
      <c r="T173" s="35">
        <v>0</v>
      </c>
      <c r="U173" s="35">
        <f>SUM(AK173,AL184)</f>
        <v>1</v>
      </c>
      <c r="V173" s="35">
        <v>0</v>
      </c>
      <c r="W173" s="34">
        <f>COUNTIFS($E181:$E205,"8",$F181:$F205,"HH",$C181:$C205,"FST")</f>
        <v>1</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1</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781</v>
      </c>
      <c r="F174" s="88"/>
      <c r="G174" s="322"/>
      <c r="H174" s="47" t="s">
        <v>248</v>
      </c>
      <c r="I174" s="35">
        <f>IF(E173&lt;&gt;0,E173,0)</f>
        <v>0</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0</v>
      </c>
      <c r="V174" s="35">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2</v>
      </c>
      <c r="F175" s="88"/>
      <c r="G175" s="321" t="s">
        <v>251</v>
      </c>
      <c r="H175" s="51" t="s">
        <v>252</v>
      </c>
      <c r="I175" s="112">
        <f>E174</f>
        <v>781</v>
      </c>
      <c r="J175" s="323" t="s">
        <v>253</v>
      </c>
      <c r="K175" s="324"/>
      <c r="L175" s="325"/>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Y</v>
      </c>
      <c r="F176" s="88"/>
      <c r="G176" s="322"/>
      <c r="H176" s="47" t="s">
        <v>257</v>
      </c>
      <c r="I176" s="35">
        <f>IF(E174="","0",IF(AND(E171="EUC",E172=432), I175+(203-E173),IF(E174=0,0,(E174+(E172-E173)-1))))</f>
        <v>804</v>
      </c>
      <c r="J176" s="285" t="str">
        <f>IFERROR(IF(OR(E171="EUC",E171="SS"),"---",IF(OR(P170,S170),"NO 2F Tethers for RPX!",IF(OR(P172,S172),"NO 6F Tethers for RPX!","---"))),"---")</f>
        <v>---</v>
      </c>
      <c r="K176" s="286"/>
      <c r="L176" s="287"/>
      <c r="M176" s="285" t="str">
        <f>IF(E173&gt;60,"Dead Count &gt;60: Consider Downsize","---")</f>
        <v>---</v>
      </c>
      <c r="N176" s="286"/>
      <c r="O176" s="286"/>
      <c r="P176" s="286"/>
      <c r="Q176" s="286"/>
      <c r="R176" s="286"/>
      <c r="S176" s="286"/>
      <c r="T176" s="286"/>
      <c r="U176" s="287"/>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24</v>
      </c>
      <c r="D177" s="31" t="s">
        <v>259</v>
      </c>
      <c r="E177" s="101" t="str">
        <f>IF(AS171="Y","DBL",IF(AS172="Y","TRPL",IF(AS173="Y","QUAD","")))</f>
        <v>DBL</v>
      </c>
      <c r="F177" s="88"/>
      <c r="G177" s="192"/>
      <c r="H177" s="57"/>
      <c r="I177" s="192"/>
      <c r="J177" s="285"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86"/>
      <c r="L177" s="287"/>
      <c r="M177" s="285" t="str">
        <f>IF(AND(OR(E171="SS",E171="RPX",E171="EUC",E171="RPX-T"),(OR(C181="",C181="Field SPL"))),"Cannot have FlexNap cables without tethers","---")</f>
        <v>---</v>
      </c>
      <c r="N177" s="286"/>
      <c r="O177" s="286"/>
      <c r="P177" s="286"/>
      <c r="Q177" s="286"/>
      <c r="R177" s="286"/>
      <c r="S177" s="286"/>
      <c r="T177" s="286"/>
      <c r="U177" s="287"/>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85" t="str">
        <f>IF(AND(OR(E171="RPX", E171="RPX-T", E171="SS"),E172=216),"NO 216 For RPX, RPX-T, OR SS CABLE","---")</f>
        <v>---</v>
      </c>
      <c r="K178" s="286"/>
      <c r="L178" s="287"/>
      <c r="M178" s="285" t="str" cm="1">
        <f t="array" ref="M178">IF(AND(E171="",OR(C181:C205="FST",C181:C205="REV T",C181:C205="DBL REV",C181:C205="TPL REV", C181:C205="QD REV")),"Non-FlexNap cables cannot have tethers","---")</f>
        <v>---</v>
      </c>
      <c r="N178" s="286"/>
      <c r="O178" s="286"/>
      <c r="P178" s="286"/>
      <c r="Q178" s="286"/>
      <c r="R178" s="286"/>
      <c r="S178" s="286"/>
      <c r="T178" s="286"/>
      <c r="U178" s="287"/>
      <c r="V178" s="25"/>
      <c r="W178" s="58"/>
      <c r="X178" s="58"/>
      <c r="Y178" s="25"/>
      <c r="Z178" s="45">
        <v>6</v>
      </c>
      <c r="AA178" s="65">
        <v>61</v>
      </c>
      <c r="AB178" s="65">
        <v>72</v>
      </c>
      <c r="AC178" s="25"/>
      <c r="AD178" s="25"/>
      <c r="BA178" s="226"/>
    </row>
    <row r="179" spans="1:53" ht="15.75" customHeight="1" thickBot="1" x14ac:dyDescent="0.3">
      <c r="A179" s="88"/>
      <c r="B179" s="321" t="s">
        <v>260</v>
      </c>
      <c r="C179" s="293" t="s">
        <v>261</v>
      </c>
      <c r="D179" s="293" t="s">
        <v>262</v>
      </c>
      <c r="E179" s="306" t="s">
        <v>263</v>
      </c>
      <c r="F179" s="293" t="s">
        <v>264</v>
      </c>
      <c r="G179" s="308" t="s">
        <v>265</v>
      </c>
      <c r="H179" s="308" t="s">
        <v>266</v>
      </c>
      <c r="I179" s="308" t="s">
        <v>267</v>
      </c>
      <c r="J179" s="310" t="s">
        <v>268</v>
      </c>
      <c r="K179" s="293" t="s">
        <v>269</v>
      </c>
      <c r="L179" s="279" t="s">
        <v>270</v>
      </c>
      <c r="M179" s="281" t="s">
        <v>271</v>
      </c>
      <c r="N179" s="281"/>
      <c r="O179" s="281"/>
      <c r="P179" s="281"/>
      <c r="Q179" s="281"/>
      <c r="R179" s="281"/>
      <c r="S179" s="281"/>
      <c r="T179" s="281"/>
      <c r="U179" s="282"/>
      <c r="V179" s="107"/>
      <c r="W179" s="72"/>
      <c r="X179" s="72"/>
      <c r="Y179" s="72"/>
      <c r="Z179" s="45">
        <v>7</v>
      </c>
      <c r="AA179" s="65">
        <v>73</v>
      </c>
      <c r="AB179" s="65">
        <v>84</v>
      </c>
      <c r="AC179" s="25"/>
      <c r="AD179" s="25"/>
      <c r="BA179" s="228"/>
    </row>
    <row r="180" spans="1:53" ht="15.75" thickBot="1" x14ac:dyDescent="0.3">
      <c r="A180" s="88"/>
      <c r="B180" s="322"/>
      <c r="C180" s="294"/>
      <c r="D180" s="294"/>
      <c r="E180" s="307"/>
      <c r="F180" s="294"/>
      <c r="G180" s="309"/>
      <c r="H180" s="309"/>
      <c r="I180" s="309"/>
      <c r="J180" s="311"/>
      <c r="K180" s="294"/>
      <c r="L180" s="280"/>
      <c r="M180" s="283"/>
      <c r="N180" s="283"/>
      <c r="O180" s="283"/>
      <c r="P180" s="283"/>
      <c r="Q180" s="283"/>
      <c r="R180" s="283"/>
      <c r="S180" s="283"/>
      <c r="T180" s="283"/>
      <c r="U180" s="284"/>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744</v>
      </c>
      <c r="E181" s="32">
        <v>4</v>
      </c>
      <c r="F181" s="32" t="s">
        <v>488</v>
      </c>
      <c r="G181" s="68" t="s">
        <v>277</v>
      </c>
      <c r="H181" s="69">
        <f>IF(I181=0,0,I181-(E181-1))</f>
        <v>801</v>
      </c>
      <c r="I181" s="70">
        <f>IF(E181=0,0,I176)</f>
        <v>804</v>
      </c>
      <c r="J181" s="71" t="s">
        <v>278</v>
      </c>
      <c r="K181" s="32"/>
      <c r="L181" s="233"/>
      <c r="M181" s="277"/>
      <c r="N181" s="277"/>
      <c r="O181" s="277"/>
      <c r="P181" s="277"/>
      <c r="Q181" s="277"/>
      <c r="R181" s="277"/>
      <c r="S181" s="277"/>
      <c r="T181" s="277"/>
      <c r="U181" s="278"/>
      <c r="V181" s="103"/>
      <c r="W181" s="72"/>
      <c r="X181" s="72"/>
      <c r="Y181" s="72"/>
      <c r="Z181" s="45">
        <v>9</v>
      </c>
      <c r="AA181" s="46">
        <v>97</v>
      </c>
      <c r="AB181" s="46">
        <v>108</v>
      </c>
      <c r="AC181" s="72">
        <f t="shared" ref="AC181:AC205" si="77">IF(B181&lt;&gt;"FST",1,0)</f>
        <v>1</v>
      </c>
      <c r="AD181" s="72">
        <f t="shared" ref="AD181:AD205" si="78">IF(C181&lt;&gt;"FST",1,0)</f>
        <v>0</v>
      </c>
      <c r="AE181" s="109" t="str">
        <f t="shared" ref="AE181:AE205" si="79">CONCATENATE(H181,"-",I181)</f>
        <v>801-804</v>
      </c>
      <c r="AF181" s="109" t="str">
        <f t="shared" ref="AF181:AF205" si="80">IF(C181="Field SPL","N","Y")</f>
        <v>Y</v>
      </c>
      <c r="AG181" s="109" t="str">
        <f t="shared" ref="AG181:AG205" si="81">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82">VALUE(IF(C181="FST","0",IF(C181="REV T","1",IF(C181="DBL REV",".5","0"))))</f>
        <v>0</v>
      </c>
      <c r="AN181" s="109">
        <f t="shared" ref="AN181:AN205" si="83">VALUE(IF(C181="FST","0",IF(C181="REV T","0",IF(C181="DBL REV",".5","0"))))</f>
        <v>0</v>
      </c>
      <c r="AO181" s="109" t="str">
        <f t="shared" ref="AO181:AO205" si="84">IF(C181="TPL REV","Y","")</f>
        <v/>
      </c>
      <c r="AQ181" s="109" t="str">
        <f t="shared" ref="AQ181:AQ205" si="85">IF(C181="QD REV","Y","")</f>
        <v/>
      </c>
      <c r="BA181" s="229">
        <f>MOD(E181,12)</f>
        <v>4</v>
      </c>
    </row>
    <row r="182" spans="1:53" ht="15.75" thickBot="1" x14ac:dyDescent="0.3">
      <c r="A182" s="88"/>
      <c r="B182" s="66" t="s">
        <v>279</v>
      </c>
      <c r="C182" s="67" t="s">
        <v>484</v>
      </c>
      <c r="D182" s="102" t="s">
        <v>745</v>
      </c>
      <c r="E182" s="32">
        <v>8</v>
      </c>
      <c r="F182" s="32" t="s">
        <v>488</v>
      </c>
      <c r="G182" s="68" t="s">
        <v>277</v>
      </c>
      <c r="H182" s="69">
        <f t="shared" ref="H182:H205" si="86">IF(E182=0,0,I182-(E182-1))</f>
        <v>793</v>
      </c>
      <c r="I182" s="70">
        <f t="shared" ref="I182:I205" si="87">IF(E182=0,0,H181-1)</f>
        <v>800</v>
      </c>
      <c r="J182" s="73" t="str">
        <f>IF(C182="","--",IF(AND(C182&lt;&gt;"FST",C182&lt;&gt;"TCF",BA181&lt;&gt;0),BA181,"--"))</f>
        <v>--</v>
      </c>
      <c r="K182" s="32"/>
      <c r="L182" s="233"/>
      <c r="M182" s="277"/>
      <c r="N182" s="277"/>
      <c r="O182" s="277"/>
      <c r="P182" s="277"/>
      <c r="Q182" s="277"/>
      <c r="R182" s="277"/>
      <c r="S182" s="277"/>
      <c r="T182" s="277"/>
      <c r="U182" s="278"/>
      <c r="V182" s="103"/>
      <c r="W182" s="72"/>
      <c r="X182" s="72"/>
      <c r="Y182" s="72"/>
      <c r="Z182" s="45">
        <v>10</v>
      </c>
      <c r="AA182" s="46">
        <v>109</v>
      </c>
      <c r="AB182" s="46">
        <v>120</v>
      </c>
      <c r="AC182" s="72">
        <f t="shared" si="77"/>
        <v>1</v>
      </c>
      <c r="AD182" s="72">
        <f t="shared" si="78"/>
        <v>0</v>
      </c>
      <c r="AE182" s="109" t="str">
        <f t="shared" si="79"/>
        <v>793-800</v>
      </c>
      <c r="AF182" s="109" t="str">
        <f t="shared" si="80"/>
        <v>Y</v>
      </c>
      <c r="AG182" s="109" t="str">
        <f t="shared" si="81"/>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82"/>
        <v>0</v>
      </c>
      <c r="AN182" s="109">
        <f t="shared" si="83"/>
        <v>0</v>
      </c>
      <c r="AO182" s="109" t="str">
        <f t="shared" si="84"/>
        <v/>
      </c>
      <c r="AQ182" s="109" t="str">
        <f t="shared" si="85"/>
        <v/>
      </c>
      <c r="BA182" s="229">
        <f>MOD(SUM(E181:E182),12)</f>
        <v>0</v>
      </c>
    </row>
    <row r="183" spans="1:53" ht="15.75" thickBot="1" x14ac:dyDescent="0.3">
      <c r="A183" s="88"/>
      <c r="B183" s="74" t="s">
        <v>280</v>
      </c>
      <c r="C183" s="67" t="s">
        <v>502</v>
      </c>
      <c r="D183" s="102"/>
      <c r="E183" s="32">
        <v>12</v>
      </c>
      <c r="F183" s="32"/>
      <c r="G183" s="75" t="s">
        <v>277</v>
      </c>
      <c r="H183" s="69">
        <f t="shared" si="86"/>
        <v>781</v>
      </c>
      <c r="I183" s="70">
        <f t="shared" si="87"/>
        <v>792</v>
      </c>
      <c r="J183" s="73" t="str">
        <f t="shared" ref="J183:J205" si="88">IF(C183="","--",IF(AND(C183&lt;&gt;"FST",C183&lt;&gt;"TCF",BA182&lt;&gt;0),BA182,"--"))</f>
        <v>--</v>
      </c>
      <c r="K183" s="32"/>
      <c r="L183" s="233"/>
      <c r="M183" s="277"/>
      <c r="N183" s="277"/>
      <c r="O183" s="277"/>
      <c r="P183" s="277"/>
      <c r="Q183" s="277"/>
      <c r="R183" s="277"/>
      <c r="S183" s="277"/>
      <c r="T183" s="277"/>
      <c r="U183" s="278"/>
      <c r="V183" s="103"/>
      <c r="W183" s="72"/>
      <c r="X183" s="72"/>
      <c r="Y183" s="72"/>
      <c r="Z183" s="45">
        <v>11</v>
      </c>
      <c r="AA183" s="46">
        <v>121</v>
      </c>
      <c r="AB183" s="46">
        <v>132</v>
      </c>
      <c r="AC183" s="72">
        <f t="shared" si="77"/>
        <v>1</v>
      </c>
      <c r="AD183" s="72">
        <f t="shared" si="78"/>
        <v>1</v>
      </c>
      <c r="AE183" s="109" t="str">
        <f t="shared" si="79"/>
        <v>781-792</v>
      </c>
      <c r="AF183" s="109" t="str">
        <f t="shared" si="80"/>
        <v>N</v>
      </c>
      <c r="AG183" s="109" t="str">
        <f t="shared" si="81"/>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82"/>
        <v>0</v>
      </c>
      <c r="AN183" s="109">
        <f t="shared" si="83"/>
        <v>0</v>
      </c>
      <c r="AO183" s="109" t="str">
        <f t="shared" si="84"/>
        <v/>
      </c>
      <c r="AQ183" s="109" t="str">
        <f t="shared" si="85"/>
        <v/>
      </c>
      <c r="BA183" s="229">
        <f>MOD(SUM(E181:E184),12)</f>
        <v>0</v>
      </c>
    </row>
    <row r="184" spans="1:53" ht="15.75" thickBot="1" x14ac:dyDescent="0.3">
      <c r="A184" s="88"/>
      <c r="B184" s="66" t="s">
        <v>281</v>
      </c>
      <c r="C184" s="67"/>
      <c r="D184" s="102"/>
      <c r="E184" s="32"/>
      <c r="F184" s="32"/>
      <c r="G184" s="68" t="s">
        <v>277</v>
      </c>
      <c r="H184" s="69">
        <f t="shared" si="86"/>
        <v>0</v>
      </c>
      <c r="I184" s="70">
        <f t="shared" si="87"/>
        <v>0</v>
      </c>
      <c r="J184" s="73" t="str">
        <f t="shared" si="88"/>
        <v>--</v>
      </c>
      <c r="K184" s="32"/>
      <c r="L184" s="233"/>
      <c r="M184" s="277"/>
      <c r="N184" s="277"/>
      <c r="O184" s="277"/>
      <c r="P184" s="277"/>
      <c r="Q184" s="277"/>
      <c r="R184" s="277"/>
      <c r="S184" s="277"/>
      <c r="T184" s="277"/>
      <c r="U184" s="278"/>
      <c r="V184" s="103"/>
      <c r="W184" s="72"/>
      <c r="X184" s="72"/>
      <c r="Y184" s="72"/>
      <c r="Z184" s="45">
        <v>12</v>
      </c>
      <c r="AA184" s="76">
        <v>133</v>
      </c>
      <c r="AB184" s="76">
        <v>144</v>
      </c>
      <c r="AC184" s="72">
        <f t="shared" si="77"/>
        <v>1</v>
      </c>
      <c r="AD184" s="72">
        <f t="shared" si="78"/>
        <v>1</v>
      </c>
      <c r="AE184" s="109" t="str">
        <f t="shared" si="79"/>
        <v>0-0</v>
      </c>
      <c r="AF184" s="109" t="str">
        <f t="shared" si="80"/>
        <v>Y</v>
      </c>
      <c r="AG184" s="109" t="str">
        <f t="shared" si="81"/>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82"/>
        <v>0</v>
      </c>
      <c r="AN184" s="109">
        <f t="shared" si="83"/>
        <v>0</v>
      </c>
      <c r="AO184" s="109" t="str">
        <f t="shared" si="84"/>
        <v/>
      </c>
      <c r="AQ184" s="109" t="str">
        <f t="shared" si="85"/>
        <v/>
      </c>
      <c r="BA184" s="229">
        <f>MOD(SUM(E181:E185),12)</f>
        <v>0</v>
      </c>
    </row>
    <row r="185" spans="1:53" ht="15.75" thickBot="1" x14ac:dyDescent="0.3">
      <c r="A185" s="88"/>
      <c r="B185" s="66" t="s">
        <v>282</v>
      </c>
      <c r="C185" s="67"/>
      <c r="D185" s="102"/>
      <c r="E185" s="32"/>
      <c r="F185" s="32"/>
      <c r="G185" s="68" t="s">
        <v>277</v>
      </c>
      <c r="H185" s="69">
        <f t="shared" si="86"/>
        <v>0</v>
      </c>
      <c r="I185" s="70">
        <f t="shared" si="87"/>
        <v>0</v>
      </c>
      <c r="J185" s="73" t="str">
        <f t="shared" si="88"/>
        <v>--</v>
      </c>
      <c r="K185" s="32"/>
      <c r="L185" s="233"/>
      <c r="M185" s="277"/>
      <c r="N185" s="277"/>
      <c r="O185" s="277"/>
      <c r="P185" s="277"/>
      <c r="Q185" s="277"/>
      <c r="R185" s="277"/>
      <c r="S185" s="277"/>
      <c r="T185" s="277"/>
      <c r="U185" s="278"/>
      <c r="V185" s="103"/>
      <c r="W185" s="72"/>
      <c r="X185" s="72"/>
      <c r="Y185" s="72"/>
      <c r="Z185" s="45">
        <v>13</v>
      </c>
      <c r="AA185" s="77">
        <f t="shared" ref="AA185:AA190" si="89">AB184+1</f>
        <v>145</v>
      </c>
      <c r="AB185" s="77">
        <f t="shared" ref="AB185:AB190" si="90">AB184+12</f>
        <v>156</v>
      </c>
      <c r="AC185" s="72">
        <f t="shared" si="77"/>
        <v>1</v>
      </c>
      <c r="AD185" s="72">
        <f t="shared" si="78"/>
        <v>1</v>
      </c>
      <c r="AE185" s="109" t="str">
        <f t="shared" si="79"/>
        <v>0-0</v>
      </c>
      <c r="AF185" s="109" t="str">
        <f t="shared" si="80"/>
        <v>Y</v>
      </c>
      <c r="AG185" s="109" t="str">
        <f t="shared" si="81"/>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82"/>
        <v>0</v>
      </c>
      <c r="AN185" s="109">
        <f t="shared" si="83"/>
        <v>0</v>
      </c>
      <c r="AO185" s="109" t="str">
        <f t="shared" si="84"/>
        <v/>
      </c>
      <c r="AQ185" s="109" t="str">
        <f t="shared" si="85"/>
        <v/>
      </c>
      <c r="BA185" s="229">
        <f>MOD(SUM(E181:E186),12)</f>
        <v>0</v>
      </c>
    </row>
    <row r="186" spans="1:53" ht="15.75" thickBot="1" x14ac:dyDescent="0.3">
      <c r="A186" s="88"/>
      <c r="B186" s="66" t="s">
        <v>283</v>
      </c>
      <c r="C186" s="67"/>
      <c r="D186" s="102"/>
      <c r="E186" s="32"/>
      <c r="F186" s="32"/>
      <c r="G186" s="68" t="s">
        <v>277</v>
      </c>
      <c r="H186" s="69">
        <f t="shared" si="86"/>
        <v>0</v>
      </c>
      <c r="I186" s="70">
        <f t="shared" si="87"/>
        <v>0</v>
      </c>
      <c r="J186" s="73" t="str">
        <f t="shared" si="88"/>
        <v>--</v>
      </c>
      <c r="K186" s="32"/>
      <c r="L186" s="233"/>
      <c r="M186" s="277"/>
      <c r="N186" s="277"/>
      <c r="O186" s="277"/>
      <c r="P186" s="277"/>
      <c r="Q186" s="277"/>
      <c r="R186" s="277"/>
      <c r="S186" s="277"/>
      <c r="T186" s="277"/>
      <c r="U186" s="278"/>
      <c r="V186" s="103"/>
      <c r="W186" s="72"/>
      <c r="X186" s="72"/>
      <c r="Y186" s="72"/>
      <c r="Z186" s="45">
        <v>14</v>
      </c>
      <c r="AA186" s="77">
        <f t="shared" si="89"/>
        <v>157</v>
      </c>
      <c r="AB186" s="77">
        <f t="shared" si="90"/>
        <v>168</v>
      </c>
      <c r="AC186" s="72">
        <f t="shared" si="77"/>
        <v>1</v>
      </c>
      <c r="AD186" s="72">
        <f t="shared" si="78"/>
        <v>1</v>
      </c>
      <c r="AE186" s="109" t="str">
        <f t="shared" si="79"/>
        <v>0-0</v>
      </c>
      <c r="AF186" s="109" t="str">
        <f t="shared" si="80"/>
        <v>Y</v>
      </c>
      <c r="AG186" s="109" t="str">
        <f t="shared" si="81"/>
        <v>B</v>
      </c>
      <c r="AM186" s="109">
        <f t="shared" si="82"/>
        <v>0</v>
      </c>
      <c r="AN186" s="109">
        <f t="shared" si="83"/>
        <v>0</v>
      </c>
      <c r="AO186" s="109" t="str">
        <f t="shared" si="84"/>
        <v/>
      </c>
      <c r="AQ186" s="109" t="str">
        <f t="shared" si="85"/>
        <v/>
      </c>
      <c r="BA186" s="229">
        <f>MOD(SUM(E181:E187),12)</f>
        <v>0</v>
      </c>
    </row>
    <row r="187" spans="1:53" ht="15.75" thickBot="1" x14ac:dyDescent="0.3">
      <c r="A187" s="88"/>
      <c r="B187" s="66" t="s">
        <v>284</v>
      </c>
      <c r="C187" s="67"/>
      <c r="D187" s="102"/>
      <c r="E187" s="32"/>
      <c r="F187" s="32"/>
      <c r="G187" s="68" t="s">
        <v>277</v>
      </c>
      <c r="H187" s="69">
        <f t="shared" si="86"/>
        <v>0</v>
      </c>
      <c r="I187" s="70">
        <f t="shared" si="87"/>
        <v>0</v>
      </c>
      <c r="J187" s="73" t="str">
        <f t="shared" si="88"/>
        <v>--</v>
      </c>
      <c r="K187" s="32"/>
      <c r="L187" s="233"/>
      <c r="M187" s="277"/>
      <c r="N187" s="277"/>
      <c r="O187" s="277"/>
      <c r="P187" s="277"/>
      <c r="Q187" s="277"/>
      <c r="R187" s="277"/>
      <c r="S187" s="277"/>
      <c r="T187" s="277"/>
      <c r="U187" s="278"/>
      <c r="V187" s="103"/>
      <c r="W187" s="72"/>
      <c r="X187" s="72"/>
      <c r="Y187" s="72"/>
      <c r="Z187" s="45">
        <v>15</v>
      </c>
      <c r="AA187" s="77">
        <f t="shared" si="89"/>
        <v>169</v>
      </c>
      <c r="AB187" s="77">
        <f t="shared" si="90"/>
        <v>180</v>
      </c>
      <c r="AC187" s="72">
        <f t="shared" si="77"/>
        <v>1</v>
      </c>
      <c r="AD187" s="72">
        <f t="shared" si="78"/>
        <v>1</v>
      </c>
      <c r="AE187" s="109" t="str">
        <f t="shared" si="79"/>
        <v>0-0</v>
      </c>
      <c r="AF187" s="109" t="str">
        <f t="shared" si="80"/>
        <v>Y</v>
      </c>
      <c r="AG187" s="109" t="str">
        <f t="shared" si="81"/>
        <v>B</v>
      </c>
      <c r="AM187" s="109">
        <f t="shared" si="82"/>
        <v>0</v>
      </c>
      <c r="AN187" s="109">
        <f t="shared" si="83"/>
        <v>0</v>
      </c>
      <c r="AO187" s="109" t="str">
        <f t="shared" si="84"/>
        <v/>
      </c>
      <c r="AQ187" s="109" t="str">
        <f t="shared" si="85"/>
        <v/>
      </c>
      <c r="BA187" s="229">
        <f>MOD(SUM(E181:E188),12)</f>
        <v>0</v>
      </c>
    </row>
    <row r="188" spans="1:53" ht="15.75" thickBot="1" x14ac:dyDescent="0.3">
      <c r="A188" s="88"/>
      <c r="B188" s="66" t="s">
        <v>285</v>
      </c>
      <c r="C188" s="67"/>
      <c r="D188" s="102"/>
      <c r="E188" s="32"/>
      <c r="F188" s="32"/>
      <c r="G188" s="68" t="s">
        <v>277</v>
      </c>
      <c r="H188" s="69">
        <f t="shared" si="86"/>
        <v>0</v>
      </c>
      <c r="I188" s="70">
        <f t="shared" si="87"/>
        <v>0</v>
      </c>
      <c r="J188" s="73" t="str">
        <f t="shared" si="88"/>
        <v>--</v>
      </c>
      <c r="K188" s="32"/>
      <c r="L188" s="233"/>
      <c r="M188" s="277"/>
      <c r="N188" s="277"/>
      <c r="O188" s="277"/>
      <c r="P188" s="277"/>
      <c r="Q188" s="277"/>
      <c r="R188" s="277"/>
      <c r="S188" s="277"/>
      <c r="T188" s="277"/>
      <c r="U188" s="278"/>
      <c r="V188" s="103"/>
      <c r="W188" s="72"/>
      <c r="X188" s="72"/>
      <c r="Y188" s="72"/>
      <c r="Z188" s="45">
        <f>Z187+1</f>
        <v>16</v>
      </c>
      <c r="AA188" s="77">
        <f t="shared" si="89"/>
        <v>181</v>
      </c>
      <c r="AB188" s="77">
        <f t="shared" si="90"/>
        <v>192</v>
      </c>
      <c r="AC188" s="72">
        <f t="shared" si="77"/>
        <v>1</v>
      </c>
      <c r="AD188" s="72">
        <f t="shared" si="78"/>
        <v>1</v>
      </c>
      <c r="AE188" s="109" t="str">
        <f t="shared" si="79"/>
        <v>0-0</v>
      </c>
      <c r="AF188" s="109" t="str">
        <f t="shared" si="80"/>
        <v>Y</v>
      </c>
      <c r="AG188" s="109" t="str">
        <f t="shared" si="81"/>
        <v>B</v>
      </c>
      <c r="AM188" s="109">
        <f t="shared" si="82"/>
        <v>0</v>
      </c>
      <c r="AN188" s="109">
        <f t="shared" si="83"/>
        <v>0</v>
      </c>
      <c r="AO188" s="109" t="str">
        <f t="shared" si="84"/>
        <v/>
      </c>
      <c r="AQ188" s="109" t="str">
        <f t="shared" si="85"/>
        <v/>
      </c>
      <c r="BA188" s="229">
        <f>MOD(SUM(E181:E189),12)</f>
        <v>0</v>
      </c>
    </row>
    <row r="189" spans="1:53" ht="15.75" thickBot="1" x14ac:dyDescent="0.3">
      <c r="A189" s="88"/>
      <c r="B189" s="66" t="s">
        <v>286</v>
      </c>
      <c r="C189" s="67"/>
      <c r="D189" s="102"/>
      <c r="E189" s="32"/>
      <c r="F189" s="32"/>
      <c r="G189" s="68" t="s">
        <v>277</v>
      </c>
      <c r="H189" s="69">
        <f t="shared" si="86"/>
        <v>0</v>
      </c>
      <c r="I189" s="70">
        <f t="shared" si="87"/>
        <v>0</v>
      </c>
      <c r="J189" s="73" t="str">
        <f t="shared" si="88"/>
        <v>--</v>
      </c>
      <c r="K189" s="32"/>
      <c r="L189" s="233"/>
      <c r="M189" s="277"/>
      <c r="N189" s="277"/>
      <c r="O189" s="277"/>
      <c r="P189" s="277"/>
      <c r="Q189" s="277"/>
      <c r="R189" s="277"/>
      <c r="S189" s="277"/>
      <c r="T189" s="277"/>
      <c r="U189" s="278"/>
      <c r="V189" s="103"/>
      <c r="W189" s="72"/>
      <c r="X189" s="72"/>
      <c r="Y189" s="72"/>
      <c r="Z189" s="45">
        <f>Z188+1</f>
        <v>17</v>
      </c>
      <c r="AA189" s="77">
        <f t="shared" si="89"/>
        <v>193</v>
      </c>
      <c r="AB189" s="77">
        <f t="shared" si="90"/>
        <v>204</v>
      </c>
      <c r="AC189" s="72">
        <f t="shared" si="77"/>
        <v>1</v>
      </c>
      <c r="AD189" s="72">
        <f t="shared" si="78"/>
        <v>1</v>
      </c>
      <c r="AE189" s="109" t="str">
        <f t="shared" si="79"/>
        <v>0-0</v>
      </c>
      <c r="AF189" s="109" t="str">
        <f t="shared" si="80"/>
        <v>Y</v>
      </c>
      <c r="AG189" s="109" t="str">
        <f t="shared" si="81"/>
        <v>B</v>
      </c>
      <c r="AM189" s="109">
        <f t="shared" si="82"/>
        <v>0</v>
      </c>
      <c r="AN189" s="109">
        <f t="shared" si="83"/>
        <v>0</v>
      </c>
      <c r="AO189" s="109" t="str">
        <f t="shared" si="84"/>
        <v/>
      </c>
      <c r="AQ189" s="109" t="str">
        <f t="shared" si="85"/>
        <v/>
      </c>
      <c r="BA189" s="229">
        <f>MOD(SUM(E181:E190),12)</f>
        <v>0</v>
      </c>
    </row>
    <row r="190" spans="1:53" ht="15.75" thickBot="1" x14ac:dyDescent="0.3">
      <c r="A190" s="88"/>
      <c r="B190" s="66" t="s">
        <v>287</v>
      </c>
      <c r="C190" s="67"/>
      <c r="D190" s="102"/>
      <c r="E190" s="32"/>
      <c r="F190" s="32"/>
      <c r="G190" s="68" t="s">
        <v>277</v>
      </c>
      <c r="H190" s="69">
        <f t="shared" si="86"/>
        <v>0</v>
      </c>
      <c r="I190" s="70">
        <f t="shared" si="87"/>
        <v>0</v>
      </c>
      <c r="J190" s="73" t="str">
        <f t="shared" si="88"/>
        <v>--</v>
      </c>
      <c r="K190" s="32"/>
      <c r="L190" s="233"/>
      <c r="M190" s="277"/>
      <c r="N190" s="277"/>
      <c r="O190" s="277"/>
      <c r="P190" s="277"/>
      <c r="Q190" s="277"/>
      <c r="R190" s="277"/>
      <c r="S190" s="277"/>
      <c r="T190" s="277"/>
      <c r="U190" s="278"/>
      <c r="V190" s="103"/>
      <c r="W190" s="72"/>
      <c r="X190" s="72"/>
      <c r="Y190" s="72"/>
      <c r="Z190" s="45">
        <f>Z189+1</f>
        <v>18</v>
      </c>
      <c r="AA190" s="77">
        <f t="shared" si="89"/>
        <v>205</v>
      </c>
      <c r="AB190" s="77">
        <f t="shared" si="90"/>
        <v>216</v>
      </c>
      <c r="AC190" s="72">
        <f t="shared" si="77"/>
        <v>1</v>
      </c>
      <c r="AD190" s="72">
        <f t="shared" si="78"/>
        <v>1</v>
      </c>
      <c r="AE190" s="109" t="str">
        <f t="shared" si="79"/>
        <v>0-0</v>
      </c>
      <c r="AF190" s="109" t="str">
        <f t="shared" si="80"/>
        <v>Y</v>
      </c>
      <c r="AG190" s="109" t="str">
        <f t="shared" si="81"/>
        <v>B</v>
      </c>
      <c r="AM190" s="109">
        <f t="shared" si="82"/>
        <v>0</v>
      </c>
      <c r="AN190" s="109">
        <f t="shared" si="83"/>
        <v>0</v>
      </c>
      <c r="AO190" s="109" t="str">
        <f t="shared" si="84"/>
        <v/>
      </c>
      <c r="AQ190" s="109" t="str">
        <f t="shared" si="85"/>
        <v/>
      </c>
      <c r="BA190" s="229">
        <f>MOD(SUM(E181:E191),12)</f>
        <v>0</v>
      </c>
    </row>
    <row r="191" spans="1:53" ht="15.75" thickBot="1" x14ac:dyDescent="0.3">
      <c r="A191" s="88"/>
      <c r="B191" s="66" t="s">
        <v>288</v>
      </c>
      <c r="C191" s="67"/>
      <c r="D191" s="102"/>
      <c r="E191" s="32"/>
      <c r="F191" s="32"/>
      <c r="G191" s="68" t="s">
        <v>277</v>
      </c>
      <c r="H191" s="69">
        <f t="shared" si="86"/>
        <v>0</v>
      </c>
      <c r="I191" s="70">
        <f t="shared" si="87"/>
        <v>0</v>
      </c>
      <c r="J191" s="73" t="str">
        <f t="shared" si="88"/>
        <v>--</v>
      </c>
      <c r="K191" s="32"/>
      <c r="L191" s="233"/>
      <c r="M191" s="277"/>
      <c r="N191" s="277"/>
      <c r="O191" s="277"/>
      <c r="P191" s="277"/>
      <c r="Q191" s="277"/>
      <c r="R191" s="277"/>
      <c r="S191" s="277"/>
      <c r="T191" s="277"/>
      <c r="U191" s="278"/>
      <c r="V191" s="103"/>
      <c r="W191" s="84"/>
      <c r="X191" s="84"/>
      <c r="Y191" s="72"/>
      <c r="Z191" s="72"/>
      <c r="AA191" s="72"/>
      <c r="AB191" s="72"/>
      <c r="AC191" s="72">
        <f t="shared" si="77"/>
        <v>1</v>
      </c>
      <c r="AD191" s="72">
        <f t="shared" si="78"/>
        <v>1</v>
      </c>
      <c r="AE191" s="109" t="str">
        <f t="shared" si="79"/>
        <v>0-0</v>
      </c>
      <c r="AF191" s="109" t="str">
        <f t="shared" si="80"/>
        <v>Y</v>
      </c>
      <c r="AG191" s="109" t="str">
        <f t="shared" si="81"/>
        <v>B</v>
      </c>
      <c r="AM191" s="109">
        <f t="shared" si="82"/>
        <v>0</v>
      </c>
      <c r="AN191" s="109">
        <f t="shared" si="83"/>
        <v>0</v>
      </c>
      <c r="AO191" s="109" t="str">
        <f t="shared" si="84"/>
        <v/>
      </c>
      <c r="AQ191" s="109" t="str">
        <f t="shared" si="85"/>
        <v/>
      </c>
      <c r="BA191" s="229">
        <f>MOD(SUM(E181:E192),12)</f>
        <v>0</v>
      </c>
    </row>
    <row r="192" spans="1:53" ht="15.75" thickBot="1" x14ac:dyDescent="0.3">
      <c r="A192" s="88"/>
      <c r="B192" s="66" t="s">
        <v>289</v>
      </c>
      <c r="C192" s="67"/>
      <c r="D192" s="102"/>
      <c r="E192" s="32"/>
      <c r="F192" s="32"/>
      <c r="G192" s="68" t="s">
        <v>277</v>
      </c>
      <c r="H192" s="69">
        <f t="shared" si="86"/>
        <v>0</v>
      </c>
      <c r="I192" s="70">
        <f t="shared" si="87"/>
        <v>0</v>
      </c>
      <c r="J192" s="73" t="str">
        <f t="shared" si="88"/>
        <v>--</v>
      </c>
      <c r="K192" s="32"/>
      <c r="L192" s="233"/>
      <c r="M192" s="277"/>
      <c r="N192" s="277"/>
      <c r="O192" s="277"/>
      <c r="P192" s="277"/>
      <c r="Q192" s="277"/>
      <c r="R192" s="277"/>
      <c r="S192" s="277"/>
      <c r="T192" s="277"/>
      <c r="U192" s="278"/>
      <c r="V192" s="103"/>
      <c r="W192" s="84">
        <f>Y192+1</f>
        <v>25</v>
      </c>
      <c r="X192" s="84"/>
      <c r="Y192" s="78">
        <f>SUM(E181:E192)</f>
        <v>24</v>
      </c>
      <c r="Z192" s="72"/>
      <c r="AA192" s="72"/>
      <c r="AB192" s="72"/>
      <c r="AC192" s="72">
        <f t="shared" si="77"/>
        <v>1</v>
      </c>
      <c r="AD192" s="72">
        <f t="shared" si="78"/>
        <v>1</v>
      </c>
      <c r="AE192" s="109" t="str">
        <f t="shared" si="79"/>
        <v>0-0</v>
      </c>
      <c r="AF192" s="109" t="str">
        <f t="shared" si="80"/>
        <v>Y</v>
      </c>
      <c r="AG192" s="109" t="str">
        <f t="shared" si="81"/>
        <v>B</v>
      </c>
      <c r="AM192" s="109">
        <f t="shared" si="82"/>
        <v>0</v>
      </c>
      <c r="AN192" s="109">
        <f t="shared" si="83"/>
        <v>0</v>
      </c>
      <c r="AO192" s="109" t="str">
        <f t="shared" si="84"/>
        <v/>
      </c>
      <c r="AQ192" s="109" t="str">
        <f t="shared" si="85"/>
        <v/>
      </c>
      <c r="BA192" s="229">
        <f>MOD(SUM(E181:E193),12)</f>
        <v>0</v>
      </c>
    </row>
    <row r="193" spans="1:53" ht="15.75" thickBot="1" x14ac:dyDescent="0.3">
      <c r="A193" s="88"/>
      <c r="B193" s="66" t="s">
        <v>290</v>
      </c>
      <c r="C193" s="67"/>
      <c r="D193" s="102"/>
      <c r="E193" s="32"/>
      <c r="F193" s="32"/>
      <c r="G193" s="68" t="s">
        <v>277</v>
      </c>
      <c r="H193" s="69">
        <f t="shared" si="86"/>
        <v>0</v>
      </c>
      <c r="I193" s="70">
        <f t="shared" si="87"/>
        <v>0</v>
      </c>
      <c r="J193" s="73" t="str">
        <f t="shared" si="88"/>
        <v>--</v>
      </c>
      <c r="K193" s="32"/>
      <c r="L193" s="233"/>
      <c r="M193" s="277"/>
      <c r="N193" s="277"/>
      <c r="O193" s="277"/>
      <c r="P193" s="277"/>
      <c r="Q193" s="277"/>
      <c r="R193" s="277"/>
      <c r="S193" s="277"/>
      <c r="T193" s="277"/>
      <c r="U193" s="278"/>
      <c r="V193" s="103"/>
      <c r="W193" s="84">
        <f>Y193+1</f>
        <v>25</v>
      </c>
      <c r="X193" s="84"/>
      <c r="Y193" s="78">
        <f>SUM(E181:E193)</f>
        <v>24</v>
      </c>
      <c r="Z193" s="72" t="str">
        <f t="shared" ref="Z193:Z205" si="91">IF(OR(AND(E$8=216,C192="DBL REV",C193="DBL REV",Y192&lt;=144,Y193&gt;144),AND(E$8=216,C192="TPL REV",C193="TPL REV",Y192&lt;=144,Y193&gt;144),AND(E$8=216,C192="QD REV",C193="QD REV",Y192&lt;=144,Y193&gt;144)),"ERROR","")</f>
        <v/>
      </c>
      <c r="AA193" s="72"/>
      <c r="AB193" s="72"/>
      <c r="AC193" s="72">
        <f t="shared" si="77"/>
        <v>1</v>
      </c>
      <c r="AD193" s="72">
        <f t="shared" si="78"/>
        <v>1</v>
      </c>
      <c r="AE193" s="109" t="str">
        <f t="shared" si="79"/>
        <v>0-0</v>
      </c>
      <c r="AF193" s="109" t="str">
        <f t="shared" si="80"/>
        <v>Y</v>
      </c>
      <c r="AG193" s="109" t="str">
        <f t="shared" si="81"/>
        <v>B</v>
      </c>
      <c r="AM193" s="109">
        <f t="shared" si="82"/>
        <v>0</v>
      </c>
      <c r="AN193" s="109">
        <f t="shared" si="83"/>
        <v>0</v>
      </c>
      <c r="AO193" s="109" t="str">
        <f t="shared" si="84"/>
        <v/>
      </c>
      <c r="AQ193" s="109" t="str">
        <f t="shared" si="85"/>
        <v/>
      </c>
      <c r="BA193" s="229">
        <f>MOD(SUM(E181:E194),12)</f>
        <v>0</v>
      </c>
    </row>
    <row r="194" spans="1:53" ht="15.75" thickBot="1" x14ac:dyDescent="0.3">
      <c r="A194" s="88"/>
      <c r="B194" s="66" t="s">
        <v>291</v>
      </c>
      <c r="C194" s="67"/>
      <c r="D194" s="102"/>
      <c r="E194" s="32"/>
      <c r="F194" s="32"/>
      <c r="G194" s="68" t="s">
        <v>277</v>
      </c>
      <c r="H194" s="69">
        <f t="shared" si="86"/>
        <v>0</v>
      </c>
      <c r="I194" s="70">
        <f t="shared" si="87"/>
        <v>0</v>
      </c>
      <c r="J194" s="73" t="str">
        <f t="shared" si="88"/>
        <v>--</v>
      </c>
      <c r="K194" s="32"/>
      <c r="L194" s="233"/>
      <c r="M194" s="277"/>
      <c r="N194" s="277"/>
      <c r="O194" s="277"/>
      <c r="P194" s="277"/>
      <c r="Q194" s="277"/>
      <c r="R194" s="277"/>
      <c r="S194" s="277"/>
      <c r="T194" s="277"/>
      <c r="U194" s="278"/>
      <c r="V194" s="103"/>
      <c r="W194" s="84">
        <f>Y194+1</f>
        <v>25</v>
      </c>
      <c r="X194" s="84"/>
      <c r="Y194" s="78">
        <f>SUM(E181:E194)</f>
        <v>24</v>
      </c>
      <c r="Z194" s="72" t="str">
        <f t="shared" si="91"/>
        <v/>
      </c>
      <c r="AA194" s="72"/>
      <c r="AB194" s="72"/>
      <c r="AC194" s="72">
        <f t="shared" si="77"/>
        <v>1</v>
      </c>
      <c r="AD194" s="72">
        <f t="shared" si="78"/>
        <v>1</v>
      </c>
      <c r="AE194" s="109" t="str">
        <f t="shared" si="79"/>
        <v>0-0</v>
      </c>
      <c r="AF194" s="109" t="str">
        <f t="shared" si="80"/>
        <v>Y</v>
      </c>
      <c r="AG194" s="109" t="str">
        <f t="shared" si="81"/>
        <v>B</v>
      </c>
      <c r="AM194" s="109">
        <f t="shared" si="82"/>
        <v>0</v>
      </c>
      <c r="AN194" s="109">
        <f t="shared" si="83"/>
        <v>0</v>
      </c>
      <c r="AO194" s="109" t="str">
        <f t="shared" si="84"/>
        <v/>
      </c>
      <c r="AQ194" s="109" t="str">
        <f t="shared" si="85"/>
        <v/>
      </c>
      <c r="BA194" s="229">
        <f>MOD(SUM(E181:E195),12)</f>
        <v>0</v>
      </c>
    </row>
    <row r="195" spans="1:53" ht="15.75" thickBot="1" x14ac:dyDescent="0.3">
      <c r="A195" s="88"/>
      <c r="B195" s="66" t="s">
        <v>292</v>
      </c>
      <c r="C195" s="67"/>
      <c r="D195" s="102"/>
      <c r="E195" s="32"/>
      <c r="F195" s="32"/>
      <c r="G195" s="68" t="s">
        <v>277</v>
      </c>
      <c r="H195" s="69">
        <f t="shared" si="86"/>
        <v>0</v>
      </c>
      <c r="I195" s="70">
        <f t="shared" si="87"/>
        <v>0</v>
      </c>
      <c r="J195" s="73" t="str">
        <f t="shared" si="88"/>
        <v>--</v>
      </c>
      <c r="K195" s="32"/>
      <c r="L195" s="233"/>
      <c r="M195" s="277"/>
      <c r="N195" s="277"/>
      <c r="O195" s="277"/>
      <c r="P195" s="277"/>
      <c r="Q195" s="277"/>
      <c r="R195" s="277"/>
      <c r="S195" s="277"/>
      <c r="T195" s="277"/>
      <c r="U195" s="278"/>
      <c r="V195" s="103"/>
      <c r="W195" s="84">
        <f>Y195+1</f>
        <v>25</v>
      </c>
      <c r="X195" s="84"/>
      <c r="Y195" s="78">
        <f>SUM(E181:E195)</f>
        <v>24</v>
      </c>
      <c r="Z195" s="72" t="str">
        <f t="shared" si="91"/>
        <v/>
      </c>
      <c r="AA195" s="72" t="str">
        <f t="shared" ref="AA195:AA207" si="92">IF(AND(C193&lt;&gt;"Field SPL",W192&lt;=144,Y193&gt;144),"ERROR","")</f>
        <v/>
      </c>
      <c r="AB195" s="72"/>
      <c r="AC195" s="72">
        <f t="shared" si="77"/>
        <v>1</v>
      </c>
      <c r="AD195" s="72">
        <f t="shared" si="78"/>
        <v>1</v>
      </c>
      <c r="AE195" s="109" t="str">
        <f t="shared" si="79"/>
        <v>0-0</v>
      </c>
      <c r="AF195" s="109" t="str">
        <f t="shared" si="80"/>
        <v>Y</v>
      </c>
      <c r="AG195" s="109" t="str">
        <f t="shared" si="81"/>
        <v>B</v>
      </c>
      <c r="AM195" s="109">
        <f t="shared" si="82"/>
        <v>0</v>
      </c>
      <c r="AN195" s="109">
        <f t="shared" si="83"/>
        <v>0</v>
      </c>
      <c r="AO195" s="109" t="str">
        <f t="shared" si="84"/>
        <v/>
      </c>
      <c r="AQ195" s="109" t="str">
        <f t="shared" si="85"/>
        <v/>
      </c>
      <c r="BA195" s="229">
        <f>MOD(SUM(E181:E196),12)</f>
        <v>0</v>
      </c>
    </row>
    <row r="196" spans="1:53" ht="15.75" thickBot="1" x14ac:dyDescent="0.3">
      <c r="A196" s="88"/>
      <c r="B196" s="66" t="s">
        <v>293</v>
      </c>
      <c r="C196" s="67"/>
      <c r="D196" s="102"/>
      <c r="E196" s="32"/>
      <c r="F196" s="32"/>
      <c r="G196" s="68" t="s">
        <v>277</v>
      </c>
      <c r="H196" s="69">
        <f t="shared" si="86"/>
        <v>0</v>
      </c>
      <c r="I196" s="70">
        <f t="shared" si="87"/>
        <v>0</v>
      </c>
      <c r="J196" s="73" t="str">
        <f t="shared" si="88"/>
        <v>--</v>
      </c>
      <c r="K196" s="32"/>
      <c r="L196" s="233"/>
      <c r="M196" s="277"/>
      <c r="N196" s="277"/>
      <c r="O196" s="277"/>
      <c r="P196" s="277"/>
      <c r="Q196" s="277"/>
      <c r="R196" s="277"/>
      <c r="S196" s="277"/>
      <c r="T196" s="277"/>
      <c r="U196" s="278"/>
      <c r="V196" s="103"/>
      <c r="W196" s="84">
        <f t="shared" ref="W196:W204" si="93">Y196+1</f>
        <v>25</v>
      </c>
      <c r="X196" s="84"/>
      <c r="Y196" s="78">
        <f>SUM(E181:E196)</f>
        <v>24</v>
      </c>
      <c r="Z196" s="72" t="str">
        <f t="shared" si="91"/>
        <v/>
      </c>
      <c r="AA196" s="72" t="str">
        <f t="shared" si="92"/>
        <v/>
      </c>
      <c r="AB196" s="72"/>
      <c r="AC196" s="72">
        <f t="shared" si="77"/>
        <v>1</v>
      </c>
      <c r="AD196" s="72">
        <f t="shared" si="78"/>
        <v>1</v>
      </c>
      <c r="AE196" s="109" t="str">
        <f t="shared" si="79"/>
        <v>0-0</v>
      </c>
      <c r="AF196" s="109" t="str">
        <f t="shared" si="80"/>
        <v>Y</v>
      </c>
      <c r="AG196" s="109" t="str">
        <f t="shared" si="81"/>
        <v>B</v>
      </c>
      <c r="AM196" s="109">
        <f t="shared" si="82"/>
        <v>0</v>
      </c>
      <c r="AN196" s="109">
        <f t="shared" si="83"/>
        <v>0</v>
      </c>
      <c r="AO196" s="109" t="str">
        <f t="shared" si="84"/>
        <v/>
      </c>
      <c r="AQ196" s="109" t="str">
        <f t="shared" si="85"/>
        <v/>
      </c>
      <c r="BA196" s="229">
        <f>MOD(SUM(E181:E197),12)</f>
        <v>0</v>
      </c>
    </row>
    <row r="197" spans="1:53" ht="15.75" thickBot="1" x14ac:dyDescent="0.3">
      <c r="A197" s="88"/>
      <c r="B197" s="66" t="s">
        <v>294</v>
      </c>
      <c r="C197" s="67"/>
      <c r="D197" s="102"/>
      <c r="E197" s="32"/>
      <c r="F197" s="32"/>
      <c r="G197" s="68" t="s">
        <v>277</v>
      </c>
      <c r="H197" s="69">
        <f t="shared" si="86"/>
        <v>0</v>
      </c>
      <c r="I197" s="70">
        <f t="shared" si="87"/>
        <v>0</v>
      </c>
      <c r="J197" s="73" t="str">
        <f t="shared" si="88"/>
        <v>--</v>
      </c>
      <c r="K197" s="32"/>
      <c r="L197" s="233"/>
      <c r="M197" s="277"/>
      <c r="N197" s="277"/>
      <c r="O197" s="277"/>
      <c r="P197" s="277"/>
      <c r="Q197" s="277"/>
      <c r="R197" s="277"/>
      <c r="S197" s="277"/>
      <c r="T197" s="277"/>
      <c r="U197" s="278"/>
      <c r="V197" s="103"/>
      <c r="W197" s="84">
        <f t="shared" si="93"/>
        <v>25</v>
      </c>
      <c r="X197" s="84"/>
      <c r="Y197" s="78">
        <f>SUM(E181:E197)</f>
        <v>24</v>
      </c>
      <c r="Z197" s="72" t="str">
        <f t="shared" si="91"/>
        <v/>
      </c>
      <c r="AA197" s="72" t="str">
        <f t="shared" si="92"/>
        <v/>
      </c>
      <c r="AB197" s="72"/>
      <c r="AC197" s="72">
        <f t="shared" si="77"/>
        <v>1</v>
      </c>
      <c r="AD197" s="72">
        <f t="shared" si="78"/>
        <v>1</v>
      </c>
      <c r="AE197" s="109" t="str">
        <f t="shared" si="79"/>
        <v>0-0</v>
      </c>
      <c r="AF197" s="109" t="str">
        <f t="shared" si="80"/>
        <v>Y</v>
      </c>
      <c r="AG197" s="109" t="str">
        <f t="shared" si="81"/>
        <v>B</v>
      </c>
      <c r="AM197" s="109">
        <f t="shared" si="82"/>
        <v>0</v>
      </c>
      <c r="AN197" s="109">
        <f t="shared" si="83"/>
        <v>0</v>
      </c>
      <c r="AO197" s="109" t="str">
        <f t="shared" si="84"/>
        <v/>
      </c>
      <c r="AQ197" s="109" t="str">
        <f t="shared" si="85"/>
        <v/>
      </c>
      <c r="BA197" s="229">
        <f>MOD(SUM(E181:E198),12)</f>
        <v>0</v>
      </c>
    </row>
    <row r="198" spans="1:53" ht="15.75" thickBot="1" x14ac:dyDescent="0.3">
      <c r="A198" s="88"/>
      <c r="B198" s="66" t="s">
        <v>295</v>
      </c>
      <c r="C198" s="67"/>
      <c r="D198" s="102"/>
      <c r="E198" s="32"/>
      <c r="F198" s="32"/>
      <c r="G198" s="68" t="s">
        <v>277</v>
      </c>
      <c r="H198" s="69">
        <f t="shared" si="86"/>
        <v>0</v>
      </c>
      <c r="I198" s="70">
        <f t="shared" si="87"/>
        <v>0</v>
      </c>
      <c r="J198" s="73" t="str">
        <f t="shared" si="88"/>
        <v>--</v>
      </c>
      <c r="K198" s="32"/>
      <c r="L198" s="233"/>
      <c r="M198" s="277"/>
      <c r="N198" s="277"/>
      <c r="O198" s="277"/>
      <c r="P198" s="277"/>
      <c r="Q198" s="277"/>
      <c r="R198" s="277"/>
      <c r="S198" s="277"/>
      <c r="T198" s="277"/>
      <c r="U198" s="278"/>
      <c r="V198" s="103"/>
      <c r="W198" s="84">
        <f t="shared" si="93"/>
        <v>25</v>
      </c>
      <c r="X198" s="84"/>
      <c r="Y198" s="78">
        <f>SUM(E181:E198)</f>
        <v>24</v>
      </c>
      <c r="Z198" s="72" t="str">
        <f t="shared" si="91"/>
        <v/>
      </c>
      <c r="AA198" s="72" t="str">
        <f t="shared" si="92"/>
        <v/>
      </c>
      <c r="AB198" s="72"/>
      <c r="AC198" s="72">
        <f t="shared" si="77"/>
        <v>1</v>
      </c>
      <c r="AD198" s="72">
        <f t="shared" si="78"/>
        <v>1</v>
      </c>
      <c r="AE198" s="109" t="str">
        <f t="shared" si="79"/>
        <v>0-0</v>
      </c>
      <c r="AF198" s="109" t="str">
        <f t="shared" si="80"/>
        <v>Y</v>
      </c>
      <c r="AG198" s="109" t="str">
        <f t="shared" si="81"/>
        <v>B</v>
      </c>
      <c r="AM198" s="109">
        <f t="shared" si="82"/>
        <v>0</v>
      </c>
      <c r="AN198" s="109">
        <f t="shared" si="83"/>
        <v>0</v>
      </c>
      <c r="AO198" s="109" t="str">
        <f t="shared" si="84"/>
        <v/>
      </c>
      <c r="AQ198" s="109" t="str">
        <f t="shared" si="85"/>
        <v/>
      </c>
      <c r="BA198" s="229">
        <f>MOD(SUM(E181:E199),12)</f>
        <v>0</v>
      </c>
    </row>
    <row r="199" spans="1:53" ht="15.75" thickBot="1" x14ac:dyDescent="0.3">
      <c r="A199" s="88"/>
      <c r="B199" s="66" t="s">
        <v>296</v>
      </c>
      <c r="C199" s="67"/>
      <c r="D199" s="102"/>
      <c r="E199" s="32"/>
      <c r="F199" s="32"/>
      <c r="G199" s="68" t="s">
        <v>277</v>
      </c>
      <c r="H199" s="69">
        <f t="shared" si="86"/>
        <v>0</v>
      </c>
      <c r="I199" s="70">
        <f t="shared" si="87"/>
        <v>0</v>
      </c>
      <c r="J199" s="73" t="str">
        <f t="shared" si="88"/>
        <v>--</v>
      </c>
      <c r="K199" s="32"/>
      <c r="L199" s="233"/>
      <c r="M199" s="277"/>
      <c r="N199" s="277"/>
      <c r="O199" s="277"/>
      <c r="P199" s="277"/>
      <c r="Q199" s="277"/>
      <c r="R199" s="277"/>
      <c r="S199" s="277"/>
      <c r="T199" s="277"/>
      <c r="U199" s="278"/>
      <c r="V199" s="103"/>
      <c r="W199" s="84">
        <f t="shared" si="93"/>
        <v>25</v>
      </c>
      <c r="X199" s="84"/>
      <c r="Y199" s="78">
        <f>SUM(E181:E199)</f>
        <v>24</v>
      </c>
      <c r="Z199" s="72" t="str">
        <f t="shared" si="91"/>
        <v/>
      </c>
      <c r="AA199" s="72" t="str">
        <f t="shared" si="92"/>
        <v/>
      </c>
      <c r="AB199" s="72"/>
      <c r="AC199" s="72">
        <f t="shared" si="77"/>
        <v>1</v>
      </c>
      <c r="AD199" s="72">
        <f t="shared" si="78"/>
        <v>1</v>
      </c>
      <c r="AE199" s="109" t="str">
        <f t="shared" si="79"/>
        <v>0-0</v>
      </c>
      <c r="AF199" s="109" t="str">
        <f t="shared" si="80"/>
        <v>Y</v>
      </c>
      <c r="AG199" s="109" t="str">
        <f t="shared" si="81"/>
        <v>B</v>
      </c>
      <c r="AM199" s="109">
        <f t="shared" si="82"/>
        <v>0</v>
      </c>
      <c r="AN199" s="109">
        <f t="shared" si="83"/>
        <v>0</v>
      </c>
      <c r="AO199" s="109" t="str">
        <f t="shared" si="84"/>
        <v/>
      </c>
      <c r="AQ199" s="109" t="str">
        <f t="shared" si="85"/>
        <v/>
      </c>
      <c r="BA199" s="229">
        <f>MOD(SUM(E181:E200),12)</f>
        <v>0</v>
      </c>
    </row>
    <row r="200" spans="1:53" ht="15.75" thickBot="1" x14ac:dyDescent="0.3">
      <c r="A200" s="88"/>
      <c r="B200" s="66" t="s">
        <v>297</v>
      </c>
      <c r="C200" s="67"/>
      <c r="D200" s="102"/>
      <c r="E200" s="32"/>
      <c r="F200" s="32"/>
      <c r="G200" s="68" t="s">
        <v>277</v>
      </c>
      <c r="H200" s="69">
        <f t="shared" si="86"/>
        <v>0</v>
      </c>
      <c r="I200" s="70">
        <f t="shared" si="87"/>
        <v>0</v>
      </c>
      <c r="J200" s="73" t="str">
        <f t="shared" si="88"/>
        <v>--</v>
      </c>
      <c r="K200" s="32"/>
      <c r="L200" s="233"/>
      <c r="M200" s="277"/>
      <c r="N200" s="277"/>
      <c r="O200" s="277"/>
      <c r="P200" s="277"/>
      <c r="Q200" s="277"/>
      <c r="R200" s="277"/>
      <c r="S200" s="277"/>
      <c r="T200" s="277"/>
      <c r="U200" s="278"/>
      <c r="V200" s="103"/>
      <c r="W200" s="84">
        <f t="shared" si="93"/>
        <v>25</v>
      </c>
      <c r="X200" s="84"/>
      <c r="Y200" s="78">
        <f>SUM(E181:E200)</f>
        <v>24</v>
      </c>
      <c r="Z200" s="72" t="str">
        <f t="shared" si="91"/>
        <v/>
      </c>
      <c r="AA200" s="72" t="str">
        <f t="shared" si="92"/>
        <v/>
      </c>
      <c r="AB200" s="72"/>
      <c r="AC200" s="72">
        <f t="shared" si="77"/>
        <v>1</v>
      </c>
      <c r="AD200" s="72">
        <f t="shared" si="78"/>
        <v>1</v>
      </c>
      <c r="AE200" s="109" t="str">
        <f t="shared" si="79"/>
        <v>0-0</v>
      </c>
      <c r="AF200" s="109" t="str">
        <f t="shared" si="80"/>
        <v>Y</v>
      </c>
      <c r="AG200" s="109" t="str">
        <f t="shared" si="81"/>
        <v>B</v>
      </c>
      <c r="AM200" s="109">
        <f t="shared" si="82"/>
        <v>0</v>
      </c>
      <c r="AN200" s="109">
        <f t="shared" si="83"/>
        <v>0</v>
      </c>
      <c r="AO200" s="109" t="str">
        <f t="shared" si="84"/>
        <v/>
      </c>
      <c r="AQ200" s="109" t="str">
        <f t="shared" si="85"/>
        <v/>
      </c>
      <c r="BA200" s="229">
        <f>MOD(SUM(E181:E201),12)</f>
        <v>0</v>
      </c>
    </row>
    <row r="201" spans="1:53" ht="15.75" thickBot="1" x14ac:dyDescent="0.3">
      <c r="A201" s="88"/>
      <c r="B201" s="66" t="s">
        <v>298</v>
      </c>
      <c r="C201" s="67"/>
      <c r="D201" s="102"/>
      <c r="E201" s="32"/>
      <c r="F201" s="32"/>
      <c r="G201" s="68" t="s">
        <v>277</v>
      </c>
      <c r="H201" s="69">
        <f t="shared" si="86"/>
        <v>0</v>
      </c>
      <c r="I201" s="70">
        <f t="shared" si="87"/>
        <v>0</v>
      </c>
      <c r="J201" s="73" t="str">
        <f t="shared" si="88"/>
        <v>--</v>
      </c>
      <c r="K201" s="32"/>
      <c r="L201" s="233"/>
      <c r="M201" s="277"/>
      <c r="N201" s="277"/>
      <c r="O201" s="277"/>
      <c r="P201" s="277"/>
      <c r="Q201" s="277"/>
      <c r="R201" s="277"/>
      <c r="S201" s="277"/>
      <c r="T201" s="277"/>
      <c r="U201" s="278"/>
      <c r="V201" s="103"/>
      <c r="W201" s="84">
        <f t="shared" si="93"/>
        <v>25</v>
      </c>
      <c r="X201" s="84"/>
      <c r="Y201" s="78">
        <f>SUM(E181:E201)</f>
        <v>24</v>
      </c>
      <c r="Z201" s="72" t="str">
        <f t="shared" si="91"/>
        <v/>
      </c>
      <c r="AA201" s="72" t="str">
        <f t="shared" si="92"/>
        <v/>
      </c>
      <c r="AB201" s="72"/>
      <c r="AC201" s="72">
        <f t="shared" si="77"/>
        <v>1</v>
      </c>
      <c r="AD201" s="72">
        <f t="shared" si="78"/>
        <v>1</v>
      </c>
      <c r="AE201" s="109" t="str">
        <f t="shared" si="79"/>
        <v>0-0</v>
      </c>
      <c r="AF201" s="109" t="str">
        <f t="shared" si="80"/>
        <v>Y</v>
      </c>
      <c r="AG201" s="109" t="str">
        <f t="shared" si="81"/>
        <v>B</v>
      </c>
      <c r="AM201" s="109">
        <f t="shared" si="82"/>
        <v>0</v>
      </c>
      <c r="AN201" s="109">
        <f t="shared" si="83"/>
        <v>0</v>
      </c>
      <c r="AO201" s="109" t="str">
        <f t="shared" si="84"/>
        <v/>
      </c>
      <c r="AQ201" s="109" t="str">
        <f t="shared" si="85"/>
        <v/>
      </c>
      <c r="BA201" s="229">
        <f>MOD(SUM(E181:E202),12)</f>
        <v>0</v>
      </c>
    </row>
    <row r="202" spans="1:53" ht="15.75" thickBot="1" x14ac:dyDescent="0.3">
      <c r="A202" s="88"/>
      <c r="B202" s="66" t="s">
        <v>299</v>
      </c>
      <c r="C202" s="67"/>
      <c r="D202" s="102"/>
      <c r="E202" s="32"/>
      <c r="F202" s="32"/>
      <c r="G202" s="68" t="s">
        <v>277</v>
      </c>
      <c r="H202" s="69">
        <f t="shared" si="86"/>
        <v>0</v>
      </c>
      <c r="I202" s="70">
        <f t="shared" si="87"/>
        <v>0</v>
      </c>
      <c r="J202" s="73" t="str">
        <f t="shared" si="88"/>
        <v>--</v>
      </c>
      <c r="K202" s="32"/>
      <c r="L202" s="233"/>
      <c r="M202" s="277"/>
      <c r="N202" s="277"/>
      <c r="O202" s="277"/>
      <c r="P202" s="277"/>
      <c r="Q202" s="277"/>
      <c r="R202" s="277"/>
      <c r="S202" s="277"/>
      <c r="T202" s="277"/>
      <c r="U202" s="278"/>
      <c r="V202" s="103"/>
      <c r="W202" s="84">
        <f t="shared" si="93"/>
        <v>25</v>
      </c>
      <c r="X202" s="84"/>
      <c r="Y202" s="78">
        <f>SUM(E181:E202)</f>
        <v>24</v>
      </c>
      <c r="Z202" s="72" t="str">
        <f t="shared" si="91"/>
        <v/>
      </c>
      <c r="AA202" s="72" t="str">
        <f t="shared" si="92"/>
        <v/>
      </c>
      <c r="AB202" s="72"/>
      <c r="AC202" s="72">
        <f t="shared" si="77"/>
        <v>1</v>
      </c>
      <c r="AD202" s="72">
        <f t="shared" si="78"/>
        <v>1</v>
      </c>
      <c r="AE202" s="109" t="str">
        <f t="shared" si="79"/>
        <v>0-0</v>
      </c>
      <c r="AF202" s="109" t="str">
        <f t="shared" si="80"/>
        <v>Y</v>
      </c>
      <c r="AG202" s="109" t="str">
        <f t="shared" si="81"/>
        <v>B</v>
      </c>
      <c r="AM202" s="109">
        <f t="shared" si="82"/>
        <v>0</v>
      </c>
      <c r="AN202" s="109">
        <f t="shared" si="83"/>
        <v>0</v>
      </c>
      <c r="AO202" s="109" t="str">
        <f t="shared" si="84"/>
        <v/>
      </c>
      <c r="AQ202" s="109" t="str">
        <f t="shared" si="85"/>
        <v/>
      </c>
      <c r="BA202" s="229">
        <f>MOD(SUM(E181:E203),12)</f>
        <v>0</v>
      </c>
    </row>
    <row r="203" spans="1:53" ht="15.75" thickBot="1" x14ac:dyDescent="0.3">
      <c r="A203" s="88"/>
      <c r="B203" s="66" t="s">
        <v>300</v>
      </c>
      <c r="C203" s="67"/>
      <c r="D203" s="102"/>
      <c r="E203" s="32"/>
      <c r="F203" s="32"/>
      <c r="G203" s="68" t="s">
        <v>277</v>
      </c>
      <c r="H203" s="69">
        <f t="shared" si="86"/>
        <v>0</v>
      </c>
      <c r="I203" s="70">
        <f t="shared" si="87"/>
        <v>0</v>
      </c>
      <c r="J203" s="73" t="str">
        <f t="shared" si="88"/>
        <v>--</v>
      </c>
      <c r="K203" s="32"/>
      <c r="L203" s="233"/>
      <c r="M203" s="277"/>
      <c r="N203" s="277"/>
      <c r="O203" s="277"/>
      <c r="P203" s="277"/>
      <c r="Q203" s="277"/>
      <c r="R203" s="277"/>
      <c r="S203" s="277"/>
      <c r="T203" s="277"/>
      <c r="U203" s="278"/>
      <c r="V203" s="103"/>
      <c r="W203" s="84">
        <f t="shared" si="93"/>
        <v>25</v>
      </c>
      <c r="X203" s="84"/>
      <c r="Y203" s="78">
        <f>SUM(E181:E203)</f>
        <v>24</v>
      </c>
      <c r="Z203" s="72" t="str">
        <f t="shared" si="91"/>
        <v/>
      </c>
      <c r="AA203" s="72" t="str">
        <f t="shared" si="92"/>
        <v/>
      </c>
      <c r="AB203" s="72"/>
      <c r="AC203" s="72">
        <f t="shared" si="77"/>
        <v>1</v>
      </c>
      <c r="AD203" s="72">
        <f t="shared" si="78"/>
        <v>1</v>
      </c>
      <c r="AE203" s="109" t="str">
        <f t="shared" si="79"/>
        <v>0-0</v>
      </c>
      <c r="AF203" s="109" t="str">
        <f t="shared" si="80"/>
        <v>Y</v>
      </c>
      <c r="AG203" s="109" t="str">
        <f t="shared" si="81"/>
        <v>B</v>
      </c>
      <c r="AM203" s="109">
        <f t="shared" si="82"/>
        <v>0</v>
      </c>
      <c r="AN203" s="109">
        <f t="shared" si="83"/>
        <v>0</v>
      </c>
      <c r="AO203" s="109" t="str">
        <f t="shared" si="84"/>
        <v/>
      </c>
      <c r="AQ203" s="109" t="str">
        <f t="shared" si="85"/>
        <v/>
      </c>
      <c r="BA203" s="229">
        <f>MOD(SUM(E181:E204),12)</f>
        <v>0</v>
      </c>
    </row>
    <row r="204" spans="1:53" ht="15.75" thickBot="1" x14ac:dyDescent="0.3">
      <c r="A204" s="88"/>
      <c r="B204" s="66" t="s">
        <v>301</v>
      </c>
      <c r="C204" s="67"/>
      <c r="D204" s="102"/>
      <c r="E204" s="32"/>
      <c r="F204" s="32"/>
      <c r="G204" s="68" t="s">
        <v>277</v>
      </c>
      <c r="H204" s="69">
        <f t="shared" si="86"/>
        <v>0</v>
      </c>
      <c r="I204" s="70">
        <f t="shared" si="87"/>
        <v>0</v>
      </c>
      <c r="J204" s="73" t="str">
        <f t="shared" si="88"/>
        <v>--</v>
      </c>
      <c r="K204" s="32"/>
      <c r="L204" s="233"/>
      <c r="M204" s="277"/>
      <c r="N204" s="277"/>
      <c r="O204" s="277"/>
      <c r="P204" s="277"/>
      <c r="Q204" s="277"/>
      <c r="R204" s="277"/>
      <c r="S204" s="277"/>
      <c r="T204" s="277"/>
      <c r="U204" s="278"/>
      <c r="V204" s="103"/>
      <c r="W204" s="84">
        <f t="shared" si="93"/>
        <v>25</v>
      </c>
      <c r="X204" s="84"/>
      <c r="Y204" s="78">
        <f>SUM(E181:E204)</f>
        <v>24</v>
      </c>
      <c r="Z204" s="72" t="str">
        <f t="shared" si="91"/>
        <v/>
      </c>
      <c r="AA204" s="72" t="str">
        <f t="shared" si="92"/>
        <v/>
      </c>
      <c r="AB204" s="72"/>
      <c r="AC204" s="72">
        <f t="shared" si="77"/>
        <v>1</v>
      </c>
      <c r="AD204" s="72">
        <f t="shared" si="78"/>
        <v>1</v>
      </c>
      <c r="AE204" s="109" t="str">
        <f t="shared" si="79"/>
        <v>0-0</v>
      </c>
      <c r="AF204" s="109" t="str">
        <f t="shared" si="80"/>
        <v>Y</v>
      </c>
      <c r="AG204" s="109" t="str">
        <f t="shared" si="81"/>
        <v>B</v>
      </c>
      <c r="AM204" s="109">
        <f t="shared" si="82"/>
        <v>0</v>
      </c>
      <c r="AN204" s="109">
        <f t="shared" si="83"/>
        <v>0</v>
      </c>
      <c r="AO204" s="109" t="str">
        <f t="shared" si="84"/>
        <v/>
      </c>
      <c r="AQ204" s="109" t="str">
        <f t="shared" si="85"/>
        <v/>
      </c>
      <c r="BA204" s="229">
        <f>MOD(SUM(E181:E205),12)</f>
        <v>0</v>
      </c>
    </row>
    <row r="205" spans="1:53" ht="15.75" thickBot="1" x14ac:dyDescent="0.3">
      <c r="A205" s="88"/>
      <c r="B205" s="66" t="s">
        <v>302</v>
      </c>
      <c r="C205" s="67"/>
      <c r="D205" s="102"/>
      <c r="E205" s="32"/>
      <c r="F205" s="32"/>
      <c r="G205" s="68" t="s">
        <v>277</v>
      </c>
      <c r="H205" s="69">
        <f t="shared" si="86"/>
        <v>0</v>
      </c>
      <c r="I205" s="70">
        <f t="shared" si="87"/>
        <v>0</v>
      </c>
      <c r="J205" s="73" t="str">
        <f t="shared" si="88"/>
        <v>--</v>
      </c>
      <c r="K205" s="32"/>
      <c r="L205" s="234"/>
      <c r="M205" s="277"/>
      <c r="N205" s="277"/>
      <c r="O205" s="277"/>
      <c r="P205" s="277"/>
      <c r="Q205" s="277"/>
      <c r="R205" s="277"/>
      <c r="S205" s="277"/>
      <c r="T205" s="277"/>
      <c r="U205" s="278"/>
      <c r="V205" s="103"/>
      <c r="W205" s="72"/>
      <c r="X205" s="72"/>
      <c r="Y205" s="78">
        <f>SUM(E181:E205)</f>
        <v>24</v>
      </c>
      <c r="Z205" s="72" t="str">
        <f t="shared" si="91"/>
        <v/>
      </c>
      <c r="AA205" s="72" t="str">
        <f t="shared" si="92"/>
        <v/>
      </c>
      <c r="AB205" s="72"/>
      <c r="AC205" s="72">
        <f t="shared" si="77"/>
        <v>1</v>
      </c>
      <c r="AD205" s="72">
        <f t="shared" si="78"/>
        <v>1</v>
      </c>
      <c r="AE205" s="109" t="str">
        <f t="shared" si="79"/>
        <v>0-0</v>
      </c>
      <c r="AF205" s="109" t="str">
        <f t="shared" si="80"/>
        <v>Y</v>
      </c>
      <c r="AG205" s="109" t="str">
        <f t="shared" si="81"/>
        <v>B</v>
      </c>
      <c r="AM205" s="109">
        <f t="shared" si="82"/>
        <v>0</v>
      </c>
      <c r="AN205" s="109">
        <f t="shared" si="83"/>
        <v>0</v>
      </c>
      <c r="AO205" s="109" t="str">
        <f t="shared" si="84"/>
        <v/>
      </c>
      <c r="AQ205" s="109" t="str">
        <f t="shared" si="85"/>
        <v/>
      </c>
      <c r="BA205" s="228"/>
    </row>
    <row r="206" spans="1:53" ht="16.5" thickBot="1" x14ac:dyDescent="0.3">
      <c r="A206" s="88"/>
      <c r="B206" s="319" t="s">
        <v>313</v>
      </c>
      <c r="C206" s="320"/>
      <c r="D206" s="79"/>
      <c r="E206" s="80"/>
      <c r="F206" s="80"/>
      <c r="G206" s="81"/>
      <c r="H206" s="192"/>
      <c r="I206" s="192"/>
      <c r="J206" s="192"/>
      <c r="K206" s="82"/>
      <c r="L206" s="319" t="s">
        <v>306</v>
      </c>
      <c r="M206" s="330"/>
      <c r="N206" s="330"/>
      <c r="O206" s="330"/>
      <c r="P206" s="330"/>
      <c r="Q206" s="330"/>
      <c r="R206" s="330"/>
      <c r="S206" s="330"/>
      <c r="T206" s="330"/>
      <c r="U206" s="320"/>
      <c r="V206" s="104"/>
      <c r="W206" s="72"/>
      <c r="X206" s="72"/>
      <c r="Y206" s="72"/>
      <c r="Z206" s="72"/>
      <c r="AA206" s="72" t="str">
        <f t="shared" si="92"/>
        <v/>
      </c>
      <c r="AB206" s="72"/>
      <c r="AC206" s="72">
        <f>SUM(AC181:AC205)</f>
        <v>25</v>
      </c>
      <c r="AD206" s="72">
        <f>SUM(AD181:AD205)</f>
        <v>23</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319" t="s">
        <v>307</v>
      </c>
      <c r="C207" s="320"/>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92"/>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312" t="s">
        <v>222</v>
      </c>
      <c r="C211" s="313"/>
      <c r="D211" s="314" t="s">
        <v>223</v>
      </c>
      <c r="E211" s="305"/>
      <c r="F211" s="88"/>
      <c r="G211" s="315" t="s">
        <v>224</v>
      </c>
      <c r="H211" s="316"/>
      <c r="I211" s="28">
        <f>SUM(E222:E246)</f>
        <v>408</v>
      </c>
      <c r="J211" s="317" t="s">
        <v>225</v>
      </c>
      <c r="K211" s="318"/>
      <c r="L211" s="305"/>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5" t="s">
        <v>226</v>
      </c>
      <c r="AA211" s="296"/>
      <c r="AB211" s="297"/>
      <c r="AC211" s="25"/>
      <c r="AD211" s="25"/>
      <c r="AH211" s="109">
        <v>2</v>
      </c>
      <c r="AI211" s="109" t="str">
        <f>IF($E212="SS",COUNTIFS($C222:$C246,"FST",$E222:$E246,"2"),"0")</f>
        <v>0</v>
      </c>
      <c r="AJ211" s="109" t="str">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
      </c>
      <c r="F212" s="88"/>
      <c r="G212" s="304" t="s">
        <v>230</v>
      </c>
      <c r="H212" s="305"/>
      <c r="I212" s="33">
        <f>E213-I211</f>
        <v>24</v>
      </c>
      <c r="J212" s="289" t="s">
        <v>231</v>
      </c>
      <c r="K212" s="290"/>
      <c r="L212" s="34">
        <f>I216</f>
        <v>349</v>
      </c>
      <c r="M212" s="196">
        <v>4</v>
      </c>
      <c r="N212" s="35">
        <f>SUM(AI212,AI223)</f>
        <v>0</v>
      </c>
      <c r="O212" s="35">
        <v>0</v>
      </c>
      <c r="P212" s="35">
        <f>SUM(AJ212,AJ223)</f>
        <v>0</v>
      </c>
      <c r="Q212" s="35">
        <v>0</v>
      </c>
      <c r="R212" s="35">
        <f>COUNTIFS($E222:$E246,"4",$F222:$F246,"Pole",$C222:$C246,"FST")</f>
        <v>0</v>
      </c>
      <c r="S212" s="35">
        <f>SUM(AL212,AK223)</f>
        <v>0</v>
      </c>
      <c r="T212" s="35">
        <v>0</v>
      </c>
      <c r="U212" s="35">
        <f>SUM(AK212,AL223)</f>
        <v>0</v>
      </c>
      <c r="V212" s="35">
        <v>0</v>
      </c>
      <c r="W212" s="34">
        <f>COUNTIFS($E222:$E246,"4",$F222:$F246,"HH",$C222:$C246,"FST")</f>
        <v>0</v>
      </c>
      <c r="X212" s="35">
        <f>COUNTIFS($E222:$E246,"4",$F222:$F246,"Ped",$C222:$C246,"FST")</f>
        <v>0</v>
      </c>
      <c r="Y212" s="25"/>
      <c r="Z212" s="298" t="s">
        <v>232</v>
      </c>
      <c r="AA212" s="300" t="s">
        <v>233</v>
      </c>
      <c r="AB212" s="301"/>
      <c r="AC212" s="25"/>
      <c r="AD212" s="25"/>
      <c r="AH212" s="109">
        <v>4</v>
      </c>
      <c r="AI212" s="109" t="str">
        <f>IF($E212="SS",COUNTIFS($C222:$C246,"FST",$E222:$E246,"4"),"0")</f>
        <v>0</v>
      </c>
      <c r="AJ212" s="109" t="str">
        <f>IF($E212="RPX",COUNTIFS($C222:$C246,"FST",$E222:$E246,"4"),"0")</f>
        <v>0</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432</v>
      </c>
      <c r="F213" s="88"/>
      <c r="G213" s="291" t="s">
        <v>237</v>
      </c>
      <c r="H213" s="292"/>
      <c r="I213" s="35">
        <f>IF(E213=0,0,12-(MOD(I211,12)))</f>
        <v>12</v>
      </c>
      <c r="J213" s="289" t="s">
        <v>238</v>
      </c>
      <c r="K213" s="290"/>
      <c r="L213" s="39">
        <f>I217-I211</f>
        <v>348</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299"/>
      <c r="AA213" s="302"/>
      <c r="AB213" s="303"/>
      <c r="AC213" s="25"/>
      <c r="AD213" s="25"/>
      <c r="AH213" s="109">
        <v>6</v>
      </c>
      <c r="AI213" s="109" t="str">
        <f>IF($E212="SS",COUNTIFS($C222:$C246,"FST",$E222:$E246,"6"),"0")</f>
        <v>0</v>
      </c>
      <c r="AJ213" s="109" t="str">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24</v>
      </c>
      <c r="F214" s="88"/>
      <c r="G214" s="321" t="s">
        <v>242</v>
      </c>
      <c r="H214" s="43" t="s">
        <v>243</v>
      </c>
      <c r="I214" s="35">
        <f>IF(E214&lt;&gt;0,1,0)</f>
        <v>1</v>
      </c>
      <c r="J214" s="291" t="s">
        <v>244</v>
      </c>
      <c r="K214" s="292"/>
      <c r="L214" s="44">
        <f>'Cable Calculator'!AC3</f>
        <v>544</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349</v>
      </c>
      <c r="F215" s="88"/>
      <c r="G215" s="322"/>
      <c r="H215" s="47" t="s">
        <v>248</v>
      </c>
      <c r="I215" s="35">
        <f>IF(E214&lt;&gt;0,E214,0)</f>
        <v>24</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t="str">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36</v>
      </c>
      <c r="F216" s="88"/>
      <c r="G216" s="321" t="s">
        <v>251</v>
      </c>
      <c r="H216" s="51" t="s">
        <v>252</v>
      </c>
      <c r="I216" s="112">
        <f>E215</f>
        <v>349</v>
      </c>
      <c r="J216" s="323" t="s">
        <v>253</v>
      </c>
      <c r="K216" s="324"/>
      <c r="L216" s="325"/>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N</v>
      </c>
      <c r="F217" s="88"/>
      <c r="G217" s="322"/>
      <c r="H217" s="47" t="s">
        <v>257</v>
      </c>
      <c r="I217" s="35">
        <f>IF(E215="","0",IF(AND(E212="EUC",E213=432), I216+(203-E214),IF(E215=0,0,(E215+(E213-E214)-1))))</f>
        <v>756</v>
      </c>
      <c r="J217" s="285" t="str">
        <f>IFERROR(IF(OR(E212="EUC",E212="SS"),"---",IF(OR(P211,S211),"NO 2F Tethers for RPX!",IF(OR(P213,S213),"NO 6F Tethers for RPX!","---"))),"---")</f>
        <v>---</v>
      </c>
      <c r="K217" s="286"/>
      <c r="L217" s="287"/>
      <c r="M217" s="285" t="str">
        <f>IF(E214&gt;60,"Dead Count &gt;60: Consider Downsize","---")</f>
        <v>---</v>
      </c>
      <c r="N217" s="286"/>
      <c r="O217" s="286"/>
      <c r="P217" s="286"/>
      <c r="Q217" s="286"/>
      <c r="R217" s="286"/>
      <c r="S217" s="286"/>
      <c r="T217" s="286"/>
      <c r="U217" s="287"/>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408</v>
      </c>
      <c r="D218" s="31" t="s">
        <v>259</v>
      </c>
      <c r="E218" s="101" t="str">
        <f>IF(AS212="Y","DBL",IF(AS213="Y","TRPL",IF(AS214="Y","QUAD","")))</f>
        <v/>
      </c>
      <c r="F218" s="88"/>
      <c r="G218" s="192"/>
      <c r="H218" s="57"/>
      <c r="I218" s="192"/>
      <c r="J218" s="285"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86"/>
      <c r="L218" s="287"/>
      <c r="M218" s="285" t="str">
        <f>IF(AND(OR(E212="SS",E212="RPX",E212="EUC",E212="RPX-T"),(OR(C222="",C222="Field SPL"))),"Cannot have FlexNap cables without tethers","---")</f>
        <v>---</v>
      </c>
      <c r="N218" s="286"/>
      <c r="O218" s="286"/>
      <c r="P218" s="286"/>
      <c r="Q218" s="286"/>
      <c r="R218" s="286"/>
      <c r="S218" s="286"/>
      <c r="T218" s="286"/>
      <c r="U218" s="287"/>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85" t="str">
        <f>IF(AND(OR(E212="RPX", E212="RPX-T", E212="SS"),E213=216),"NO 216 For RPX, RPX-T, OR SS CABLE","---")</f>
        <v>---</v>
      </c>
      <c r="K219" s="286"/>
      <c r="L219" s="287"/>
      <c r="M219" s="285" t="str" cm="1">
        <f t="array" ref="M219">IF(AND(E212="",OR(C222:C246="FST",C222:C246="REV T",C222:C246="DBL REV",C222:C246="TPL REV", C222:C246="QD REV")),"Non-FlexNap cables cannot have tethers","---")</f>
        <v>---</v>
      </c>
      <c r="N219" s="286"/>
      <c r="O219" s="286"/>
      <c r="P219" s="286"/>
      <c r="Q219" s="286"/>
      <c r="R219" s="286"/>
      <c r="S219" s="286"/>
      <c r="T219" s="286"/>
      <c r="U219" s="287"/>
      <c r="V219" s="25"/>
      <c r="W219" s="58"/>
      <c r="X219" s="58"/>
      <c r="Y219" s="25"/>
      <c r="Z219" s="45">
        <v>6</v>
      </c>
      <c r="AA219" s="65">
        <v>61</v>
      </c>
      <c r="AB219" s="65">
        <v>72</v>
      </c>
      <c r="AC219" s="25"/>
      <c r="AD219" s="25"/>
      <c r="BA219" s="226"/>
    </row>
    <row r="220" spans="1:53" ht="15.75" customHeight="1" thickBot="1" x14ac:dyDescent="0.3">
      <c r="A220" s="88"/>
      <c r="B220" s="321" t="s">
        <v>260</v>
      </c>
      <c r="C220" s="293" t="s">
        <v>261</v>
      </c>
      <c r="D220" s="293" t="s">
        <v>262</v>
      </c>
      <c r="E220" s="306" t="s">
        <v>263</v>
      </c>
      <c r="F220" s="293" t="s">
        <v>264</v>
      </c>
      <c r="G220" s="308" t="s">
        <v>265</v>
      </c>
      <c r="H220" s="308" t="s">
        <v>266</v>
      </c>
      <c r="I220" s="308" t="s">
        <v>267</v>
      </c>
      <c r="J220" s="310" t="s">
        <v>268</v>
      </c>
      <c r="K220" s="293" t="s">
        <v>269</v>
      </c>
      <c r="L220" s="279" t="s">
        <v>270</v>
      </c>
      <c r="M220" s="281" t="s">
        <v>271</v>
      </c>
      <c r="N220" s="281"/>
      <c r="O220" s="281"/>
      <c r="P220" s="281"/>
      <c r="Q220" s="281"/>
      <c r="R220" s="281"/>
      <c r="S220" s="281"/>
      <c r="T220" s="281"/>
      <c r="U220" s="282"/>
      <c r="V220" s="107"/>
      <c r="W220" s="72"/>
      <c r="X220" s="72"/>
      <c r="Y220" s="72"/>
      <c r="Z220" s="45">
        <v>7</v>
      </c>
      <c r="AA220" s="65">
        <v>73</v>
      </c>
      <c r="AB220" s="65">
        <v>84</v>
      </c>
      <c r="AC220" s="25"/>
      <c r="AD220" s="25"/>
      <c r="BA220" s="228"/>
    </row>
    <row r="221" spans="1:53" ht="15.75" thickBot="1" x14ac:dyDescent="0.3">
      <c r="A221" s="88"/>
      <c r="B221" s="322"/>
      <c r="C221" s="294"/>
      <c r="D221" s="294"/>
      <c r="E221" s="307"/>
      <c r="F221" s="294"/>
      <c r="G221" s="309"/>
      <c r="H221" s="309"/>
      <c r="I221" s="309"/>
      <c r="J221" s="311"/>
      <c r="K221" s="294"/>
      <c r="L221" s="280"/>
      <c r="M221" s="283"/>
      <c r="N221" s="283"/>
      <c r="O221" s="283"/>
      <c r="P221" s="283"/>
      <c r="Q221" s="283"/>
      <c r="R221" s="283"/>
      <c r="S221" s="283"/>
      <c r="T221" s="283"/>
      <c r="U221" s="284"/>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502</v>
      </c>
      <c r="D222" s="102"/>
      <c r="E222" s="32">
        <v>144</v>
      </c>
      <c r="F222" s="32"/>
      <c r="G222" s="68" t="s">
        <v>277</v>
      </c>
      <c r="H222" s="69">
        <f>IF(I222=0,0,I222-(E222-1))</f>
        <v>613</v>
      </c>
      <c r="I222" s="70">
        <f>IF(E222=0,0,I217)</f>
        <v>756</v>
      </c>
      <c r="J222" s="71" t="s">
        <v>278</v>
      </c>
      <c r="K222" s="32"/>
      <c r="L222" s="233"/>
      <c r="M222" s="277" t="s">
        <v>409</v>
      </c>
      <c r="N222" s="277"/>
      <c r="O222" s="277"/>
      <c r="P222" s="277"/>
      <c r="Q222" s="277"/>
      <c r="R222" s="277"/>
      <c r="S222" s="277"/>
      <c r="T222" s="277"/>
      <c r="U222" s="278"/>
      <c r="V222" s="103"/>
      <c r="W222" s="72"/>
      <c r="X222" s="72"/>
      <c r="Y222" s="72"/>
      <c r="Z222" s="45">
        <v>9</v>
      </c>
      <c r="AA222" s="46">
        <v>97</v>
      </c>
      <c r="AB222" s="46">
        <v>108</v>
      </c>
      <c r="AC222" s="72">
        <f t="shared" ref="AC222:AC246" si="94">IF(B222&lt;&gt;"FST",1,0)</f>
        <v>1</v>
      </c>
      <c r="AD222" s="72">
        <f t="shared" ref="AD222:AD246" si="95">IF(C222&lt;&gt;"FST",1,0)</f>
        <v>1</v>
      </c>
      <c r="AE222" s="109" t="str">
        <f t="shared" ref="AE222:AE246" si="96">CONCATENATE(H222,"-",I222)</f>
        <v>613-756</v>
      </c>
      <c r="AF222" s="109" t="str">
        <f t="shared" ref="AF222:AF246" si="97">IF(C222="Field SPL","N","Y")</f>
        <v>N</v>
      </c>
      <c r="AG222" s="109" t="str">
        <f t="shared" ref="AG222:AG246" si="98">IF(OR(E$212="RPX",E$212="SS"),"A","B")</f>
        <v>B</v>
      </c>
      <c r="AH222" s="109">
        <v>2</v>
      </c>
      <c r="AI222" s="109" t="str">
        <f>IF(E212="SS",COUNTIFS(C222:C246,"TCF",E222:E246,"2"),"")</f>
        <v/>
      </c>
      <c r="AJ222" s="109" t="str">
        <f>IF(E212="RPX",COUNTIFS(C222:C246,"TCF",E222:E246,"2"),"")</f>
        <v/>
      </c>
      <c r="AK222" s="109" t="str">
        <f>IF(E212="RPX-T",COUNTIFS(C222:C246,"TCF",E222:E246,"2"),"")</f>
        <v/>
      </c>
      <c r="AL222" s="109" t="str">
        <f>IF(E212="EUC",COUNTIFS(C222:C246,"TCF",E222:E246,"2"),"")</f>
        <v/>
      </c>
      <c r="AM222" s="109">
        <f t="shared" ref="AM222:AM246" si="99">VALUE(IF(C222="FST","0",IF(C222="REV T","1",IF(C222="DBL REV",".5","0"))))</f>
        <v>0</v>
      </c>
      <c r="AN222" s="109">
        <f t="shared" ref="AN222:AN246" si="100">VALUE(IF(C222="FST","0",IF(C222="REV T","0",IF(C222="DBL REV",".5","0"))))</f>
        <v>0</v>
      </c>
      <c r="AO222" s="109" t="str">
        <f t="shared" ref="AO222:AO246" si="101">IF(C222="TPL REV","Y","")</f>
        <v/>
      </c>
      <c r="AQ222" s="109" t="str">
        <f t="shared" ref="AQ222:AQ246" si="102">IF(C222="QD REV","Y","")</f>
        <v/>
      </c>
      <c r="BA222" s="229">
        <f>MOD(E222,12)</f>
        <v>0</v>
      </c>
    </row>
    <row r="223" spans="1:53" ht="15.75" thickBot="1" x14ac:dyDescent="0.3">
      <c r="A223" s="88"/>
      <c r="B223" s="66" t="s">
        <v>279</v>
      </c>
      <c r="C223" s="67" t="s">
        <v>502</v>
      </c>
      <c r="D223" s="102"/>
      <c r="E223" s="32">
        <v>12</v>
      </c>
      <c r="F223" s="32"/>
      <c r="G223" s="68" t="s">
        <v>277</v>
      </c>
      <c r="H223" s="69">
        <f t="shared" ref="H223:H246" si="103">IF(E223=0,0,I223-(E223-1))</f>
        <v>601</v>
      </c>
      <c r="I223" s="70">
        <f t="shared" ref="I223:I246" si="104">IF(E223=0,0,H222-1)</f>
        <v>612</v>
      </c>
      <c r="J223" s="73" t="str">
        <f>IF(C223="","--",IF(AND(C223&lt;&gt;"FST",C223&lt;&gt;"TCF",BA222&lt;&gt;0),BA222,"--"))</f>
        <v>--</v>
      </c>
      <c r="K223" s="32"/>
      <c r="L223" s="233"/>
      <c r="M223" s="277" t="s">
        <v>409</v>
      </c>
      <c r="N223" s="277"/>
      <c r="O223" s="277"/>
      <c r="P223" s="277"/>
      <c r="Q223" s="277"/>
      <c r="R223" s="277"/>
      <c r="S223" s="277"/>
      <c r="T223" s="277"/>
      <c r="U223" s="278"/>
      <c r="V223" s="103"/>
      <c r="W223" s="72"/>
      <c r="X223" s="72"/>
      <c r="Y223" s="72"/>
      <c r="Z223" s="45">
        <v>10</v>
      </c>
      <c r="AA223" s="46">
        <v>109</v>
      </c>
      <c r="AB223" s="46">
        <v>120</v>
      </c>
      <c r="AC223" s="72">
        <f t="shared" si="94"/>
        <v>1</v>
      </c>
      <c r="AD223" s="72">
        <f t="shared" si="95"/>
        <v>1</v>
      </c>
      <c r="AE223" s="109" t="str">
        <f t="shared" si="96"/>
        <v>601-612</v>
      </c>
      <c r="AF223" s="109" t="str">
        <f t="shared" si="97"/>
        <v>N</v>
      </c>
      <c r="AG223" s="109" t="str">
        <f t="shared" si="98"/>
        <v>B</v>
      </c>
      <c r="AH223" s="109">
        <v>4</v>
      </c>
      <c r="AI223" s="109" t="str">
        <f>IF(E212="SS",COUNTIFS(C222:C246,"TCF",E222:E246,"4"),"")</f>
        <v/>
      </c>
      <c r="AJ223" s="109" t="str">
        <f>IF(E212="RPX",COUNTIFS(C222:C246,"TCF",E222:E246,"4"),"")</f>
        <v/>
      </c>
      <c r="AK223" s="109" t="str">
        <f>IF(E212="RPX-T",COUNTIFS(C222:C246,"TCF",E222:E246,"4"),"")</f>
        <v/>
      </c>
      <c r="AL223" s="109" t="str">
        <f>IF(E212="EUC",COUNTIFS(C222:C246,"TCF",E222:E246,"4"),"")</f>
        <v/>
      </c>
      <c r="AM223" s="109">
        <f t="shared" si="99"/>
        <v>0</v>
      </c>
      <c r="AN223" s="109">
        <f t="shared" si="100"/>
        <v>0</v>
      </c>
      <c r="AO223" s="109" t="str">
        <f t="shared" si="101"/>
        <v/>
      </c>
      <c r="AQ223" s="109" t="str">
        <f t="shared" si="102"/>
        <v/>
      </c>
      <c r="BA223" s="229">
        <f>MOD(SUM(E222:E223),12)</f>
        <v>0</v>
      </c>
    </row>
    <row r="224" spans="1:53" ht="15.75" thickBot="1" x14ac:dyDescent="0.3">
      <c r="A224" s="88"/>
      <c r="B224" s="74" t="s">
        <v>280</v>
      </c>
      <c r="C224" s="67" t="s">
        <v>502</v>
      </c>
      <c r="D224" s="102"/>
      <c r="E224" s="32">
        <v>216</v>
      </c>
      <c r="F224" s="32"/>
      <c r="G224" s="75" t="s">
        <v>277</v>
      </c>
      <c r="H224" s="69">
        <f t="shared" si="103"/>
        <v>385</v>
      </c>
      <c r="I224" s="70">
        <f t="shared" si="104"/>
        <v>600</v>
      </c>
      <c r="J224" s="73" t="str">
        <f t="shared" ref="J224:J246" si="105">IF(C224="","--",IF(AND(C224&lt;&gt;"FST",C224&lt;&gt;"TCF",BA223&lt;&gt;0),BA223,"--"))</f>
        <v>--</v>
      </c>
      <c r="K224" s="32"/>
      <c r="L224" s="233"/>
      <c r="M224" s="277" t="s">
        <v>410</v>
      </c>
      <c r="N224" s="277"/>
      <c r="O224" s="277"/>
      <c r="P224" s="277"/>
      <c r="Q224" s="277"/>
      <c r="R224" s="277"/>
      <c r="S224" s="277"/>
      <c r="T224" s="277"/>
      <c r="U224" s="278"/>
      <c r="V224" s="103"/>
      <c r="W224" s="72"/>
      <c r="X224" s="72"/>
      <c r="Y224" s="72"/>
      <c r="Z224" s="45">
        <v>11</v>
      </c>
      <c r="AA224" s="46">
        <v>121</v>
      </c>
      <c r="AB224" s="46">
        <v>132</v>
      </c>
      <c r="AC224" s="72">
        <f t="shared" si="94"/>
        <v>1</v>
      </c>
      <c r="AD224" s="72">
        <f t="shared" si="95"/>
        <v>1</v>
      </c>
      <c r="AE224" s="109" t="str">
        <f t="shared" si="96"/>
        <v>385-600</v>
      </c>
      <c r="AF224" s="109" t="str">
        <f t="shared" si="97"/>
        <v>N</v>
      </c>
      <c r="AG224" s="109" t="str">
        <f t="shared" si="98"/>
        <v>B</v>
      </c>
      <c r="AH224" s="109">
        <v>6</v>
      </c>
      <c r="AI224" s="109" t="str">
        <f>IF(E212="SS",COUNTIFS(C222:C246,"TCF",E222:E246,"6"),"")</f>
        <v/>
      </c>
      <c r="AJ224" s="109" t="str">
        <f>IF(E212="RPX",COUNTIFS(C222:C246,"TCF",E222:E246,"6"),"")</f>
        <v/>
      </c>
      <c r="AK224" s="109" t="str">
        <f>IF(E212="RPX-T",COUNTIFS(C222:C246,"TCF",E222:E246,"6"),"")</f>
        <v/>
      </c>
      <c r="AL224" s="109" t="str">
        <f>IF(E212="EUC",COUNTIFS(C222:C246,"TCF",E222:E246,"6"),"")</f>
        <v/>
      </c>
      <c r="AM224" s="109">
        <f t="shared" si="99"/>
        <v>0</v>
      </c>
      <c r="AN224" s="109">
        <f t="shared" si="100"/>
        <v>0</v>
      </c>
      <c r="AO224" s="109" t="str">
        <f t="shared" si="101"/>
        <v/>
      </c>
      <c r="AQ224" s="109" t="str">
        <f t="shared" si="102"/>
        <v/>
      </c>
      <c r="BA224" s="229">
        <f>MOD(SUM(E222:E225),12)</f>
        <v>0</v>
      </c>
    </row>
    <row r="225" spans="1:53" ht="15.75" thickBot="1" x14ac:dyDescent="0.3">
      <c r="A225" s="88"/>
      <c r="B225" s="66" t="s">
        <v>281</v>
      </c>
      <c r="C225" s="67" t="s">
        <v>502</v>
      </c>
      <c r="D225" s="102"/>
      <c r="E225" s="32">
        <v>36</v>
      </c>
      <c r="F225" s="32"/>
      <c r="G225" s="68" t="s">
        <v>277</v>
      </c>
      <c r="H225" s="69">
        <f t="shared" si="103"/>
        <v>349</v>
      </c>
      <c r="I225" s="70">
        <f t="shared" si="104"/>
        <v>384</v>
      </c>
      <c r="J225" s="73" t="str">
        <f t="shared" si="105"/>
        <v>--</v>
      </c>
      <c r="K225" s="32"/>
      <c r="L225" s="233"/>
      <c r="M225" s="277" t="s">
        <v>410</v>
      </c>
      <c r="N225" s="277"/>
      <c r="O225" s="277"/>
      <c r="P225" s="277"/>
      <c r="Q225" s="277"/>
      <c r="R225" s="277"/>
      <c r="S225" s="277"/>
      <c r="T225" s="277"/>
      <c r="U225" s="278"/>
      <c r="V225" s="103"/>
      <c r="W225" s="72"/>
      <c r="X225" s="72"/>
      <c r="Y225" s="72"/>
      <c r="Z225" s="45">
        <v>12</v>
      </c>
      <c r="AA225" s="76">
        <v>133</v>
      </c>
      <c r="AB225" s="76">
        <v>144</v>
      </c>
      <c r="AC225" s="72">
        <f t="shared" si="94"/>
        <v>1</v>
      </c>
      <c r="AD225" s="72">
        <f t="shared" si="95"/>
        <v>1</v>
      </c>
      <c r="AE225" s="109" t="str">
        <f t="shared" si="96"/>
        <v>349-384</v>
      </c>
      <c r="AF225" s="109" t="str">
        <f t="shared" si="97"/>
        <v>N</v>
      </c>
      <c r="AG225" s="109" t="str">
        <f t="shared" si="98"/>
        <v>B</v>
      </c>
      <c r="AH225" s="109">
        <v>8</v>
      </c>
      <c r="AI225" s="109" t="str">
        <f>IF(E212="SS",COUNTIFS(C222:C246,"TCF",E222:E246,"8"),"")</f>
        <v/>
      </c>
      <c r="AJ225" s="109" t="str">
        <f>IF(E212="RPX",COUNTIFS(C222:C246,"TCF",E222:E246,"8"),"")</f>
        <v/>
      </c>
      <c r="AK225" s="109" t="str">
        <f>IF(E212="RPX-T",COUNTIFS(C222:C246,"TCF",E222:E246,"8"),"")</f>
        <v/>
      </c>
      <c r="AL225" s="109" t="str">
        <f>IF(E212="EUC",COUNTIFS(C222:C246,"TCF",E222:E246,"8"),"")</f>
        <v/>
      </c>
      <c r="AM225" s="109">
        <f t="shared" si="99"/>
        <v>0</v>
      </c>
      <c r="AN225" s="109">
        <f t="shared" si="100"/>
        <v>0</v>
      </c>
      <c r="AO225" s="109" t="str">
        <f t="shared" si="101"/>
        <v/>
      </c>
      <c r="AQ225" s="109" t="str">
        <f t="shared" si="102"/>
        <v/>
      </c>
      <c r="BA225" s="229">
        <f>MOD(SUM(E222:E226),12)</f>
        <v>0</v>
      </c>
    </row>
    <row r="226" spans="1:53" ht="15.75" thickBot="1" x14ac:dyDescent="0.3">
      <c r="A226" s="88"/>
      <c r="B226" s="66" t="s">
        <v>282</v>
      </c>
      <c r="C226" s="67"/>
      <c r="D226" s="102"/>
      <c r="E226" s="32"/>
      <c r="F226" s="32"/>
      <c r="G226" s="68" t="s">
        <v>277</v>
      </c>
      <c r="H226" s="69">
        <f t="shared" si="103"/>
        <v>0</v>
      </c>
      <c r="I226" s="70">
        <f t="shared" si="104"/>
        <v>0</v>
      </c>
      <c r="J226" s="73" t="str">
        <f t="shared" si="105"/>
        <v>--</v>
      </c>
      <c r="K226" s="32"/>
      <c r="L226" s="233"/>
      <c r="M226" s="277"/>
      <c r="N226" s="277"/>
      <c r="O226" s="277"/>
      <c r="P226" s="277"/>
      <c r="Q226" s="277"/>
      <c r="R226" s="277"/>
      <c r="S226" s="277"/>
      <c r="T226" s="277"/>
      <c r="U226" s="278"/>
      <c r="V226" s="103"/>
      <c r="W226" s="72"/>
      <c r="X226" s="72"/>
      <c r="Y226" s="72"/>
      <c r="Z226" s="45">
        <v>13</v>
      </c>
      <c r="AA226" s="77">
        <f t="shared" ref="AA226:AA231" si="106">AB225+1</f>
        <v>145</v>
      </c>
      <c r="AB226" s="77">
        <f t="shared" ref="AB226:AB231" si="107">AB225+12</f>
        <v>156</v>
      </c>
      <c r="AC226" s="72">
        <f t="shared" si="94"/>
        <v>1</v>
      </c>
      <c r="AD226" s="72">
        <f t="shared" si="95"/>
        <v>1</v>
      </c>
      <c r="AE226" s="109" t="str">
        <f t="shared" si="96"/>
        <v>0-0</v>
      </c>
      <c r="AF226" s="109" t="str">
        <f t="shared" si="97"/>
        <v>Y</v>
      </c>
      <c r="AG226" s="109" t="str">
        <f t="shared" si="98"/>
        <v>B</v>
      </c>
      <c r="AH226" s="109">
        <v>12</v>
      </c>
      <c r="AI226" s="109" t="str">
        <f>IF(E212="SS",COUNTIFS(C222:C246,"TCF",E222:E246,"12"),"")</f>
        <v/>
      </c>
      <c r="AJ226" s="109" t="str">
        <f>IF(E212="RPX",COUNTIFS(C222:C246,"TCF",E222:E246,"12"),"")</f>
        <v/>
      </c>
      <c r="AK226" s="109" t="str">
        <f>IF(E212="RPX-T",COUNTIFS(C222:C246,"TCF",E222:E246,"12"),"")</f>
        <v/>
      </c>
      <c r="AL226" s="109" t="str">
        <f>IF(E212="EUC",COUNTIFS(C222:C246,"TCF",E222:E246,"12"),"")</f>
        <v/>
      </c>
      <c r="AM226" s="109">
        <f t="shared" si="99"/>
        <v>0</v>
      </c>
      <c r="AN226" s="109">
        <f t="shared" si="100"/>
        <v>0</v>
      </c>
      <c r="AO226" s="109" t="str">
        <f t="shared" si="101"/>
        <v/>
      </c>
      <c r="AQ226" s="109" t="str">
        <f t="shared" si="102"/>
        <v/>
      </c>
      <c r="BA226" s="229">
        <f>MOD(SUM(E222:E227),12)</f>
        <v>0</v>
      </c>
    </row>
    <row r="227" spans="1:53" ht="15.75" thickBot="1" x14ac:dyDescent="0.3">
      <c r="A227" s="88"/>
      <c r="B227" s="66" t="s">
        <v>283</v>
      </c>
      <c r="C227" s="67"/>
      <c r="D227" s="102"/>
      <c r="E227" s="32"/>
      <c r="F227" s="32"/>
      <c r="G227" s="68" t="s">
        <v>277</v>
      </c>
      <c r="H227" s="69">
        <f t="shared" si="103"/>
        <v>0</v>
      </c>
      <c r="I227" s="70">
        <f t="shared" si="104"/>
        <v>0</v>
      </c>
      <c r="J227" s="73" t="str">
        <f t="shared" si="105"/>
        <v>--</v>
      </c>
      <c r="K227" s="32"/>
      <c r="L227" s="233"/>
      <c r="M227" s="277"/>
      <c r="N227" s="277"/>
      <c r="O227" s="277"/>
      <c r="P227" s="277"/>
      <c r="Q227" s="277"/>
      <c r="R227" s="277"/>
      <c r="S227" s="277"/>
      <c r="T227" s="277"/>
      <c r="U227" s="278"/>
      <c r="V227" s="103"/>
      <c r="W227" s="72"/>
      <c r="X227" s="72"/>
      <c r="Y227" s="72"/>
      <c r="Z227" s="45">
        <v>14</v>
      </c>
      <c r="AA227" s="77">
        <f t="shared" si="106"/>
        <v>157</v>
      </c>
      <c r="AB227" s="77">
        <f t="shared" si="107"/>
        <v>168</v>
      </c>
      <c r="AC227" s="72">
        <f t="shared" si="94"/>
        <v>1</v>
      </c>
      <c r="AD227" s="72">
        <f t="shared" si="95"/>
        <v>1</v>
      </c>
      <c r="AE227" s="109" t="str">
        <f t="shared" si="96"/>
        <v>0-0</v>
      </c>
      <c r="AF227" s="109" t="str">
        <f t="shared" si="97"/>
        <v>Y</v>
      </c>
      <c r="AG227" s="109" t="str">
        <f t="shared" si="98"/>
        <v>B</v>
      </c>
      <c r="AM227" s="109">
        <f t="shared" si="99"/>
        <v>0</v>
      </c>
      <c r="AN227" s="109">
        <f t="shared" si="100"/>
        <v>0</v>
      </c>
      <c r="AO227" s="109" t="str">
        <f t="shared" si="101"/>
        <v/>
      </c>
      <c r="AQ227" s="109" t="str">
        <f t="shared" si="102"/>
        <v/>
      </c>
      <c r="BA227" s="229">
        <f>MOD(SUM(E222:E228),12)</f>
        <v>0</v>
      </c>
    </row>
    <row r="228" spans="1:53" ht="15.75" thickBot="1" x14ac:dyDescent="0.3">
      <c r="A228" s="88"/>
      <c r="B228" s="66" t="s">
        <v>284</v>
      </c>
      <c r="C228" s="67"/>
      <c r="D228" s="102"/>
      <c r="E228" s="32"/>
      <c r="F228" s="32"/>
      <c r="G228" s="68" t="s">
        <v>277</v>
      </c>
      <c r="H228" s="69">
        <f t="shared" si="103"/>
        <v>0</v>
      </c>
      <c r="I228" s="70">
        <f t="shared" si="104"/>
        <v>0</v>
      </c>
      <c r="J228" s="73" t="str">
        <f t="shared" si="105"/>
        <v>--</v>
      </c>
      <c r="K228" s="32"/>
      <c r="L228" s="233"/>
      <c r="M228" s="277"/>
      <c r="N228" s="277"/>
      <c r="O228" s="277"/>
      <c r="P228" s="277"/>
      <c r="Q228" s="277"/>
      <c r="R228" s="277"/>
      <c r="S228" s="277"/>
      <c r="T228" s="277"/>
      <c r="U228" s="278"/>
      <c r="V228" s="103"/>
      <c r="W228" s="72"/>
      <c r="X228" s="72"/>
      <c r="Y228" s="72"/>
      <c r="Z228" s="45">
        <v>15</v>
      </c>
      <c r="AA228" s="77">
        <f t="shared" si="106"/>
        <v>169</v>
      </c>
      <c r="AB228" s="77">
        <f t="shared" si="107"/>
        <v>180</v>
      </c>
      <c r="AC228" s="72">
        <f t="shared" si="94"/>
        <v>1</v>
      </c>
      <c r="AD228" s="72">
        <f t="shared" si="95"/>
        <v>1</v>
      </c>
      <c r="AE228" s="109" t="str">
        <f t="shared" si="96"/>
        <v>0-0</v>
      </c>
      <c r="AF228" s="109" t="str">
        <f t="shared" si="97"/>
        <v>Y</v>
      </c>
      <c r="AG228" s="109" t="str">
        <f t="shared" si="98"/>
        <v>B</v>
      </c>
      <c r="AM228" s="109">
        <f t="shared" si="99"/>
        <v>0</v>
      </c>
      <c r="AN228" s="109">
        <f t="shared" si="100"/>
        <v>0</v>
      </c>
      <c r="AO228" s="109" t="str">
        <f t="shared" si="101"/>
        <v/>
      </c>
      <c r="AQ228" s="109" t="str">
        <f t="shared" si="102"/>
        <v/>
      </c>
      <c r="BA228" s="229">
        <f>MOD(SUM(E222:E229),12)</f>
        <v>0</v>
      </c>
    </row>
    <row r="229" spans="1:53" ht="15.75" thickBot="1" x14ac:dyDescent="0.3">
      <c r="A229" s="88"/>
      <c r="B229" s="66" t="s">
        <v>285</v>
      </c>
      <c r="C229" s="67"/>
      <c r="D229" s="102"/>
      <c r="E229" s="32"/>
      <c r="F229" s="32"/>
      <c r="G229" s="68" t="s">
        <v>277</v>
      </c>
      <c r="H229" s="69">
        <f t="shared" si="103"/>
        <v>0</v>
      </c>
      <c r="I229" s="70">
        <f t="shared" si="104"/>
        <v>0</v>
      </c>
      <c r="J229" s="73" t="str">
        <f t="shared" si="105"/>
        <v>--</v>
      </c>
      <c r="K229" s="32"/>
      <c r="L229" s="233"/>
      <c r="M229" s="277"/>
      <c r="N229" s="277"/>
      <c r="O229" s="277"/>
      <c r="P229" s="277"/>
      <c r="Q229" s="277"/>
      <c r="R229" s="277"/>
      <c r="S229" s="277"/>
      <c r="T229" s="277"/>
      <c r="U229" s="278"/>
      <c r="V229" s="103"/>
      <c r="W229" s="72"/>
      <c r="X229" s="72"/>
      <c r="Y229" s="72"/>
      <c r="Z229" s="45">
        <f>Z228+1</f>
        <v>16</v>
      </c>
      <c r="AA229" s="77">
        <f t="shared" si="106"/>
        <v>181</v>
      </c>
      <c r="AB229" s="77">
        <f t="shared" si="107"/>
        <v>192</v>
      </c>
      <c r="AC229" s="72">
        <f t="shared" si="94"/>
        <v>1</v>
      </c>
      <c r="AD229" s="72">
        <f t="shared" si="95"/>
        <v>1</v>
      </c>
      <c r="AE229" s="109" t="str">
        <f t="shared" si="96"/>
        <v>0-0</v>
      </c>
      <c r="AF229" s="109" t="str">
        <f t="shared" si="97"/>
        <v>Y</v>
      </c>
      <c r="AG229" s="109" t="str">
        <f t="shared" si="98"/>
        <v>B</v>
      </c>
      <c r="AM229" s="109">
        <f t="shared" si="99"/>
        <v>0</v>
      </c>
      <c r="AN229" s="109">
        <f t="shared" si="100"/>
        <v>0</v>
      </c>
      <c r="AO229" s="109" t="str">
        <f t="shared" si="101"/>
        <v/>
      </c>
      <c r="AQ229" s="109" t="str">
        <f t="shared" si="102"/>
        <v/>
      </c>
      <c r="BA229" s="229">
        <f>MOD(SUM(E222:E230),12)</f>
        <v>0</v>
      </c>
    </row>
    <row r="230" spans="1:53" ht="15.75" thickBot="1" x14ac:dyDescent="0.3">
      <c r="A230" s="88"/>
      <c r="B230" s="66" t="s">
        <v>286</v>
      </c>
      <c r="C230" s="67"/>
      <c r="D230" s="102"/>
      <c r="E230" s="32"/>
      <c r="F230" s="32"/>
      <c r="G230" s="68" t="s">
        <v>277</v>
      </c>
      <c r="H230" s="69">
        <f t="shared" si="103"/>
        <v>0</v>
      </c>
      <c r="I230" s="70">
        <f t="shared" si="104"/>
        <v>0</v>
      </c>
      <c r="J230" s="73" t="str">
        <f t="shared" si="105"/>
        <v>--</v>
      </c>
      <c r="K230" s="32"/>
      <c r="L230" s="233"/>
      <c r="M230" s="277"/>
      <c r="N230" s="277"/>
      <c r="O230" s="277"/>
      <c r="P230" s="277"/>
      <c r="Q230" s="277"/>
      <c r="R230" s="277"/>
      <c r="S230" s="277"/>
      <c r="T230" s="277"/>
      <c r="U230" s="278"/>
      <c r="V230" s="103"/>
      <c r="W230" s="72"/>
      <c r="X230" s="72"/>
      <c r="Y230" s="72"/>
      <c r="Z230" s="45">
        <f>Z229+1</f>
        <v>17</v>
      </c>
      <c r="AA230" s="77">
        <f t="shared" si="106"/>
        <v>193</v>
      </c>
      <c r="AB230" s="77">
        <f t="shared" si="107"/>
        <v>204</v>
      </c>
      <c r="AC230" s="72">
        <f t="shared" si="94"/>
        <v>1</v>
      </c>
      <c r="AD230" s="72">
        <f t="shared" si="95"/>
        <v>1</v>
      </c>
      <c r="AE230" s="109" t="str">
        <f t="shared" si="96"/>
        <v>0-0</v>
      </c>
      <c r="AF230" s="109" t="str">
        <f t="shared" si="97"/>
        <v>Y</v>
      </c>
      <c r="AG230" s="109" t="str">
        <f t="shared" si="98"/>
        <v>B</v>
      </c>
      <c r="AM230" s="109">
        <f t="shared" si="99"/>
        <v>0</v>
      </c>
      <c r="AN230" s="109">
        <f t="shared" si="100"/>
        <v>0</v>
      </c>
      <c r="AO230" s="109" t="str">
        <f t="shared" si="101"/>
        <v/>
      </c>
      <c r="AQ230" s="109" t="str">
        <f t="shared" si="102"/>
        <v/>
      </c>
      <c r="BA230" s="229">
        <f>MOD(SUM(E222:E231),12)</f>
        <v>0</v>
      </c>
    </row>
    <row r="231" spans="1:53" ht="15.75" thickBot="1" x14ac:dyDescent="0.3">
      <c r="A231" s="88"/>
      <c r="B231" s="66" t="s">
        <v>287</v>
      </c>
      <c r="C231" s="67"/>
      <c r="D231" s="102"/>
      <c r="E231" s="32"/>
      <c r="F231" s="32"/>
      <c r="G231" s="68" t="s">
        <v>277</v>
      </c>
      <c r="H231" s="69">
        <f t="shared" si="103"/>
        <v>0</v>
      </c>
      <c r="I231" s="70">
        <f t="shared" si="104"/>
        <v>0</v>
      </c>
      <c r="J231" s="73" t="str">
        <f t="shared" si="105"/>
        <v>--</v>
      </c>
      <c r="K231" s="32"/>
      <c r="L231" s="233"/>
      <c r="M231" s="277"/>
      <c r="N231" s="277"/>
      <c r="O231" s="277"/>
      <c r="P231" s="277"/>
      <c r="Q231" s="277"/>
      <c r="R231" s="277"/>
      <c r="S231" s="277"/>
      <c r="T231" s="277"/>
      <c r="U231" s="278"/>
      <c r="V231" s="103"/>
      <c r="W231" s="72"/>
      <c r="X231" s="72"/>
      <c r="Y231" s="72"/>
      <c r="Z231" s="45">
        <f>Z230+1</f>
        <v>18</v>
      </c>
      <c r="AA231" s="77">
        <f t="shared" si="106"/>
        <v>205</v>
      </c>
      <c r="AB231" s="77">
        <f t="shared" si="107"/>
        <v>216</v>
      </c>
      <c r="AC231" s="72">
        <f t="shared" si="94"/>
        <v>1</v>
      </c>
      <c r="AD231" s="72">
        <f t="shared" si="95"/>
        <v>1</v>
      </c>
      <c r="AE231" s="109" t="str">
        <f t="shared" si="96"/>
        <v>0-0</v>
      </c>
      <c r="AF231" s="109" t="str">
        <f t="shared" si="97"/>
        <v>Y</v>
      </c>
      <c r="AG231" s="109" t="str">
        <f t="shared" si="98"/>
        <v>B</v>
      </c>
      <c r="AM231" s="109">
        <f t="shared" si="99"/>
        <v>0</v>
      </c>
      <c r="AN231" s="109">
        <f t="shared" si="100"/>
        <v>0</v>
      </c>
      <c r="AO231" s="109" t="str">
        <f t="shared" si="101"/>
        <v/>
      </c>
      <c r="AQ231" s="109" t="str">
        <f t="shared" si="102"/>
        <v/>
      </c>
      <c r="BA231" s="229">
        <f>MOD(SUM(E222:E232),12)</f>
        <v>0</v>
      </c>
    </row>
    <row r="232" spans="1:53" ht="15.75" thickBot="1" x14ac:dyDescent="0.3">
      <c r="A232" s="88"/>
      <c r="B232" s="66" t="s">
        <v>288</v>
      </c>
      <c r="C232" s="67"/>
      <c r="D232" s="102"/>
      <c r="E232" s="32"/>
      <c r="F232" s="32"/>
      <c r="G232" s="68" t="s">
        <v>277</v>
      </c>
      <c r="H232" s="69">
        <f t="shared" si="103"/>
        <v>0</v>
      </c>
      <c r="I232" s="70">
        <f t="shared" si="104"/>
        <v>0</v>
      </c>
      <c r="J232" s="73" t="str">
        <f t="shared" si="105"/>
        <v>--</v>
      </c>
      <c r="K232" s="32"/>
      <c r="L232" s="233"/>
      <c r="M232" s="277"/>
      <c r="N232" s="277"/>
      <c r="O232" s="277"/>
      <c r="P232" s="277"/>
      <c r="Q232" s="277"/>
      <c r="R232" s="277"/>
      <c r="S232" s="277"/>
      <c r="T232" s="277"/>
      <c r="U232" s="278"/>
      <c r="V232" s="103"/>
      <c r="W232" s="84"/>
      <c r="X232" s="84"/>
      <c r="Y232" s="72"/>
      <c r="Z232" s="72"/>
      <c r="AA232" s="72"/>
      <c r="AB232" s="72"/>
      <c r="AC232" s="72">
        <f t="shared" si="94"/>
        <v>1</v>
      </c>
      <c r="AD232" s="72">
        <f t="shared" si="95"/>
        <v>1</v>
      </c>
      <c r="AE232" s="109" t="str">
        <f t="shared" si="96"/>
        <v>0-0</v>
      </c>
      <c r="AF232" s="109" t="str">
        <f t="shared" si="97"/>
        <v>Y</v>
      </c>
      <c r="AG232" s="109" t="str">
        <f t="shared" si="98"/>
        <v>B</v>
      </c>
      <c r="AM232" s="109">
        <f t="shared" si="99"/>
        <v>0</v>
      </c>
      <c r="AN232" s="109">
        <f t="shared" si="100"/>
        <v>0</v>
      </c>
      <c r="AO232" s="109" t="str">
        <f t="shared" si="101"/>
        <v/>
      </c>
      <c r="AQ232" s="109" t="str">
        <f t="shared" si="102"/>
        <v/>
      </c>
      <c r="BA232" s="229">
        <f>MOD(SUM(E222:E233),12)</f>
        <v>0</v>
      </c>
    </row>
    <row r="233" spans="1:53" ht="15.75" thickBot="1" x14ac:dyDescent="0.3">
      <c r="A233" s="88"/>
      <c r="B233" s="66" t="s">
        <v>289</v>
      </c>
      <c r="C233" s="67"/>
      <c r="D233" s="102"/>
      <c r="E233" s="32"/>
      <c r="F233" s="32"/>
      <c r="G233" s="68" t="s">
        <v>277</v>
      </c>
      <c r="H233" s="69">
        <f t="shared" si="103"/>
        <v>0</v>
      </c>
      <c r="I233" s="70">
        <f t="shared" si="104"/>
        <v>0</v>
      </c>
      <c r="J233" s="73" t="str">
        <f t="shared" si="105"/>
        <v>--</v>
      </c>
      <c r="K233" s="32"/>
      <c r="L233" s="233"/>
      <c r="M233" s="277"/>
      <c r="N233" s="277"/>
      <c r="O233" s="277"/>
      <c r="P233" s="277"/>
      <c r="Q233" s="277"/>
      <c r="R233" s="277"/>
      <c r="S233" s="277"/>
      <c r="T233" s="277"/>
      <c r="U233" s="278"/>
      <c r="V233" s="103"/>
      <c r="W233" s="84">
        <f>Y233+1</f>
        <v>409</v>
      </c>
      <c r="X233" s="84"/>
      <c r="Y233" s="78">
        <f>SUM(E222:E233)</f>
        <v>408</v>
      </c>
      <c r="Z233" s="72"/>
      <c r="AA233" s="72"/>
      <c r="AB233" s="72"/>
      <c r="AC233" s="72">
        <f t="shared" si="94"/>
        <v>1</v>
      </c>
      <c r="AD233" s="72">
        <f t="shared" si="95"/>
        <v>1</v>
      </c>
      <c r="AE233" s="109" t="str">
        <f t="shared" si="96"/>
        <v>0-0</v>
      </c>
      <c r="AF233" s="109" t="str">
        <f t="shared" si="97"/>
        <v>Y</v>
      </c>
      <c r="AG233" s="109" t="str">
        <f t="shared" si="98"/>
        <v>B</v>
      </c>
      <c r="AM233" s="109">
        <f t="shared" si="99"/>
        <v>0</v>
      </c>
      <c r="AN233" s="109">
        <f t="shared" si="100"/>
        <v>0</v>
      </c>
      <c r="AO233" s="109" t="str">
        <f t="shared" si="101"/>
        <v/>
      </c>
      <c r="AQ233" s="109" t="str">
        <f t="shared" si="102"/>
        <v/>
      </c>
      <c r="BA233" s="229">
        <f>MOD(SUM(E222:E234),12)</f>
        <v>0</v>
      </c>
    </row>
    <row r="234" spans="1:53" ht="15.75" thickBot="1" x14ac:dyDescent="0.3">
      <c r="A234" s="88"/>
      <c r="B234" s="66" t="s">
        <v>290</v>
      </c>
      <c r="C234" s="67"/>
      <c r="D234" s="102"/>
      <c r="E234" s="32"/>
      <c r="F234" s="32"/>
      <c r="G234" s="68" t="s">
        <v>277</v>
      </c>
      <c r="H234" s="69">
        <f t="shared" si="103"/>
        <v>0</v>
      </c>
      <c r="I234" s="70">
        <f t="shared" si="104"/>
        <v>0</v>
      </c>
      <c r="J234" s="73" t="str">
        <f t="shared" si="105"/>
        <v>--</v>
      </c>
      <c r="K234" s="32"/>
      <c r="L234" s="233"/>
      <c r="M234" s="277"/>
      <c r="N234" s="277"/>
      <c r="O234" s="277"/>
      <c r="P234" s="277"/>
      <c r="Q234" s="277"/>
      <c r="R234" s="277"/>
      <c r="S234" s="277"/>
      <c r="T234" s="277"/>
      <c r="U234" s="278"/>
      <c r="V234" s="103"/>
      <c r="W234" s="84">
        <f>Y234+1</f>
        <v>409</v>
      </c>
      <c r="X234" s="84"/>
      <c r="Y234" s="78">
        <f>SUM(E222:E234)</f>
        <v>408</v>
      </c>
      <c r="Z234" s="72" t="str">
        <f t="shared" ref="Z234:Z246" si="108">IF(OR(AND(E$8=216,C233="DBL REV",C234="DBL REV",Y233&lt;=144,Y234&gt;144),AND(E$8=216,C233="TPL REV",C234="TPL REV",Y233&lt;=144,Y234&gt;144),AND(E$8=216,C233="QD REV",C234="QD REV",Y233&lt;=144,Y234&gt;144)),"ERROR","")</f>
        <v/>
      </c>
      <c r="AA234" s="72"/>
      <c r="AB234" s="72"/>
      <c r="AC234" s="72">
        <f t="shared" si="94"/>
        <v>1</v>
      </c>
      <c r="AD234" s="72">
        <f t="shared" si="95"/>
        <v>1</v>
      </c>
      <c r="AE234" s="109" t="str">
        <f t="shared" si="96"/>
        <v>0-0</v>
      </c>
      <c r="AF234" s="109" t="str">
        <f t="shared" si="97"/>
        <v>Y</v>
      </c>
      <c r="AG234" s="109" t="str">
        <f t="shared" si="98"/>
        <v>B</v>
      </c>
      <c r="AM234" s="109">
        <f t="shared" si="99"/>
        <v>0</v>
      </c>
      <c r="AN234" s="109">
        <f t="shared" si="100"/>
        <v>0</v>
      </c>
      <c r="AO234" s="109" t="str">
        <f t="shared" si="101"/>
        <v/>
      </c>
      <c r="AQ234" s="109" t="str">
        <f t="shared" si="102"/>
        <v/>
      </c>
      <c r="BA234" s="229">
        <f>MOD(SUM(E222:E235),12)</f>
        <v>0</v>
      </c>
    </row>
    <row r="235" spans="1:53" ht="15.75" thickBot="1" x14ac:dyDescent="0.3">
      <c r="A235" s="88"/>
      <c r="B235" s="66" t="s">
        <v>291</v>
      </c>
      <c r="C235" s="67"/>
      <c r="D235" s="102"/>
      <c r="E235" s="32"/>
      <c r="F235" s="32"/>
      <c r="G235" s="68" t="s">
        <v>277</v>
      </c>
      <c r="H235" s="69">
        <f t="shared" si="103"/>
        <v>0</v>
      </c>
      <c r="I235" s="70">
        <f t="shared" si="104"/>
        <v>0</v>
      </c>
      <c r="J235" s="73" t="str">
        <f t="shared" si="105"/>
        <v>--</v>
      </c>
      <c r="K235" s="32"/>
      <c r="L235" s="233"/>
      <c r="M235" s="277"/>
      <c r="N235" s="277"/>
      <c r="O235" s="277"/>
      <c r="P235" s="277"/>
      <c r="Q235" s="277"/>
      <c r="R235" s="277"/>
      <c r="S235" s="277"/>
      <c r="T235" s="277"/>
      <c r="U235" s="278"/>
      <c r="V235" s="103"/>
      <c r="W235" s="84">
        <f>Y235+1</f>
        <v>409</v>
      </c>
      <c r="X235" s="84"/>
      <c r="Y235" s="78">
        <f>SUM(E222:E235)</f>
        <v>408</v>
      </c>
      <c r="Z235" s="72" t="str">
        <f t="shared" si="108"/>
        <v/>
      </c>
      <c r="AA235" s="72"/>
      <c r="AB235" s="72"/>
      <c r="AC235" s="72">
        <f t="shared" si="94"/>
        <v>1</v>
      </c>
      <c r="AD235" s="72">
        <f t="shared" si="95"/>
        <v>1</v>
      </c>
      <c r="AE235" s="109" t="str">
        <f t="shared" si="96"/>
        <v>0-0</v>
      </c>
      <c r="AF235" s="109" t="str">
        <f t="shared" si="97"/>
        <v>Y</v>
      </c>
      <c r="AG235" s="109" t="str">
        <f t="shared" si="98"/>
        <v>B</v>
      </c>
      <c r="AM235" s="109">
        <f t="shared" si="99"/>
        <v>0</v>
      </c>
      <c r="AN235" s="109">
        <f t="shared" si="100"/>
        <v>0</v>
      </c>
      <c r="AO235" s="109" t="str">
        <f t="shared" si="101"/>
        <v/>
      </c>
      <c r="AQ235" s="109" t="str">
        <f t="shared" si="102"/>
        <v/>
      </c>
      <c r="BA235" s="229">
        <f>MOD(SUM(E222:E236),12)</f>
        <v>0</v>
      </c>
    </row>
    <row r="236" spans="1:53" ht="15.75" thickBot="1" x14ac:dyDescent="0.3">
      <c r="A236" s="88"/>
      <c r="B236" s="66" t="s">
        <v>292</v>
      </c>
      <c r="C236" s="67"/>
      <c r="D236" s="102"/>
      <c r="E236" s="32"/>
      <c r="F236" s="32"/>
      <c r="G236" s="68" t="s">
        <v>277</v>
      </c>
      <c r="H236" s="69">
        <f t="shared" si="103"/>
        <v>0</v>
      </c>
      <c r="I236" s="70">
        <f t="shared" si="104"/>
        <v>0</v>
      </c>
      <c r="J236" s="73" t="str">
        <f t="shared" si="105"/>
        <v>--</v>
      </c>
      <c r="K236" s="32"/>
      <c r="L236" s="233"/>
      <c r="M236" s="277"/>
      <c r="N236" s="277"/>
      <c r="O236" s="277"/>
      <c r="P236" s="277"/>
      <c r="Q236" s="277"/>
      <c r="R236" s="277"/>
      <c r="S236" s="277"/>
      <c r="T236" s="277"/>
      <c r="U236" s="278"/>
      <c r="V236" s="103"/>
      <c r="W236" s="84">
        <f>Y236+1</f>
        <v>409</v>
      </c>
      <c r="X236" s="84"/>
      <c r="Y236" s="78">
        <f>SUM(E222:E236)</f>
        <v>408</v>
      </c>
      <c r="Z236" s="72" t="str">
        <f t="shared" si="108"/>
        <v/>
      </c>
      <c r="AA236" s="72" t="str">
        <f t="shared" ref="AA236:AA248" si="109">IF(AND(C234&lt;&gt;"Field SPL",W233&lt;=144,Y234&gt;144),"ERROR","")</f>
        <v/>
      </c>
      <c r="AB236" s="72"/>
      <c r="AC236" s="72">
        <f t="shared" si="94"/>
        <v>1</v>
      </c>
      <c r="AD236" s="72">
        <f t="shared" si="95"/>
        <v>1</v>
      </c>
      <c r="AE236" s="109" t="str">
        <f t="shared" si="96"/>
        <v>0-0</v>
      </c>
      <c r="AF236" s="109" t="str">
        <f t="shared" si="97"/>
        <v>Y</v>
      </c>
      <c r="AG236" s="109" t="str">
        <f t="shared" si="98"/>
        <v>B</v>
      </c>
      <c r="AM236" s="109">
        <f t="shared" si="99"/>
        <v>0</v>
      </c>
      <c r="AN236" s="109">
        <f t="shared" si="100"/>
        <v>0</v>
      </c>
      <c r="AO236" s="109" t="str">
        <f t="shared" si="101"/>
        <v/>
      </c>
      <c r="AQ236" s="109" t="str">
        <f t="shared" si="102"/>
        <v/>
      </c>
      <c r="BA236" s="229">
        <f>MOD(SUM(E222:E237),12)</f>
        <v>0</v>
      </c>
    </row>
    <row r="237" spans="1:53" ht="15.75" thickBot="1" x14ac:dyDescent="0.3">
      <c r="A237" s="88"/>
      <c r="B237" s="66" t="s">
        <v>293</v>
      </c>
      <c r="C237" s="67"/>
      <c r="D237" s="102"/>
      <c r="E237" s="32"/>
      <c r="F237" s="32"/>
      <c r="G237" s="68" t="s">
        <v>277</v>
      </c>
      <c r="H237" s="69">
        <f t="shared" si="103"/>
        <v>0</v>
      </c>
      <c r="I237" s="70">
        <f t="shared" si="104"/>
        <v>0</v>
      </c>
      <c r="J237" s="73" t="str">
        <f t="shared" si="105"/>
        <v>--</v>
      </c>
      <c r="K237" s="32"/>
      <c r="L237" s="233"/>
      <c r="M237" s="277"/>
      <c r="N237" s="277"/>
      <c r="O237" s="277"/>
      <c r="P237" s="277"/>
      <c r="Q237" s="277"/>
      <c r="R237" s="277"/>
      <c r="S237" s="277"/>
      <c r="T237" s="277"/>
      <c r="U237" s="278"/>
      <c r="V237" s="103"/>
      <c r="W237" s="84">
        <f t="shared" ref="W237:W245" si="110">Y237+1</f>
        <v>409</v>
      </c>
      <c r="X237" s="84"/>
      <c r="Y237" s="78">
        <f>SUM(E222:E237)</f>
        <v>408</v>
      </c>
      <c r="Z237" s="72" t="str">
        <f t="shared" si="108"/>
        <v/>
      </c>
      <c r="AA237" s="72" t="str">
        <f t="shared" si="109"/>
        <v/>
      </c>
      <c r="AB237" s="72"/>
      <c r="AC237" s="72">
        <f t="shared" si="94"/>
        <v>1</v>
      </c>
      <c r="AD237" s="72">
        <f t="shared" si="95"/>
        <v>1</v>
      </c>
      <c r="AE237" s="109" t="str">
        <f t="shared" si="96"/>
        <v>0-0</v>
      </c>
      <c r="AF237" s="109" t="str">
        <f t="shared" si="97"/>
        <v>Y</v>
      </c>
      <c r="AG237" s="109" t="str">
        <f t="shared" si="98"/>
        <v>B</v>
      </c>
      <c r="AM237" s="109">
        <f t="shared" si="99"/>
        <v>0</v>
      </c>
      <c r="AN237" s="109">
        <f t="shared" si="100"/>
        <v>0</v>
      </c>
      <c r="AO237" s="109" t="str">
        <f t="shared" si="101"/>
        <v/>
      </c>
      <c r="AQ237" s="109" t="str">
        <f t="shared" si="102"/>
        <v/>
      </c>
      <c r="BA237" s="229">
        <f>MOD(SUM(E222:E238),12)</f>
        <v>0</v>
      </c>
    </row>
    <row r="238" spans="1:53" ht="15.75" thickBot="1" x14ac:dyDescent="0.3">
      <c r="A238" s="88"/>
      <c r="B238" s="66" t="s">
        <v>294</v>
      </c>
      <c r="C238" s="67"/>
      <c r="D238" s="102"/>
      <c r="E238" s="32"/>
      <c r="F238" s="32"/>
      <c r="G238" s="68" t="s">
        <v>277</v>
      </c>
      <c r="H238" s="69">
        <f t="shared" si="103"/>
        <v>0</v>
      </c>
      <c r="I238" s="70">
        <f t="shared" si="104"/>
        <v>0</v>
      </c>
      <c r="J238" s="73" t="str">
        <f t="shared" si="105"/>
        <v>--</v>
      </c>
      <c r="K238" s="32"/>
      <c r="L238" s="233"/>
      <c r="M238" s="277"/>
      <c r="N238" s="277"/>
      <c r="O238" s="277"/>
      <c r="P238" s="277"/>
      <c r="Q238" s="277"/>
      <c r="R238" s="277"/>
      <c r="S238" s="277"/>
      <c r="T238" s="277"/>
      <c r="U238" s="278"/>
      <c r="V238" s="103"/>
      <c r="W238" s="84">
        <f t="shared" si="110"/>
        <v>409</v>
      </c>
      <c r="X238" s="84"/>
      <c r="Y238" s="78">
        <f>SUM(E222:E238)</f>
        <v>408</v>
      </c>
      <c r="Z238" s="72" t="str">
        <f t="shared" si="108"/>
        <v/>
      </c>
      <c r="AA238" s="72" t="str">
        <f t="shared" si="109"/>
        <v/>
      </c>
      <c r="AB238" s="72"/>
      <c r="AC238" s="72">
        <f t="shared" si="94"/>
        <v>1</v>
      </c>
      <c r="AD238" s="72">
        <f t="shared" si="95"/>
        <v>1</v>
      </c>
      <c r="AE238" s="109" t="str">
        <f t="shared" si="96"/>
        <v>0-0</v>
      </c>
      <c r="AF238" s="109" t="str">
        <f t="shared" si="97"/>
        <v>Y</v>
      </c>
      <c r="AG238" s="109" t="str">
        <f t="shared" si="98"/>
        <v>B</v>
      </c>
      <c r="AM238" s="109">
        <f t="shared" si="99"/>
        <v>0</v>
      </c>
      <c r="AN238" s="109">
        <f t="shared" si="100"/>
        <v>0</v>
      </c>
      <c r="AO238" s="109" t="str">
        <f t="shared" si="101"/>
        <v/>
      </c>
      <c r="AQ238" s="109" t="str">
        <f t="shared" si="102"/>
        <v/>
      </c>
      <c r="BA238" s="229">
        <f>MOD(SUM(E222:E239),12)</f>
        <v>0</v>
      </c>
    </row>
    <row r="239" spans="1:53" ht="15.75" thickBot="1" x14ac:dyDescent="0.3">
      <c r="A239" s="88"/>
      <c r="B239" s="66" t="s">
        <v>295</v>
      </c>
      <c r="C239" s="67"/>
      <c r="D239" s="102"/>
      <c r="E239" s="32"/>
      <c r="F239" s="32"/>
      <c r="G239" s="68" t="s">
        <v>277</v>
      </c>
      <c r="H239" s="69">
        <f t="shared" si="103"/>
        <v>0</v>
      </c>
      <c r="I239" s="70">
        <f t="shared" si="104"/>
        <v>0</v>
      </c>
      <c r="J239" s="73" t="str">
        <f t="shared" si="105"/>
        <v>--</v>
      </c>
      <c r="K239" s="32"/>
      <c r="L239" s="233"/>
      <c r="M239" s="277"/>
      <c r="N239" s="277"/>
      <c r="O239" s="277"/>
      <c r="P239" s="277"/>
      <c r="Q239" s="277"/>
      <c r="R239" s="277"/>
      <c r="S239" s="277"/>
      <c r="T239" s="277"/>
      <c r="U239" s="278"/>
      <c r="V239" s="103"/>
      <c r="W239" s="84">
        <f t="shared" si="110"/>
        <v>409</v>
      </c>
      <c r="X239" s="84"/>
      <c r="Y239" s="78">
        <f>SUM(E222:E239)</f>
        <v>408</v>
      </c>
      <c r="Z239" s="72" t="str">
        <f t="shared" si="108"/>
        <v/>
      </c>
      <c r="AA239" s="72" t="str">
        <f t="shared" si="109"/>
        <v/>
      </c>
      <c r="AB239" s="72"/>
      <c r="AC239" s="72">
        <f t="shared" si="94"/>
        <v>1</v>
      </c>
      <c r="AD239" s="72">
        <f t="shared" si="95"/>
        <v>1</v>
      </c>
      <c r="AE239" s="109" t="str">
        <f t="shared" si="96"/>
        <v>0-0</v>
      </c>
      <c r="AF239" s="109" t="str">
        <f t="shared" si="97"/>
        <v>Y</v>
      </c>
      <c r="AG239" s="109" t="str">
        <f t="shared" si="98"/>
        <v>B</v>
      </c>
      <c r="AM239" s="109">
        <f t="shared" si="99"/>
        <v>0</v>
      </c>
      <c r="AN239" s="109">
        <f t="shared" si="100"/>
        <v>0</v>
      </c>
      <c r="AO239" s="109" t="str">
        <f t="shared" si="101"/>
        <v/>
      </c>
      <c r="AQ239" s="109" t="str">
        <f t="shared" si="102"/>
        <v/>
      </c>
      <c r="BA239" s="229">
        <f>MOD(SUM(E222:E240),12)</f>
        <v>0</v>
      </c>
    </row>
    <row r="240" spans="1:53" ht="15.75" thickBot="1" x14ac:dyDescent="0.3">
      <c r="A240" s="88"/>
      <c r="B240" s="66" t="s">
        <v>296</v>
      </c>
      <c r="C240" s="67"/>
      <c r="D240" s="102"/>
      <c r="E240" s="32"/>
      <c r="F240" s="32"/>
      <c r="G240" s="68" t="s">
        <v>277</v>
      </c>
      <c r="H240" s="69">
        <f t="shared" si="103"/>
        <v>0</v>
      </c>
      <c r="I240" s="70">
        <f t="shared" si="104"/>
        <v>0</v>
      </c>
      <c r="J240" s="73" t="str">
        <f t="shared" si="105"/>
        <v>--</v>
      </c>
      <c r="K240" s="32"/>
      <c r="L240" s="233"/>
      <c r="M240" s="277"/>
      <c r="N240" s="277"/>
      <c r="O240" s="277"/>
      <c r="P240" s="277"/>
      <c r="Q240" s="277"/>
      <c r="R240" s="277"/>
      <c r="S240" s="277"/>
      <c r="T240" s="277"/>
      <c r="U240" s="278"/>
      <c r="V240" s="103"/>
      <c r="W240" s="84">
        <f t="shared" si="110"/>
        <v>409</v>
      </c>
      <c r="X240" s="84"/>
      <c r="Y240" s="78">
        <f>SUM(E222:E240)</f>
        <v>408</v>
      </c>
      <c r="Z240" s="72" t="str">
        <f t="shared" si="108"/>
        <v/>
      </c>
      <c r="AA240" s="72" t="str">
        <f t="shared" si="109"/>
        <v/>
      </c>
      <c r="AB240" s="72"/>
      <c r="AC240" s="72">
        <f t="shared" si="94"/>
        <v>1</v>
      </c>
      <c r="AD240" s="72">
        <f t="shared" si="95"/>
        <v>1</v>
      </c>
      <c r="AE240" s="109" t="str">
        <f t="shared" si="96"/>
        <v>0-0</v>
      </c>
      <c r="AF240" s="109" t="str">
        <f t="shared" si="97"/>
        <v>Y</v>
      </c>
      <c r="AG240" s="109" t="str">
        <f t="shared" si="98"/>
        <v>B</v>
      </c>
      <c r="AM240" s="109">
        <f t="shared" si="99"/>
        <v>0</v>
      </c>
      <c r="AN240" s="109">
        <f t="shared" si="100"/>
        <v>0</v>
      </c>
      <c r="AO240" s="109" t="str">
        <f t="shared" si="101"/>
        <v/>
      </c>
      <c r="AQ240" s="109" t="str">
        <f t="shared" si="102"/>
        <v/>
      </c>
      <c r="BA240" s="229">
        <f>MOD(SUM(E222:E241),12)</f>
        <v>0</v>
      </c>
    </row>
    <row r="241" spans="1:53" ht="15.75" thickBot="1" x14ac:dyDescent="0.3">
      <c r="A241" s="88"/>
      <c r="B241" s="66" t="s">
        <v>297</v>
      </c>
      <c r="C241" s="67"/>
      <c r="D241" s="102"/>
      <c r="E241" s="32"/>
      <c r="F241" s="32"/>
      <c r="G241" s="68" t="s">
        <v>277</v>
      </c>
      <c r="H241" s="69">
        <f t="shared" si="103"/>
        <v>0</v>
      </c>
      <c r="I241" s="70">
        <f t="shared" si="104"/>
        <v>0</v>
      </c>
      <c r="J241" s="73" t="str">
        <f t="shared" si="105"/>
        <v>--</v>
      </c>
      <c r="K241" s="32"/>
      <c r="L241" s="233"/>
      <c r="M241" s="277"/>
      <c r="N241" s="277"/>
      <c r="O241" s="277"/>
      <c r="P241" s="277"/>
      <c r="Q241" s="277"/>
      <c r="R241" s="277"/>
      <c r="S241" s="277"/>
      <c r="T241" s="277"/>
      <c r="U241" s="278"/>
      <c r="V241" s="103"/>
      <c r="W241" s="84">
        <f t="shared" si="110"/>
        <v>409</v>
      </c>
      <c r="X241" s="84"/>
      <c r="Y241" s="78">
        <f>SUM(E222:E241)</f>
        <v>408</v>
      </c>
      <c r="Z241" s="72" t="str">
        <f t="shared" si="108"/>
        <v/>
      </c>
      <c r="AA241" s="72" t="str">
        <f t="shared" si="109"/>
        <v/>
      </c>
      <c r="AB241" s="72"/>
      <c r="AC241" s="72">
        <f t="shared" si="94"/>
        <v>1</v>
      </c>
      <c r="AD241" s="72">
        <f t="shared" si="95"/>
        <v>1</v>
      </c>
      <c r="AE241" s="109" t="str">
        <f t="shared" si="96"/>
        <v>0-0</v>
      </c>
      <c r="AF241" s="109" t="str">
        <f t="shared" si="97"/>
        <v>Y</v>
      </c>
      <c r="AG241" s="109" t="str">
        <f t="shared" si="98"/>
        <v>B</v>
      </c>
      <c r="AM241" s="109">
        <f t="shared" si="99"/>
        <v>0</v>
      </c>
      <c r="AN241" s="109">
        <f t="shared" si="100"/>
        <v>0</v>
      </c>
      <c r="AO241" s="109" t="str">
        <f t="shared" si="101"/>
        <v/>
      </c>
      <c r="AQ241" s="109" t="str">
        <f t="shared" si="102"/>
        <v/>
      </c>
      <c r="BA241" s="229">
        <f>MOD(SUM(E222:E242),12)</f>
        <v>0</v>
      </c>
    </row>
    <row r="242" spans="1:53" ht="15.75" thickBot="1" x14ac:dyDescent="0.3">
      <c r="A242" s="88"/>
      <c r="B242" s="66" t="s">
        <v>298</v>
      </c>
      <c r="C242" s="67"/>
      <c r="D242" s="102"/>
      <c r="E242" s="32"/>
      <c r="F242" s="32"/>
      <c r="G242" s="68" t="s">
        <v>277</v>
      </c>
      <c r="H242" s="69">
        <f t="shared" si="103"/>
        <v>0</v>
      </c>
      <c r="I242" s="70">
        <f t="shared" si="104"/>
        <v>0</v>
      </c>
      <c r="J242" s="73" t="str">
        <f t="shared" si="105"/>
        <v>--</v>
      </c>
      <c r="K242" s="32"/>
      <c r="L242" s="233"/>
      <c r="M242" s="277"/>
      <c r="N242" s="277"/>
      <c r="O242" s="277"/>
      <c r="P242" s="277"/>
      <c r="Q242" s="277"/>
      <c r="R242" s="277"/>
      <c r="S242" s="277"/>
      <c r="T242" s="277"/>
      <c r="U242" s="278"/>
      <c r="V242" s="103"/>
      <c r="W242" s="84">
        <f t="shared" si="110"/>
        <v>409</v>
      </c>
      <c r="X242" s="84"/>
      <c r="Y242" s="78">
        <f>SUM(E222:E242)</f>
        <v>408</v>
      </c>
      <c r="Z242" s="72" t="str">
        <f t="shared" si="108"/>
        <v/>
      </c>
      <c r="AA242" s="72" t="str">
        <f t="shared" si="109"/>
        <v/>
      </c>
      <c r="AB242" s="72"/>
      <c r="AC242" s="72">
        <f t="shared" si="94"/>
        <v>1</v>
      </c>
      <c r="AD242" s="72">
        <f t="shared" si="95"/>
        <v>1</v>
      </c>
      <c r="AE242" s="109" t="str">
        <f t="shared" si="96"/>
        <v>0-0</v>
      </c>
      <c r="AF242" s="109" t="str">
        <f t="shared" si="97"/>
        <v>Y</v>
      </c>
      <c r="AG242" s="109" t="str">
        <f t="shared" si="98"/>
        <v>B</v>
      </c>
      <c r="AM242" s="109">
        <f t="shared" si="99"/>
        <v>0</v>
      </c>
      <c r="AN242" s="109">
        <f t="shared" si="100"/>
        <v>0</v>
      </c>
      <c r="AO242" s="109" t="str">
        <f t="shared" si="101"/>
        <v/>
      </c>
      <c r="AQ242" s="109" t="str">
        <f t="shared" si="102"/>
        <v/>
      </c>
      <c r="BA242" s="229">
        <f>MOD(SUM(E222:E243),12)</f>
        <v>0</v>
      </c>
    </row>
    <row r="243" spans="1:53" ht="15.75" thickBot="1" x14ac:dyDescent="0.3">
      <c r="A243" s="88"/>
      <c r="B243" s="66" t="s">
        <v>299</v>
      </c>
      <c r="C243" s="67"/>
      <c r="D243" s="102"/>
      <c r="E243" s="32"/>
      <c r="F243" s="32"/>
      <c r="G243" s="68" t="s">
        <v>277</v>
      </c>
      <c r="H243" s="69">
        <f t="shared" si="103"/>
        <v>0</v>
      </c>
      <c r="I243" s="70">
        <f t="shared" si="104"/>
        <v>0</v>
      </c>
      <c r="J243" s="73" t="str">
        <f t="shared" si="105"/>
        <v>--</v>
      </c>
      <c r="K243" s="32"/>
      <c r="L243" s="233"/>
      <c r="M243" s="277"/>
      <c r="N243" s="277"/>
      <c r="O243" s="277"/>
      <c r="P243" s="277"/>
      <c r="Q243" s="277"/>
      <c r="R243" s="277"/>
      <c r="S243" s="277"/>
      <c r="T243" s="277"/>
      <c r="U243" s="278"/>
      <c r="V243" s="103"/>
      <c r="W243" s="84">
        <f t="shared" si="110"/>
        <v>409</v>
      </c>
      <c r="X243" s="84"/>
      <c r="Y243" s="78">
        <f>SUM(E222:E243)</f>
        <v>408</v>
      </c>
      <c r="Z243" s="72" t="str">
        <f t="shared" si="108"/>
        <v/>
      </c>
      <c r="AA243" s="72" t="str">
        <f t="shared" si="109"/>
        <v/>
      </c>
      <c r="AB243" s="72"/>
      <c r="AC243" s="72">
        <f t="shared" si="94"/>
        <v>1</v>
      </c>
      <c r="AD243" s="72">
        <f t="shared" si="95"/>
        <v>1</v>
      </c>
      <c r="AE243" s="109" t="str">
        <f t="shared" si="96"/>
        <v>0-0</v>
      </c>
      <c r="AF243" s="109" t="str">
        <f t="shared" si="97"/>
        <v>Y</v>
      </c>
      <c r="AG243" s="109" t="str">
        <f t="shared" si="98"/>
        <v>B</v>
      </c>
      <c r="AM243" s="109">
        <f t="shared" si="99"/>
        <v>0</v>
      </c>
      <c r="AN243" s="109">
        <f t="shared" si="100"/>
        <v>0</v>
      </c>
      <c r="AO243" s="109" t="str">
        <f t="shared" si="101"/>
        <v/>
      </c>
      <c r="AQ243" s="109" t="str">
        <f t="shared" si="102"/>
        <v/>
      </c>
      <c r="BA243" s="229">
        <f>MOD(SUM(E222:E244),12)</f>
        <v>0</v>
      </c>
    </row>
    <row r="244" spans="1:53" ht="15.75" thickBot="1" x14ac:dyDescent="0.3">
      <c r="A244" s="88"/>
      <c r="B244" s="66" t="s">
        <v>300</v>
      </c>
      <c r="C244" s="67"/>
      <c r="D244" s="102"/>
      <c r="E244" s="32"/>
      <c r="F244" s="32"/>
      <c r="G244" s="68" t="s">
        <v>277</v>
      </c>
      <c r="H244" s="69">
        <f t="shared" si="103"/>
        <v>0</v>
      </c>
      <c r="I244" s="70">
        <f t="shared" si="104"/>
        <v>0</v>
      </c>
      <c r="J244" s="73" t="str">
        <f t="shared" si="105"/>
        <v>--</v>
      </c>
      <c r="K244" s="32"/>
      <c r="L244" s="233"/>
      <c r="M244" s="277"/>
      <c r="N244" s="277"/>
      <c r="O244" s="277"/>
      <c r="P244" s="277"/>
      <c r="Q244" s="277"/>
      <c r="R244" s="277"/>
      <c r="S244" s="277"/>
      <c r="T244" s="277"/>
      <c r="U244" s="278"/>
      <c r="V244" s="103"/>
      <c r="W244" s="84">
        <f t="shared" si="110"/>
        <v>409</v>
      </c>
      <c r="X244" s="84"/>
      <c r="Y244" s="78">
        <f>SUM(E222:E244)</f>
        <v>408</v>
      </c>
      <c r="Z244" s="72" t="str">
        <f t="shared" si="108"/>
        <v/>
      </c>
      <c r="AA244" s="72" t="str">
        <f t="shared" si="109"/>
        <v/>
      </c>
      <c r="AB244" s="72"/>
      <c r="AC244" s="72">
        <f t="shared" si="94"/>
        <v>1</v>
      </c>
      <c r="AD244" s="72">
        <f t="shared" si="95"/>
        <v>1</v>
      </c>
      <c r="AE244" s="109" t="str">
        <f t="shared" si="96"/>
        <v>0-0</v>
      </c>
      <c r="AF244" s="109" t="str">
        <f t="shared" si="97"/>
        <v>Y</v>
      </c>
      <c r="AG244" s="109" t="str">
        <f t="shared" si="98"/>
        <v>B</v>
      </c>
      <c r="AM244" s="109">
        <f t="shared" si="99"/>
        <v>0</v>
      </c>
      <c r="AN244" s="109">
        <f t="shared" si="100"/>
        <v>0</v>
      </c>
      <c r="AO244" s="109" t="str">
        <f t="shared" si="101"/>
        <v/>
      </c>
      <c r="AQ244" s="109" t="str">
        <f t="shared" si="102"/>
        <v/>
      </c>
      <c r="BA244" s="229">
        <f>MOD(SUM(E222:E245),12)</f>
        <v>0</v>
      </c>
    </row>
    <row r="245" spans="1:53" ht="15.75" thickBot="1" x14ac:dyDescent="0.3">
      <c r="A245" s="88"/>
      <c r="B245" s="66" t="s">
        <v>301</v>
      </c>
      <c r="C245" s="67"/>
      <c r="D245" s="102"/>
      <c r="E245" s="32"/>
      <c r="F245" s="32"/>
      <c r="G245" s="68" t="s">
        <v>277</v>
      </c>
      <c r="H245" s="69">
        <f t="shared" si="103"/>
        <v>0</v>
      </c>
      <c r="I245" s="70">
        <f t="shared" si="104"/>
        <v>0</v>
      </c>
      <c r="J245" s="73" t="str">
        <f t="shared" si="105"/>
        <v>--</v>
      </c>
      <c r="K245" s="32"/>
      <c r="L245" s="233"/>
      <c r="M245" s="277"/>
      <c r="N245" s="277"/>
      <c r="O245" s="277"/>
      <c r="P245" s="277"/>
      <c r="Q245" s="277"/>
      <c r="R245" s="277"/>
      <c r="S245" s="277"/>
      <c r="T245" s="277"/>
      <c r="U245" s="278"/>
      <c r="V245" s="103"/>
      <c r="W245" s="84">
        <f t="shared" si="110"/>
        <v>409</v>
      </c>
      <c r="X245" s="84"/>
      <c r="Y245" s="78">
        <f>SUM(E222:E245)</f>
        <v>408</v>
      </c>
      <c r="Z245" s="72" t="str">
        <f t="shared" si="108"/>
        <v/>
      </c>
      <c r="AA245" s="72" t="str">
        <f t="shared" si="109"/>
        <v/>
      </c>
      <c r="AB245" s="72"/>
      <c r="AC245" s="72">
        <f t="shared" si="94"/>
        <v>1</v>
      </c>
      <c r="AD245" s="72">
        <f t="shared" si="95"/>
        <v>1</v>
      </c>
      <c r="AE245" s="109" t="str">
        <f t="shared" si="96"/>
        <v>0-0</v>
      </c>
      <c r="AF245" s="109" t="str">
        <f t="shared" si="97"/>
        <v>Y</v>
      </c>
      <c r="AG245" s="109" t="str">
        <f t="shared" si="98"/>
        <v>B</v>
      </c>
      <c r="AM245" s="109">
        <f t="shared" si="99"/>
        <v>0</v>
      </c>
      <c r="AN245" s="109">
        <f t="shared" si="100"/>
        <v>0</v>
      </c>
      <c r="AO245" s="109" t="str">
        <f t="shared" si="101"/>
        <v/>
      </c>
      <c r="AQ245" s="109" t="str">
        <f t="shared" si="102"/>
        <v/>
      </c>
      <c r="BA245" s="229">
        <f>MOD(SUM(E222:E246),12)</f>
        <v>0</v>
      </c>
    </row>
    <row r="246" spans="1:53" ht="15.75" thickBot="1" x14ac:dyDescent="0.3">
      <c r="A246" s="88"/>
      <c r="B246" s="66" t="s">
        <v>302</v>
      </c>
      <c r="C246" s="67"/>
      <c r="D246" s="102"/>
      <c r="E246" s="32"/>
      <c r="F246" s="32"/>
      <c r="G246" s="68" t="s">
        <v>277</v>
      </c>
      <c r="H246" s="69">
        <f t="shared" si="103"/>
        <v>0</v>
      </c>
      <c r="I246" s="70">
        <f t="shared" si="104"/>
        <v>0</v>
      </c>
      <c r="J246" s="73" t="str">
        <f t="shared" si="105"/>
        <v>--</v>
      </c>
      <c r="K246" s="32"/>
      <c r="L246" s="234"/>
      <c r="M246" s="277"/>
      <c r="N246" s="277"/>
      <c r="O246" s="277"/>
      <c r="P246" s="277"/>
      <c r="Q246" s="277"/>
      <c r="R246" s="277"/>
      <c r="S246" s="277"/>
      <c r="T246" s="277"/>
      <c r="U246" s="278"/>
      <c r="V246" s="103"/>
      <c r="W246" s="72"/>
      <c r="X246" s="72"/>
      <c r="Y246" s="78">
        <f>SUM(E222:E246)</f>
        <v>408</v>
      </c>
      <c r="Z246" s="72" t="str">
        <f t="shared" si="108"/>
        <v/>
      </c>
      <c r="AA246" s="72" t="str">
        <f t="shared" si="109"/>
        <v/>
      </c>
      <c r="AB246" s="72"/>
      <c r="AC246" s="72">
        <f t="shared" si="94"/>
        <v>1</v>
      </c>
      <c r="AD246" s="72">
        <f t="shared" si="95"/>
        <v>1</v>
      </c>
      <c r="AE246" s="109" t="str">
        <f t="shared" si="96"/>
        <v>0-0</v>
      </c>
      <c r="AF246" s="109" t="str">
        <f t="shared" si="97"/>
        <v>Y</v>
      </c>
      <c r="AG246" s="109" t="str">
        <f t="shared" si="98"/>
        <v>B</v>
      </c>
      <c r="AM246" s="109">
        <f t="shared" si="99"/>
        <v>0</v>
      </c>
      <c r="AN246" s="109">
        <f t="shared" si="100"/>
        <v>0</v>
      </c>
      <c r="AO246" s="109" t="str">
        <f t="shared" si="101"/>
        <v/>
      </c>
      <c r="AQ246" s="109" t="str">
        <f t="shared" si="102"/>
        <v/>
      </c>
      <c r="BA246" s="228"/>
    </row>
    <row r="247" spans="1:53" ht="16.5" thickBot="1" x14ac:dyDescent="0.3">
      <c r="A247" s="88"/>
      <c r="B247" s="319" t="s">
        <v>315</v>
      </c>
      <c r="C247" s="320"/>
      <c r="D247" s="79"/>
      <c r="E247" s="80"/>
      <c r="F247" s="80"/>
      <c r="G247" s="81"/>
      <c r="H247" s="192"/>
      <c r="I247" s="192"/>
      <c r="J247" s="192"/>
      <c r="K247" s="82"/>
      <c r="L247" s="319" t="s">
        <v>306</v>
      </c>
      <c r="M247" s="330"/>
      <c r="N247" s="330"/>
      <c r="O247" s="330"/>
      <c r="P247" s="330"/>
      <c r="Q247" s="330"/>
      <c r="R247" s="330"/>
      <c r="S247" s="330"/>
      <c r="T247" s="330"/>
      <c r="U247" s="320"/>
      <c r="V247" s="104"/>
      <c r="W247" s="72"/>
      <c r="X247" s="72"/>
      <c r="Y247" s="72"/>
      <c r="Z247" s="72"/>
      <c r="AA247" s="72" t="str">
        <f t="shared" si="109"/>
        <v/>
      </c>
      <c r="AB247" s="72"/>
      <c r="AC247" s="72">
        <f>SUM(AC222:AC246)</f>
        <v>25</v>
      </c>
      <c r="AD247" s="72">
        <f>SUM(AD222:AD246)</f>
        <v>25</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319" t="s">
        <v>307</v>
      </c>
      <c r="C248" s="320"/>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9"/>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312" t="s">
        <v>222</v>
      </c>
      <c r="C252" s="313"/>
      <c r="D252" s="314" t="s">
        <v>223</v>
      </c>
      <c r="E252" s="305"/>
      <c r="F252" s="88"/>
      <c r="G252" s="315" t="s">
        <v>224</v>
      </c>
      <c r="H252" s="316"/>
      <c r="I252" s="28">
        <f>SUM(E263:E287)</f>
        <v>156</v>
      </c>
      <c r="J252" s="317" t="s">
        <v>225</v>
      </c>
      <c r="K252" s="318"/>
      <c r="L252" s="305"/>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5" t="s">
        <v>226</v>
      </c>
      <c r="AA252" s="296"/>
      <c r="AB252" s="297"/>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6"/>
    </row>
    <row r="253" spans="1:53" ht="16.5" customHeight="1" thickTop="1" thickBot="1" x14ac:dyDescent="0.3">
      <c r="A253" s="88"/>
      <c r="B253" s="29" t="s">
        <v>228</v>
      </c>
      <c r="C253" s="30">
        <v>0</v>
      </c>
      <c r="D253" s="31" t="s">
        <v>229</v>
      </c>
      <c r="E253" s="66" t="str">
        <f>TEXT(IF('Cable Calculator'!AH7="","",'Cable Calculator'!AH7),)</f>
        <v>EUC</v>
      </c>
      <c r="F253" s="88"/>
      <c r="G253" s="304" t="s">
        <v>230</v>
      </c>
      <c r="H253" s="305"/>
      <c r="I253" s="33">
        <f>E254-I252</f>
        <v>60</v>
      </c>
      <c r="J253" s="289" t="s">
        <v>231</v>
      </c>
      <c r="K253" s="290"/>
      <c r="L253" s="34">
        <f>I257</f>
        <v>601</v>
      </c>
      <c r="M253" s="196">
        <v>4</v>
      </c>
      <c r="N253" s="35">
        <f>SUM(AI253,AI264)</f>
        <v>0</v>
      </c>
      <c r="O253" s="35">
        <v>0</v>
      </c>
      <c r="P253" s="35">
        <f>SUM(AJ253,AJ264)</f>
        <v>0</v>
      </c>
      <c r="Q253" s="35">
        <v>0</v>
      </c>
      <c r="R253" s="35">
        <f>COUNTIFS($E263:$E287,"4",$F263:$F287,"Pole",$C263:$C287,"FST")</f>
        <v>1</v>
      </c>
      <c r="S253" s="35">
        <f>SUM(AL253,AK264)</f>
        <v>0</v>
      </c>
      <c r="T253" s="35">
        <v>0</v>
      </c>
      <c r="U253" s="35">
        <f>SUM(AK253,AL264)</f>
        <v>1</v>
      </c>
      <c r="V253" s="35">
        <v>0</v>
      </c>
      <c r="W253" s="34">
        <f>COUNTIFS($E263:$E287,"4",$F263:$F287,"HH",$C263:$C287,"FST")</f>
        <v>0</v>
      </c>
      <c r="X253" s="35">
        <f>COUNTIFS($E263:$E287,"4",$F263:$F287,"Ped",$C263:$C287,"FST")</f>
        <v>0</v>
      </c>
      <c r="Y253" s="25"/>
      <c r="Z253" s="298" t="s">
        <v>232</v>
      </c>
      <c r="AA253" s="300" t="s">
        <v>233</v>
      </c>
      <c r="AB253" s="301"/>
      <c r="AC253" s="25"/>
      <c r="AD253" s="25"/>
      <c r="AH253" s="109">
        <v>4</v>
      </c>
      <c r="AI253" s="109" t="str">
        <f>IF($E253="SS",COUNTIFS($C263:$C287,"FST",$E263:$E287,"4"),"0")</f>
        <v>0</v>
      </c>
      <c r="AJ253" s="109" t="str">
        <f>IF($E253="RPX",COUNTIFS($C263:$C287,"FST",$E263:$E287,"4"),"0")</f>
        <v>0</v>
      </c>
      <c r="AK253" s="109">
        <f>IF($E253="EUC",COUNTIFS($C263:$C287,"FST",$E263:$E287,"4"),"0")</f>
        <v>1</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v>216</v>
      </c>
      <c r="F254" s="88"/>
      <c r="G254" s="291" t="s">
        <v>237</v>
      </c>
      <c r="H254" s="292"/>
      <c r="I254" s="35">
        <f>IF(E254=0,0,12-(MOD(I252,12)))</f>
        <v>12</v>
      </c>
      <c r="J254" s="289" t="s">
        <v>238</v>
      </c>
      <c r="K254" s="290"/>
      <c r="L254" s="39">
        <f>I258-I252</f>
        <v>600</v>
      </c>
      <c r="M254" s="196">
        <v>6</v>
      </c>
      <c r="N254" s="35">
        <f>SUM(AI254,AI265)</f>
        <v>0</v>
      </c>
      <c r="O254" s="35">
        <v>0</v>
      </c>
      <c r="P254" s="35">
        <f>SUM(AJ254,AJ265)</f>
        <v>0</v>
      </c>
      <c r="Q254" s="35">
        <v>0</v>
      </c>
      <c r="R254" s="35">
        <f>COUNTIFS($E263:$E287,"6",$F263:$F287,"Pole",$C263:$C287,"FST")</f>
        <v>2</v>
      </c>
      <c r="S254" s="35">
        <f>SUM(AL254,AK265)</f>
        <v>0</v>
      </c>
      <c r="T254" s="35">
        <v>0</v>
      </c>
      <c r="U254" s="35">
        <f>SUM(AK254,AL265)</f>
        <v>2</v>
      </c>
      <c r="V254" s="35">
        <v>0</v>
      </c>
      <c r="W254" s="34">
        <f>COUNTIFS($E263:$E287,"6",$F263:$F287,"HH",$C263:$C287,"FST")</f>
        <v>0</v>
      </c>
      <c r="X254" s="35">
        <f>COUNTIFS($E263:$E287,"6",$F263:$F287,"Ped",$C263:$C287,"FST")</f>
        <v>0</v>
      </c>
      <c r="Y254" s="25"/>
      <c r="Z254" s="299"/>
      <c r="AA254" s="302"/>
      <c r="AB254" s="303"/>
      <c r="AC254" s="25"/>
      <c r="AD254" s="25"/>
      <c r="AH254" s="109">
        <v>6</v>
      </c>
      <c r="AI254" s="109" t="str">
        <f>IF($E253="SS",COUNTIFS($C263:$C287,"FST",$E263:$E287,"6"),"0")</f>
        <v>0</v>
      </c>
      <c r="AJ254" s="109" t="str">
        <f>IF($E253="RPX",COUNTIFS($C263:$C287,"FST",$E263:$E287,"6"),"0")</f>
        <v>0</v>
      </c>
      <c r="AK254" s="109">
        <f>IF($E253="EUC",COUNTIFS($C263:$C287,"FST",$E263:$E287,"6"),"0")</f>
        <v>2</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60</v>
      </c>
      <c r="F255" s="88"/>
      <c r="G255" s="321" t="s">
        <v>242</v>
      </c>
      <c r="H255" s="43" t="s">
        <v>243</v>
      </c>
      <c r="I255" s="35">
        <f>IF(E255&lt;&gt;0,1,0)</f>
        <v>1</v>
      </c>
      <c r="J255" s="291" t="s">
        <v>244</v>
      </c>
      <c r="K255" s="292"/>
      <c r="L255" s="44">
        <f>'Cable Calculator'!AH3</f>
        <v>1922</v>
      </c>
      <c r="M255" s="196">
        <v>8</v>
      </c>
      <c r="N255" s="35">
        <f>SUM(AI255,AI266)</f>
        <v>0</v>
      </c>
      <c r="O255" s="35">
        <v>0</v>
      </c>
      <c r="P255" s="35">
        <f>SUM(AJ255,AJ266)</f>
        <v>0</v>
      </c>
      <c r="Q255" s="35">
        <v>0</v>
      </c>
      <c r="R255" s="35">
        <f>COUNTIFS($E263:$E287,"8",$F263:$F287,"Pole",$C263:$C287,"FST")</f>
        <v>1</v>
      </c>
      <c r="S255" s="35">
        <f>SUM(AL255,AK266)</f>
        <v>0</v>
      </c>
      <c r="T255" s="35">
        <v>0</v>
      </c>
      <c r="U255" s="35">
        <f>SUM(AK255,AL266)</f>
        <v>1</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1</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601</v>
      </c>
      <c r="F256" s="88"/>
      <c r="G256" s="322"/>
      <c r="H256" s="47" t="s">
        <v>248</v>
      </c>
      <c r="I256" s="35">
        <f>IF(E255&lt;&gt;0,E255,0)</f>
        <v>60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1</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18</v>
      </c>
      <c r="F257" s="88"/>
      <c r="G257" s="321" t="s">
        <v>251</v>
      </c>
      <c r="H257" s="51" t="s">
        <v>252</v>
      </c>
      <c r="I257" s="112">
        <f>E256</f>
        <v>601</v>
      </c>
      <c r="J257" s="323" t="s">
        <v>253</v>
      </c>
      <c r="K257" s="324"/>
      <c r="L257" s="325"/>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N</v>
      </c>
      <c r="F258" s="88"/>
      <c r="G258" s="322"/>
      <c r="H258" s="47" t="s">
        <v>257</v>
      </c>
      <c r="I258" s="35">
        <f>IF(E256="","0",IF(AND(E253="EUC",E254=432), I257+(203-E255),IF(E256=0,0,(E256+(E254-E255)-1))))</f>
        <v>756</v>
      </c>
      <c r="J258" s="285" t="str">
        <f>IFERROR(IF(OR(E253="EUC",E253="SS"),"---",IF(OR(P252,S252),"NO 2F Tethers for RPX!",IF(OR(P254,S254),"NO 6F Tethers for RPX!","---"))),"---")</f>
        <v>---</v>
      </c>
      <c r="K258" s="286"/>
      <c r="L258" s="287"/>
      <c r="M258" s="285" t="str">
        <f>IF(E255&gt;60,"Dead Count &gt;60: Consider Downsize","---")</f>
        <v>---</v>
      </c>
      <c r="N258" s="286"/>
      <c r="O258" s="286"/>
      <c r="P258" s="286"/>
      <c r="Q258" s="286"/>
      <c r="R258" s="286"/>
      <c r="S258" s="286"/>
      <c r="T258" s="286"/>
      <c r="U258" s="287"/>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156</v>
      </c>
      <c r="D259" s="31" t="s">
        <v>259</v>
      </c>
      <c r="E259" s="101" t="str">
        <f>IF(AS253="Y","DBL",IF(AS254="Y","TRPL",IF(AS255="Y","QUAD","")))</f>
        <v/>
      </c>
      <c r="F259" s="88"/>
      <c r="G259" s="192"/>
      <c r="H259" s="57"/>
      <c r="I259" s="192"/>
      <c r="J259" s="285"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86"/>
      <c r="L259" s="287"/>
      <c r="M259" s="285" t="str">
        <f>IF(AND(OR(E253="SS",E253="RPX",E253="EUC",E253="RPX-T"),(OR(C263="",C263="Field SPL"))),"Cannot have FlexNap cables without tethers","---")</f>
        <v>---</v>
      </c>
      <c r="N259" s="286"/>
      <c r="O259" s="286"/>
      <c r="P259" s="286"/>
      <c r="Q259" s="286"/>
      <c r="R259" s="286"/>
      <c r="S259" s="286"/>
      <c r="T259" s="286"/>
      <c r="U259" s="287"/>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85" t="str">
        <f>IF(AND(OR(E253="RPX", E253="RPX-T", E253="SS"),E254=216),"NO 216 For RPX, RPX-T, OR SS CABLE","---")</f>
        <v>---</v>
      </c>
      <c r="K260" s="286"/>
      <c r="L260" s="287"/>
      <c r="M260" s="285" t="str" cm="1">
        <f t="array" ref="M260">IF(AND(E253="",OR(C263:C287="FST",C263:C287="REV T",C263:C287="DBL REV",C263:C287="TPL REV", C263:C287="QD REV")),"Non-FlexNap cables cannot have tethers","---")</f>
        <v>---</v>
      </c>
      <c r="N260" s="286"/>
      <c r="O260" s="286"/>
      <c r="P260" s="286"/>
      <c r="Q260" s="286"/>
      <c r="R260" s="286"/>
      <c r="S260" s="286"/>
      <c r="T260" s="286"/>
      <c r="U260" s="287"/>
      <c r="V260" s="25"/>
      <c r="W260" s="58"/>
      <c r="X260" s="58"/>
      <c r="Y260" s="25"/>
      <c r="Z260" s="45">
        <v>6</v>
      </c>
      <c r="AA260" s="65">
        <v>61</v>
      </c>
      <c r="AB260" s="65">
        <v>72</v>
      </c>
      <c r="AC260" s="25"/>
      <c r="AD260" s="25"/>
      <c r="BA260" s="226"/>
    </row>
    <row r="261" spans="1:53" ht="15.75" customHeight="1" thickBot="1" x14ac:dyDescent="0.3">
      <c r="A261" s="88"/>
      <c r="B261" s="321" t="s">
        <v>260</v>
      </c>
      <c r="C261" s="293" t="s">
        <v>261</v>
      </c>
      <c r="D261" s="293" t="s">
        <v>262</v>
      </c>
      <c r="E261" s="306" t="s">
        <v>263</v>
      </c>
      <c r="F261" s="293" t="s">
        <v>264</v>
      </c>
      <c r="G261" s="308" t="s">
        <v>265</v>
      </c>
      <c r="H261" s="308" t="s">
        <v>266</v>
      </c>
      <c r="I261" s="308" t="s">
        <v>267</v>
      </c>
      <c r="J261" s="310" t="s">
        <v>268</v>
      </c>
      <c r="K261" s="293" t="s">
        <v>269</v>
      </c>
      <c r="L261" s="279" t="s">
        <v>270</v>
      </c>
      <c r="M261" s="281" t="s">
        <v>271</v>
      </c>
      <c r="N261" s="281"/>
      <c r="O261" s="281"/>
      <c r="P261" s="281"/>
      <c r="Q261" s="281"/>
      <c r="R261" s="281"/>
      <c r="S261" s="281"/>
      <c r="T261" s="281"/>
      <c r="U261" s="282"/>
      <c r="V261" s="107"/>
      <c r="W261" s="72"/>
      <c r="X261" s="72"/>
      <c r="Y261" s="72"/>
      <c r="Z261" s="45">
        <v>7</v>
      </c>
      <c r="AA261" s="65">
        <v>73</v>
      </c>
      <c r="AB261" s="65">
        <v>84</v>
      </c>
      <c r="AC261" s="25"/>
      <c r="AD261" s="25"/>
      <c r="BA261" s="228"/>
    </row>
    <row r="262" spans="1:53" ht="15.75" thickBot="1" x14ac:dyDescent="0.3">
      <c r="A262" s="88"/>
      <c r="B262" s="322"/>
      <c r="C262" s="294"/>
      <c r="D262" s="294"/>
      <c r="E262" s="307"/>
      <c r="F262" s="294"/>
      <c r="G262" s="309"/>
      <c r="H262" s="309"/>
      <c r="I262" s="309"/>
      <c r="J262" s="311"/>
      <c r="K262" s="294"/>
      <c r="L262" s="280"/>
      <c r="M262" s="283"/>
      <c r="N262" s="283"/>
      <c r="O262" s="283"/>
      <c r="P262" s="283"/>
      <c r="Q262" s="283"/>
      <c r="R262" s="283"/>
      <c r="S262" s="283"/>
      <c r="T262" s="283"/>
      <c r="U262" s="284"/>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494</v>
      </c>
      <c r="D263" s="102"/>
      <c r="E263" s="32">
        <v>12</v>
      </c>
      <c r="F263" s="32"/>
      <c r="G263" s="68" t="s">
        <v>277</v>
      </c>
      <c r="H263" s="69">
        <f>IF(I263=0,0,I263-(E263-1))</f>
        <v>745</v>
      </c>
      <c r="I263" s="70">
        <f>IF(E263=0,0,I258)</f>
        <v>756</v>
      </c>
      <c r="J263" s="71" t="s">
        <v>278</v>
      </c>
      <c r="K263" s="32"/>
      <c r="L263" s="233"/>
      <c r="M263" s="277" t="s">
        <v>411</v>
      </c>
      <c r="N263" s="277"/>
      <c r="O263" s="277"/>
      <c r="P263" s="277"/>
      <c r="Q263" s="277"/>
      <c r="R263" s="277"/>
      <c r="S263" s="277"/>
      <c r="T263" s="277"/>
      <c r="U263" s="278"/>
      <c r="V263" s="103"/>
      <c r="W263" s="72"/>
      <c r="X263" s="72"/>
      <c r="Y263" s="72"/>
      <c r="Z263" s="45">
        <v>9</v>
      </c>
      <c r="AA263" s="46">
        <v>97</v>
      </c>
      <c r="AB263" s="46">
        <v>108</v>
      </c>
      <c r="AC263" s="72">
        <f t="shared" ref="AC263:AC287" si="111">IF(B263&lt;&gt;"FST",1,0)</f>
        <v>1</v>
      </c>
      <c r="AD263" s="72">
        <f t="shared" ref="AD263:AD287" si="112">IF(C263&lt;&gt;"FST",1,0)</f>
        <v>1</v>
      </c>
      <c r="AE263" s="109" t="str">
        <f t="shared" ref="AE263:AE287" si="113">CONCATENATE(H263,"-",I263)</f>
        <v>745-756</v>
      </c>
      <c r="AF263" s="109" t="str">
        <f t="shared" ref="AF263:AF287" si="114">IF(C263="Field SPL","N","Y")</f>
        <v>Y</v>
      </c>
      <c r="AG263" s="109" t="str">
        <f t="shared" ref="AG263:AG287" si="115">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16">VALUE(IF(C263="FST","0",IF(C263="REV T","1",IF(C263="DBL REV",".5","0"))))</f>
        <v>1</v>
      </c>
      <c r="AN263" s="109">
        <f t="shared" ref="AN263:AN287" si="117">VALUE(IF(C263="FST","0",IF(C263="REV T","0",IF(C263="DBL REV",".5","0"))))</f>
        <v>0</v>
      </c>
      <c r="AO263" s="109" t="str">
        <f t="shared" ref="AO263:AO287" si="118">IF(C263="TPL REV","Y","")</f>
        <v/>
      </c>
      <c r="AQ263" s="109" t="str">
        <f t="shared" ref="AQ263:AQ287" si="119">IF(C263="QD REV","Y","")</f>
        <v/>
      </c>
      <c r="BA263" s="229">
        <f>MOD(E263,12)</f>
        <v>0</v>
      </c>
    </row>
    <row r="264" spans="1:53" ht="15.75" thickBot="1" x14ac:dyDescent="0.3">
      <c r="A264" s="88"/>
      <c r="B264" s="66" t="s">
        <v>279</v>
      </c>
      <c r="C264" s="67" t="s">
        <v>484</v>
      </c>
      <c r="D264" s="102" t="s">
        <v>748</v>
      </c>
      <c r="E264" s="32">
        <v>6</v>
      </c>
      <c r="F264" s="32" t="s">
        <v>483</v>
      </c>
      <c r="G264" s="68" t="s">
        <v>277</v>
      </c>
      <c r="H264" s="69">
        <f t="shared" ref="H264:H287" si="120">IF(E264=0,0,I264-(E264-1))</f>
        <v>739</v>
      </c>
      <c r="I264" s="70">
        <f t="shared" ref="I264:I287" si="121">IF(E264=0,0,H263-1)</f>
        <v>744</v>
      </c>
      <c r="J264" s="73" t="str">
        <f>IF(C264="","--",IF(AND(C264&lt;&gt;"FST",C264&lt;&gt;"TCF",BA263&lt;&gt;0),BA263,"--"))</f>
        <v>--</v>
      </c>
      <c r="K264" s="32"/>
      <c r="L264" s="233"/>
      <c r="M264" s="277" t="s">
        <v>735</v>
      </c>
      <c r="N264" s="277"/>
      <c r="O264" s="277"/>
      <c r="P264" s="277"/>
      <c r="Q264" s="277"/>
      <c r="R264" s="277"/>
      <c r="S264" s="277"/>
      <c r="T264" s="277"/>
      <c r="U264" s="278"/>
      <c r="V264" s="103"/>
      <c r="W264" s="72"/>
      <c r="X264" s="72"/>
      <c r="Y264" s="72"/>
      <c r="Z264" s="45">
        <v>10</v>
      </c>
      <c r="AA264" s="46">
        <v>109</v>
      </c>
      <c r="AB264" s="46">
        <v>120</v>
      </c>
      <c r="AC264" s="72">
        <f t="shared" si="111"/>
        <v>1</v>
      </c>
      <c r="AD264" s="72">
        <f t="shared" si="112"/>
        <v>0</v>
      </c>
      <c r="AE264" s="109" t="str">
        <f t="shared" si="113"/>
        <v>739-744</v>
      </c>
      <c r="AF264" s="109" t="str">
        <f t="shared" si="114"/>
        <v>Y</v>
      </c>
      <c r="AG264" s="109" t="str">
        <f t="shared" si="115"/>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16"/>
        <v>0</v>
      </c>
      <c r="AN264" s="109">
        <f t="shared" si="117"/>
        <v>0</v>
      </c>
      <c r="AO264" s="109" t="str">
        <f t="shared" si="118"/>
        <v/>
      </c>
      <c r="AQ264" s="109" t="str">
        <f t="shared" si="119"/>
        <v/>
      </c>
      <c r="BA264" s="229">
        <f>MOD(SUM(E263:E264),12)</f>
        <v>6</v>
      </c>
    </row>
    <row r="265" spans="1:53" ht="15.75" thickBot="1" x14ac:dyDescent="0.3">
      <c r="A265" s="88"/>
      <c r="B265" s="74" t="s">
        <v>280</v>
      </c>
      <c r="C265" s="67" t="s">
        <v>484</v>
      </c>
      <c r="D265" s="102" t="s">
        <v>749</v>
      </c>
      <c r="E265" s="32">
        <v>4</v>
      </c>
      <c r="F265" s="32" t="s">
        <v>483</v>
      </c>
      <c r="G265" s="75" t="s">
        <v>277</v>
      </c>
      <c r="H265" s="69">
        <f t="shared" si="120"/>
        <v>735</v>
      </c>
      <c r="I265" s="70">
        <f t="shared" si="121"/>
        <v>738</v>
      </c>
      <c r="J265" s="73" t="str">
        <f t="shared" ref="J265:J287" si="122">IF(C265="","--",IF(AND(C265&lt;&gt;"FST",C265&lt;&gt;"TCF",BA264&lt;&gt;0),BA264,"--"))</f>
        <v>--</v>
      </c>
      <c r="K265" s="32"/>
      <c r="L265" s="233"/>
      <c r="M265" s="277"/>
      <c r="N265" s="277"/>
      <c r="O265" s="277"/>
      <c r="P265" s="277"/>
      <c r="Q265" s="277"/>
      <c r="R265" s="277"/>
      <c r="S265" s="277"/>
      <c r="T265" s="277"/>
      <c r="U265" s="278"/>
      <c r="V265" s="103"/>
      <c r="W265" s="72"/>
      <c r="X265" s="72"/>
      <c r="Y265" s="72"/>
      <c r="Z265" s="45">
        <v>11</v>
      </c>
      <c r="AA265" s="46">
        <v>121</v>
      </c>
      <c r="AB265" s="46">
        <v>132</v>
      </c>
      <c r="AC265" s="72">
        <f t="shared" si="111"/>
        <v>1</v>
      </c>
      <c r="AD265" s="72">
        <f t="shared" si="112"/>
        <v>0</v>
      </c>
      <c r="AE265" s="109" t="str">
        <f t="shared" si="113"/>
        <v>735-738</v>
      </c>
      <c r="AF265" s="109" t="str">
        <f t="shared" si="114"/>
        <v>Y</v>
      </c>
      <c r="AG265" s="109" t="str">
        <f t="shared" si="115"/>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16"/>
        <v>0</v>
      </c>
      <c r="AN265" s="109">
        <f t="shared" si="117"/>
        <v>0</v>
      </c>
      <c r="AO265" s="109" t="str">
        <f t="shared" si="118"/>
        <v/>
      </c>
      <c r="AQ265" s="109" t="str">
        <f t="shared" si="119"/>
        <v/>
      </c>
      <c r="BA265" s="229">
        <f>MOD(SUM(E263:E266),12)</f>
        <v>4</v>
      </c>
    </row>
    <row r="266" spans="1:53" ht="15.75" thickBot="1" x14ac:dyDescent="0.3">
      <c r="A266" s="88"/>
      <c r="B266" s="66" t="s">
        <v>281</v>
      </c>
      <c r="C266" s="67" t="s">
        <v>484</v>
      </c>
      <c r="D266" s="102" t="s">
        <v>750</v>
      </c>
      <c r="E266" s="32">
        <v>6</v>
      </c>
      <c r="F266" s="32" t="s">
        <v>483</v>
      </c>
      <c r="G266" s="68" t="s">
        <v>277</v>
      </c>
      <c r="H266" s="69">
        <f t="shared" si="120"/>
        <v>729</v>
      </c>
      <c r="I266" s="70">
        <f t="shared" si="121"/>
        <v>734</v>
      </c>
      <c r="J266" s="73" t="str">
        <f t="shared" si="122"/>
        <v>--</v>
      </c>
      <c r="K266" s="32"/>
      <c r="L266" s="233"/>
      <c r="M266" s="277" t="s">
        <v>735</v>
      </c>
      <c r="N266" s="277"/>
      <c r="O266" s="277"/>
      <c r="P266" s="277"/>
      <c r="Q266" s="277"/>
      <c r="R266" s="277"/>
      <c r="S266" s="277"/>
      <c r="T266" s="277"/>
      <c r="U266" s="278"/>
      <c r="V266" s="103"/>
      <c r="W266" s="72"/>
      <c r="X266" s="72"/>
      <c r="Y266" s="72"/>
      <c r="Z266" s="45">
        <v>12</v>
      </c>
      <c r="AA266" s="76">
        <v>133</v>
      </c>
      <c r="AB266" s="76">
        <v>144</v>
      </c>
      <c r="AC266" s="72">
        <f t="shared" si="111"/>
        <v>1</v>
      </c>
      <c r="AD266" s="72">
        <f t="shared" si="112"/>
        <v>0</v>
      </c>
      <c r="AE266" s="109" t="str">
        <f t="shared" si="113"/>
        <v>729-734</v>
      </c>
      <c r="AF266" s="109" t="str">
        <f t="shared" si="114"/>
        <v>Y</v>
      </c>
      <c r="AG266" s="109" t="str">
        <f t="shared" si="115"/>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16"/>
        <v>0</v>
      </c>
      <c r="AN266" s="109">
        <f t="shared" si="117"/>
        <v>0</v>
      </c>
      <c r="AO266" s="109" t="str">
        <f t="shared" si="118"/>
        <v/>
      </c>
      <c r="AQ266" s="109" t="str">
        <f t="shared" si="119"/>
        <v/>
      </c>
      <c r="BA266" s="229">
        <f>MOD(SUM(E263:E267),12)</f>
        <v>0</v>
      </c>
    </row>
    <row r="267" spans="1:53" ht="15.75" thickBot="1" x14ac:dyDescent="0.3">
      <c r="A267" s="88"/>
      <c r="B267" s="66" t="s">
        <v>282</v>
      </c>
      <c r="C267" s="67" t="s">
        <v>484</v>
      </c>
      <c r="D267" s="102" t="s">
        <v>751</v>
      </c>
      <c r="E267" s="32">
        <v>8</v>
      </c>
      <c r="F267" s="32" t="s">
        <v>483</v>
      </c>
      <c r="G267" s="68" t="s">
        <v>277</v>
      </c>
      <c r="H267" s="69">
        <f t="shared" si="120"/>
        <v>721</v>
      </c>
      <c r="I267" s="70">
        <f t="shared" si="121"/>
        <v>728</v>
      </c>
      <c r="J267" s="73" t="str">
        <f t="shared" si="122"/>
        <v>--</v>
      </c>
      <c r="K267" s="32"/>
      <c r="L267" s="233"/>
      <c r="M267" s="277"/>
      <c r="N267" s="277"/>
      <c r="O267" s="277"/>
      <c r="P267" s="277"/>
      <c r="Q267" s="277"/>
      <c r="R267" s="277"/>
      <c r="S267" s="277"/>
      <c r="T267" s="277"/>
      <c r="U267" s="278"/>
      <c r="V267" s="103"/>
      <c r="W267" s="72"/>
      <c r="X267" s="72"/>
      <c r="Y267" s="72"/>
      <c r="Z267" s="45">
        <v>13</v>
      </c>
      <c r="AA267" s="77">
        <f t="shared" ref="AA267:AA272" si="123">AB266+1</f>
        <v>145</v>
      </c>
      <c r="AB267" s="77">
        <f t="shared" ref="AB267:AB272" si="124">AB266+12</f>
        <v>156</v>
      </c>
      <c r="AC267" s="72">
        <f t="shared" si="111"/>
        <v>1</v>
      </c>
      <c r="AD267" s="72">
        <f t="shared" si="112"/>
        <v>0</v>
      </c>
      <c r="AE267" s="109" t="str">
        <f t="shared" si="113"/>
        <v>721-728</v>
      </c>
      <c r="AF267" s="109" t="str">
        <f t="shared" si="114"/>
        <v>Y</v>
      </c>
      <c r="AG267" s="109" t="str">
        <f t="shared" si="115"/>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16"/>
        <v>0</v>
      </c>
      <c r="AN267" s="109">
        <f t="shared" si="117"/>
        <v>0</v>
      </c>
      <c r="AO267" s="109" t="str">
        <f t="shared" si="118"/>
        <v/>
      </c>
      <c r="AQ267" s="109" t="str">
        <f t="shared" si="119"/>
        <v/>
      </c>
      <c r="BA267" s="229">
        <f>MOD(SUM(E263:E268),12)</f>
        <v>0</v>
      </c>
    </row>
    <row r="268" spans="1:53" ht="15.75" thickBot="1" x14ac:dyDescent="0.3">
      <c r="A268" s="88"/>
      <c r="B268" s="66" t="s">
        <v>283</v>
      </c>
      <c r="C268" s="67" t="s">
        <v>502</v>
      </c>
      <c r="D268" s="102"/>
      <c r="E268" s="32">
        <v>120</v>
      </c>
      <c r="F268" s="32"/>
      <c r="G268" s="68" t="s">
        <v>277</v>
      </c>
      <c r="H268" s="69">
        <f t="shared" si="120"/>
        <v>601</v>
      </c>
      <c r="I268" s="70">
        <f t="shared" si="121"/>
        <v>720</v>
      </c>
      <c r="J268" s="73" t="str">
        <f t="shared" si="122"/>
        <v>--</v>
      </c>
      <c r="K268" s="32"/>
      <c r="L268" s="233"/>
      <c r="M268" s="277" t="s">
        <v>412</v>
      </c>
      <c r="N268" s="277"/>
      <c r="O268" s="277"/>
      <c r="P268" s="277"/>
      <c r="Q268" s="277"/>
      <c r="R268" s="277"/>
      <c r="S268" s="277"/>
      <c r="T268" s="277"/>
      <c r="U268" s="278"/>
      <c r="V268" s="103"/>
      <c r="W268" s="72"/>
      <c r="X268" s="72"/>
      <c r="Y268" s="72"/>
      <c r="Z268" s="45">
        <v>14</v>
      </c>
      <c r="AA268" s="77">
        <f t="shared" si="123"/>
        <v>157</v>
      </c>
      <c r="AB268" s="77">
        <f t="shared" si="124"/>
        <v>168</v>
      </c>
      <c r="AC268" s="72">
        <f t="shared" si="111"/>
        <v>1</v>
      </c>
      <c r="AD268" s="72">
        <f t="shared" si="112"/>
        <v>1</v>
      </c>
      <c r="AE268" s="109" t="str">
        <f t="shared" si="113"/>
        <v>601-720</v>
      </c>
      <c r="AF268" s="109" t="str">
        <f t="shared" si="114"/>
        <v>N</v>
      </c>
      <c r="AG268" s="109" t="str">
        <f t="shared" si="115"/>
        <v>B</v>
      </c>
      <c r="AM268" s="109">
        <f t="shared" si="116"/>
        <v>0</v>
      </c>
      <c r="AN268" s="109">
        <f t="shared" si="117"/>
        <v>0</v>
      </c>
      <c r="AO268" s="109" t="str">
        <f t="shared" si="118"/>
        <v/>
      </c>
      <c r="AQ268" s="109" t="str">
        <f t="shared" si="119"/>
        <v/>
      </c>
      <c r="BA268" s="229">
        <f>MOD(SUM(E263:E269),12)</f>
        <v>0</v>
      </c>
    </row>
    <row r="269" spans="1:53" ht="15.75" thickBot="1" x14ac:dyDescent="0.3">
      <c r="A269" s="88"/>
      <c r="B269" s="66" t="s">
        <v>284</v>
      </c>
      <c r="C269" s="67"/>
      <c r="D269" s="102"/>
      <c r="E269" s="32"/>
      <c r="F269" s="32"/>
      <c r="G269" s="68" t="s">
        <v>277</v>
      </c>
      <c r="H269" s="69">
        <f t="shared" si="120"/>
        <v>0</v>
      </c>
      <c r="I269" s="70">
        <f t="shared" si="121"/>
        <v>0</v>
      </c>
      <c r="J269" s="73" t="str">
        <f t="shared" si="122"/>
        <v>--</v>
      </c>
      <c r="K269" s="32"/>
      <c r="L269" s="233"/>
      <c r="M269" s="277"/>
      <c r="N269" s="277"/>
      <c r="O269" s="277"/>
      <c r="P269" s="277"/>
      <c r="Q269" s="277"/>
      <c r="R269" s="277"/>
      <c r="S269" s="277"/>
      <c r="T269" s="277"/>
      <c r="U269" s="278"/>
      <c r="V269" s="103"/>
      <c r="W269" s="72"/>
      <c r="X269" s="72"/>
      <c r="Y269" s="72"/>
      <c r="Z269" s="45">
        <v>15</v>
      </c>
      <c r="AA269" s="77">
        <f t="shared" si="123"/>
        <v>169</v>
      </c>
      <c r="AB269" s="77">
        <f t="shared" si="124"/>
        <v>180</v>
      </c>
      <c r="AC269" s="72">
        <f t="shared" si="111"/>
        <v>1</v>
      </c>
      <c r="AD269" s="72">
        <f t="shared" si="112"/>
        <v>1</v>
      </c>
      <c r="AE269" s="109" t="str">
        <f t="shared" si="113"/>
        <v>0-0</v>
      </c>
      <c r="AF269" s="109" t="str">
        <f t="shared" si="114"/>
        <v>Y</v>
      </c>
      <c r="AG269" s="109" t="str">
        <f t="shared" si="115"/>
        <v>B</v>
      </c>
      <c r="AM269" s="109">
        <f t="shared" si="116"/>
        <v>0</v>
      </c>
      <c r="AN269" s="109">
        <f t="shared" si="117"/>
        <v>0</v>
      </c>
      <c r="AO269" s="109" t="str">
        <f t="shared" si="118"/>
        <v/>
      </c>
      <c r="AQ269" s="109" t="str">
        <f t="shared" si="119"/>
        <v/>
      </c>
      <c r="BA269" s="229">
        <f>MOD(SUM(E263:E270),12)</f>
        <v>0</v>
      </c>
    </row>
    <row r="270" spans="1:53" ht="15.75" thickBot="1" x14ac:dyDescent="0.3">
      <c r="A270" s="88"/>
      <c r="B270" s="66" t="s">
        <v>285</v>
      </c>
      <c r="C270" s="67"/>
      <c r="D270" s="102"/>
      <c r="E270" s="32"/>
      <c r="F270" s="32"/>
      <c r="G270" s="68" t="s">
        <v>277</v>
      </c>
      <c r="H270" s="69">
        <f t="shared" si="120"/>
        <v>0</v>
      </c>
      <c r="I270" s="70">
        <f t="shared" si="121"/>
        <v>0</v>
      </c>
      <c r="J270" s="73" t="str">
        <f t="shared" si="122"/>
        <v>--</v>
      </c>
      <c r="K270" s="32"/>
      <c r="L270" s="233"/>
      <c r="M270" s="277"/>
      <c r="N270" s="277"/>
      <c r="O270" s="277"/>
      <c r="P270" s="277"/>
      <c r="Q270" s="277"/>
      <c r="R270" s="277"/>
      <c r="S270" s="277"/>
      <c r="T270" s="277"/>
      <c r="U270" s="278"/>
      <c r="V270" s="103"/>
      <c r="W270" s="72"/>
      <c r="X270" s="72"/>
      <c r="Y270" s="72"/>
      <c r="Z270" s="45">
        <f>Z269+1</f>
        <v>16</v>
      </c>
      <c r="AA270" s="77">
        <f t="shared" si="123"/>
        <v>181</v>
      </c>
      <c r="AB270" s="77">
        <f t="shared" si="124"/>
        <v>192</v>
      </c>
      <c r="AC270" s="72">
        <f t="shared" si="111"/>
        <v>1</v>
      </c>
      <c r="AD270" s="72">
        <f t="shared" si="112"/>
        <v>1</v>
      </c>
      <c r="AE270" s="109" t="str">
        <f t="shared" si="113"/>
        <v>0-0</v>
      </c>
      <c r="AF270" s="109" t="str">
        <f t="shared" si="114"/>
        <v>Y</v>
      </c>
      <c r="AG270" s="109" t="str">
        <f t="shared" si="115"/>
        <v>B</v>
      </c>
      <c r="AM270" s="109">
        <f t="shared" si="116"/>
        <v>0</v>
      </c>
      <c r="AN270" s="109">
        <f t="shared" si="117"/>
        <v>0</v>
      </c>
      <c r="AO270" s="109" t="str">
        <f t="shared" si="118"/>
        <v/>
      </c>
      <c r="AQ270" s="109" t="str">
        <f t="shared" si="119"/>
        <v/>
      </c>
      <c r="BA270" s="229">
        <f>MOD(SUM(E263:E271),12)</f>
        <v>0</v>
      </c>
    </row>
    <row r="271" spans="1:53" ht="15.75" thickBot="1" x14ac:dyDescent="0.3">
      <c r="A271" s="88"/>
      <c r="B271" s="66" t="s">
        <v>286</v>
      </c>
      <c r="C271" s="67"/>
      <c r="D271" s="102"/>
      <c r="E271" s="32"/>
      <c r="F271" s="32"/>
      <c r="G271" s="68" t="s">
        <v>277</v>
      </c>
      <c r="H271" s="69">
        <f t="shared" si="120"/>
        <v>0</v>
      </c>
      <c r="I271" s="70">
        <f t="shared" si="121"/>
        <v>0</v>
      </c>
      <c r="J271" s="73" t="str">
        <f t="shared" si="122"/>
        <v>--</v>
      </c>
      <c r="K271" s="32"/>
      <c r="L271" s="233"/>
      <c r="M271" s="277"/>
      <c r="N271" s="277"/>
      <c r="O271" s="277"/>
      <c r="P271" s="277"/>
      <c r="Q271" s="277"/>
      <c r="R271" s="277"/>
      <c r="S271" s="277"/>
      <c r="T271" s="277"/>
      <c r="U271" s="278"/>
      <c r="V271" s="103"/>
      <c r="W271" s="72"/>
      <c r="X271" s="72"/>
      <c r="Y271" s="72"/>
      <c r="Z271" s="45">
        <f>Z270+1</f>
        <v>17</v>
      </c>
      <c r="AA271" s="77">
        <f t="shared" si="123"/>
        <v>193</v>
      </c>
      <c r="AB271" s="77">
        <f t="shared" si="124"/>
        <v>204</v>
      </c>
      <c r="AC271" s="72">
        <f t="shared" si="111"/>
        <v>1</v>
      </c>
      <c r="AD271" s="72">
        <f t="shared" si="112"/>
        <v>1</v>
      </c>
      <c r="AE271" s="109" t="str">
        <f t="shared" si="113"/>
        <v>0-0</v>
      </c>
      <c r="AF271" s="109" t="str">
        <f t="shared" si="114"/>
        <v>Y</v>
      </c>
      <c r="AG271" s="109" t="str">
        <f t="shared" si="115"/>
        <v>B</v>
      </c>
      <c r="AM271" s="109">
        <f t="shared" si="116"/>
        <v>0</v>
      </c>
      <c r="AN271" s="109">
        <f t="shared" si="117"/>
        <v>0</v>
      </c>
      <c r="AO271" s="109" t="str">
        <f t="shared" si="118"/>
        <v/>
      </c>
      <c r="AQ271" s="109" t="str">
        <f t="shared" si="119"/>
        <v/>
      </c>
      <c r="BA271" s="229">
        <f>MOD(SUM(E263:E272),12)</f>
        <v>0</v>
      </c>
    </row>
    <row r="272" spans="1:53" ht="15.75" thickBot="1" x14ac:dyDescent="0.3">
      <c r="A272" s="88"/>
      <c r="B272" s="66" t="s">
        <v>287</v>
      </c>
      <c r="C272" s="67"/>
      <c r="D272" s="102"/>
      <c r="E272" s="32"/>
      <c r="F272" s="32"/>
      <c r="G272" s="68" t="s">
        <v>277</v>
      </c>
      <c r="H272" s="69">
        <f t="shared" si="120"/>
        <v>0</v>
      </c>
      <c r="I272" s="70">
        <f t="shared" si="121"/>
        <v>0</v>
      </c>
      <c r="J272" s="73" t="str">
        <f t="shared" si="122"/>
        <v>--</v>
      </c>
      <c r="K272" s="32"/>
      <c r="L272" s="233"/>
      <c r="M272" s="277"/>
      <c r="N272" s="277"/>
      <c r="O272" s="277"/>
      <c r="P272" s="277"/>
      <c r="Q272" s="277"/>
      <c r="R272" s="277"/>
      <c r="S272" s="277"/>
      <c r="T272" s="277"/>
      <c r="U272" s="278"/>
      <c r="V272" s="103"/>
      <c r="W272" s="72"/>
      <c r="X272" s="72"/>
      <c r="Y272" s="72"/>
      <c r="Z272" s="45">
        <f>Z271+1</f>
        <v>18</v>
      </c>
      <c r="AA272" s="77">
        <f t="shared" si="123"/>
        <v>205</v>
      </c>
      <c r="AB272" s="77">
        <f t="shared" si="124"/>
        <v>216</v>
      </c>
      <c r="AC272" s="72">
        <f t="shared" si="111"/>
        <v>1</v>
      </c>
      <c r="AD272" s="72">
        <f t="shared" si="112"/>
        <v>1</v>
      </c>
      <c r="AE272" s="109" t="str">
        <f t="shared" si="113"/>
        <v>0-0</v>
      </c>
      <c r="AF272" s="109" t="str">
        <f t="shared" si="114"/>
        <v>Y</v>
      </c>
      <c r="AG272" s="109" t="str">
        <f t="shared" si="115"/>
        <v>B</v>
      </c>
      <c r="AM272" s="109">
        <f t="shared" si="116"/>
        <v>0</v>
      </c>
      <c r="AN272" s="109">
        <f t="shared" si="117"/>
        <v>0</v>
      </c>
      <c r="AO272" s="109" t="str">
        <f t="shared" si="118"/>
        <v/>
      </c>
      <c r="AQ272" s="109" t="str">
        <f t="shared" si="119"/>
        <v/>
      </c>
      <c r="BA272" s="229">
        <f>MOD(SUM(E263:E273),12)</f>
        <v>0</v>
      </c>
    </row>
    <row r="273" spans="1:53" ht="15.75" thickBot="1" x14ac:dyDescent="0.3">
      <c r="A273" s="88"/>
      <c r="B273" s="66" t="s">
        <v>288</v>
      </c>
      <c r="C273" s="67"/>
      <c r="D273" s="102"/>
      <c r="E273" s="32"/>
      <c r="F273" s="32"/>
      <c r="G273" s="68" t="s">
        <v>277</v>
      </c>
      <c r="H273" s="69">
        <f t="shared" si="120"/>
        <v>0</v>
      </c>
      <c r="I273" s="70">
        <f t="shared" si="121"/>
        <v>0</v>
      </c>
      <c r="J273" s="73" t="str">
        <f t="shared" si="122"/>
        <v>--</v>
      </c>
      <c r="K273" s="32"/>
      <c r="L273" s="233"/>
      <c r="M273" s="277"/>
      <c r="N273" s="277"/>
      <c r="O273" s="277"/>
      <c r="P273" s="277"/>
      <c r="Q273" s="277"/>
      <c r="R273" s="277"/>
      <c r="S273" s="277"/>
      <c r="T273" s="277"/>
      <c r="U273" s="278"/>
      <c r="V273" s="103"/>
      <c r="W273" s="84"/>
      <c r="X273" s="84"/>
      <c r="Y273" s="72"/>
      <c r="Z273" s="72"/>
      <c r="AA273" s="72"/>
      <c r="AB273" s="72"/>
      <c r="AC273" s="72">
        <f t="shared" si="111"/>
        <v>1</v>
      </c>
      <c r="AD273" s="72">
        <f t="shared" si="112"/>
        <v>1</v>
      </c>
      <c r="AE273" s="109" t="str">
        <f t="shared" si="113"/>
        <v>0-0</v>
      </c>
      <c r="AF273" s="109" t="str">
        <f t="shared" si="114"/>
        <v>Y</v>
      </c>
      <c r="AG273" s="109" t="str">
        <f t="shared" si="115"/>
        <v>B</v>
      </c>
      <c r="AM273" s="109">
        <f t="shared" si="116"/>
        <v>0</v>
      </c>
      <c r="AN273" s="109">
        <f t="shared" si="117"/>
        <v>0</v>
      </c>
      <c r="AO273" s="109" t="str">
        <f t="shared" si="118"/>
        <v/>
      </c>
      <c r="AQ273" s="109" t="str">
        <f t="shared" si="119"/>
        <v/>
      </c>
      <c r="BA273" s="229">
        <f>MOD(SUM(E263:E274),12)</f>
        <v>0</v>
      </c>
    </row>
    <row r="274" spans="1:53" ht="15.75" thickBot="1" x14ac:dyDescent="0.3">
      <c r="A274" s="88"/>
      <c r="B274" s="66" t="s">
        <v>289</v>
      </c>
      <c r="C274" s="67"/>
      <c r="D274" s="102"/>
      <c r="E274" s="32"/>
      <c r="F274" s="32"/>
      <c r="G274" s="68" t="s">
        <v>277</v>
      </c>
      <c r="H274" s="69">
        <f t="shared" si="120"/>
        <v>0</v>
      </c>
      <c r="I274" s="70">
        <f t="shared" si="121"/>
        <v>0</v>
      </c>
      <c r="J274" s="73" t="str">
        <f t="shared" si="122"/>
        <v>--</v>
      </c>
      <c r="K274" s="32"/>
      <c r="L274" s="233"/>
      <c r="M274" s="277"/>
      <c r="N274" s="277"/>
      <c r="O274" s="277"/>
      <c r="P274" s="277"/>
      <c r="Q274" s="277"/>
      <c r="R274" s="277"/>
      <c r="S274" s="277"/>
      <c r="T274" s="277"/>
      <c r="U274" s="278"/>
      <c r="V274" s="103"/>
      <c r="W274" s="84">
        <f>Y274+1</f>
        <v>157</v>
      </c>
      <c r="X274" s="84"/>
      <c r="Y274" s="78">
        <f>SUM(E263:E274)</f>
        <v>156</v>
      </c>
      <c r="Z274" s="72"/>
      <c r="AA274" s="72"/>
      <c r="AB274" s="72"/>
      <c r="AC274" s="72">
        <f t="shared" si="111"/>
        <v>1</v>
      </c>
      <c r="AD274" s="72">
        <f t="shared" si="112"/>
        <v>1</v>
      </c>
      <c r="AE274" s="109" t="str">
        <f t="shared" si="113"/>
        <v>0-0</v>
      </c>
      <c r="AF274" s="109" t="str">
        <f t="shared" si="114"/>
        <v>Y</v>
      </c>
      <c r="AG274" s="109" t="str">
        <f t="shared" si="115"/>
        <v>B</v>
      </c>
      <c r="AM274" s="109">
        <f t="shared" si="116"/>
        <v>0</v>
      </c>
      <c r="AN274" s="109">
        <f t="shared" si="117"/>
        <v>0</v>
      </c>
      <c r="AO274" s="109" t="str">
        <f t="shared" si="118"/>
        <v/>
      </c>
      <c r="AQ274" s="109" t="str">
        <f t="shared" si="119"/>
        <v/>
      </c>
      <c r="BA274" s="229">
        <f>MOD(SUM(E263:E275),12)</f>
        <v>0</v>
      </c>
    </row>
    <row r="275" spans="1:53" ht="15.75" thickBot="1" x14ac:dyDescent="0.3">
      <c r="A275" s="88"/>
      <c r="B275" s="66" t="s">
        <v>290</v>
      </c>
      <c r="C275" s="67"/>
      <c r="D275" s="102"/>
      <c r="E275" s="32"/>
      <c r="F275" s="32"/>
      <c r="G275" s="68" t="s">
        <v>277</v>
      </c>
      <c r="H275" s="69">
        <f t="shared" si="120"/>
        <v>0</v>
      </c>
      <c r="I275" s="70">
        <f t="shared" si="121"/>
        <v>0</v>
      </c>
      <c r="J275" s="73" t="str">
        <f t="shared" si="122"/>
        <v>--</v>
      </c>
      <c r="K275" s="32"/>
      <c r="L275" s="233"/>
      <c r="M275" s="277"/>
      <c r="N275" s="277"/>
      <c r="O275" s="277"/>
      <c r="P275" s="277"/>
      <c r="Q275" s="277"/>
      <c r="R275" s="277"/>
      <c r="S275" s="277"/>
      <c r="T275" s="277"/>
      <c r="U275" s="278"/>
      <c r="V275" s="103"/>
      <c r="W275" s="84">
        <f>Y275+1</f>
        <v>157</v>
      </c>
      <c r="X275" s="84"/>
      <c r="Y275" s="78">
        <f>SUM(E263:E275)</f>
        <v>156</v>
      </c>
      <c r="Z275" s="72" t="str">
        <f t="shared" ref="Z275:Z287" si="125">IF(OR(AND(E$8=216,C274="DBL REV",C275="DBL REV",Y274&lt;=144,Y275&gt;144),AND(E$8=216,C274="TPL REV",C275="TPL REV",Y274&lt;=144,Y275&gt;144),AND(E$8=216,C274="QD REV",C275="QD REV",Y274&lt;=144,Y275&gt;144)),"ERROR","")</f>
        <v/>
      </c>
      <c r="AA275" s="72"/>
      <c r="AB275" s="72"/>
      <c r="AC275" s="72">
        <f t="shared" si="111"/>
        <v>1</v>
      </c>
      <c r="AD275" s="72">
        <f t="shared" si="112"/>
        <v>1</v>
      </c>
      <c r="AE275" s="109" t="str">
        <f t="shared" si="113"/>
        <v>0-0</v>
      </c>
      <c r="AF275" s="109" t="str">
        <f t="shared" si="114"/>
        <v>Y</v>
      </c>
      <c r="AG275" s="109" t="str">
        <f t="shared" si="115"/>
        <v>B</v>
      </c>
      <c r="AM275" s="109">
        <f t="shared" si="116"/>
        <v>0</v>
      </c>
      <c r="AN275" s="109">
        <f t="shared" si="117"/>
        <v>0</v>
      </c>
      <c r="AO275" s="109" t="str">
        <f t="shared" si="118"/>
        <v/>
      </c>
      <c r="AQ275" s="109" t="str">
        <f t="shared" si="119"/>
        <v/>
      </c>
      <c r="BA275" s="229">
        <f>MOD(SUM(E263:E276),12)</f>
        <v>0</v>
      </c>
    </row>
    <row r="276" spans="1:53" ht="15.75" thickBot="1" x14ac:dyDescent="0.3">
      <c r="A276" s="88"/>
      <c r="B276" s="66" t="s">
        <v>291</v>
      </c>
      <c r="C276" s="67"/>
      <c r="D276" s="102"/>
      <c r="E276" s="32"/>
      <c r="F276" s="32"/>
      <c r="G276" s="68" t="s">
        <v>277</v>
      </c>
      <c r="H276" s="69">
        <f t="shared" si="120"/>
        <v>0</v>
      </c>
      <c r="I276" s="70">
        <f t="shared" si="121"/>
        <v>0</v>
      </c>
      <c r="J276" s="73" t="str">
        <f t="shared" si="122"/>
        <v>--</v>
      </c>
      <c r="K276" s="32"/>
      <c r="L276" s="233"/>
      <c r="M276" s="277"/>
      <c r="N276" s="277"/>
      <c r="O276" s="277"/>
      <c r="P276" s="277"/>
      <c r="Q276" s="277"/>
      <c r="R276" s="277"/>
      <c r="S276" s="277"/>
      <c r="T276" s="277"/>
      <c r="U276" s="278"/>
      <c r="V276" s="103"/>
      <c r="W276" s="84">
        <f>Y276+1</f>
        <v>157</v>
      </c>
      <c r="X276" s="84"/>
      <c r="Y276" s="78">
        <f>SUM(E263:E276)</f>
        <v>156</v>
      </c>
      <c r="Z276" s="72" t="str">
        <f t="shared" si="125"/>
        <v/>
      </c>
      <c r="AA276" s="72"/>
      <c r="AB276" s="72"/>
      <c r="AC276" s="72">
        <f t="shared" si="111"/>
        <v>1</v>
      </c>
      <c r="AD276" s="72">
        <f t="shared" si="112"/>
        <v>1</v>
      </c>
      <c r="AE276" s="109" t="str">
        <f t="shared" si="113"/>
        <v>0-0</v>
      </c>
      <c r="AF276" s="109" t="str">
        <f t="shared" si="114"/>
        <v>Y</v>
      </c>
      <c r="AG276" s="109" t="str">
        <f t="shared" si="115"/>
        <v>B</v>
      </c>
      <c r="AM276" s="109">
        <f t="shared" si="116"/>
        <v>0</v>
      </c>
      <c r="AN276" s="109">
        <f t="shared" si="117"/>
        <v>0</v>
      </c>
      <c r="AO276" s="109" t="str">
        <f t="shared" si="118"/>
        <v/>
      </c>
      <c r="AQ276" s="109" t="str">
        <f t="shared" si="119"/>
        <v/>
      </c>
      <c r="BA276" s="229">
        <f>MOD(SUM(E263:E277),12)</f>
        <v>0</v>
      </c>
    </row>
    <row r="277" spans="1:53" ht="15.75" thickBot="1" x14ac:dyDescent="0.3">
      <c r="A277" s="88"/>
      <c r="B277" s="66" t="s">
        <v>292</v>
      </c>
      <c r="C277" s="67"/>
      <c r="D277" s="102"/>
      <c r="E277" s="32"/>
      <c r="F277" s="32"/>
      <c r="G277" s="68" t="s">
        <v>277</v>
      </c>
      <c r="H277" s="69">
        <f t="shared" si="120"/>
        <v>0</v>
      </c>
      <c r="I277" s="70">
        <f t="shared" si="121"/>
        <v>0</v>
      </c>
      <c r="J277" s="73" t="str">
        <f t="shared" si="122"/>
        <v>--</v>
      </c>
      <c r="K277" s="32"/>
      <c r="L277" s="233"/>
      <c r="M277" s="277"/>
      <c r="N277" s="277"/>
      <c r="O277" s="277"/>
      <c r="P277" s="277"/>
      <c r="Q277" s="277"/>
      <c r="R277" s="277"/>
      <c r="S277" s="277"/>
      <c r="T277" s="277"/>
      <c r="U277" s="278"/>
      <c r="V277" s="103"/>
      <c r="W277" s="84">
        <f>Y277+1</f>
        <v>157</v>
      </c>
      <c r="X277" s="84"/>
      <c r="Y277" s="78">
        <f>SUM(E263:E277)</f>
        <v>156</v>
      </c>
      <c r="Z277" s="72" t="str">
        <f t="shared" si="125"/>
        <v/>
      </c>
      <c r="AA277" s="72" t="str">
        <f t="shared" ref="AA277:AA289" si="126">IF(AND(C275&lt;&gt;"Field SPL",W274&lt;=144,Y275&gt;144),"ERROR","")</f>
        <v/>
      </c>
      <c r="AB277" s="72"/>
      <c r="AC277" s="72">
        <f t="shared" si="111"/>
        <v>1</v>
      </c>
      <c r="AD277" s="72">
        <f t="shared" si="112"/>
        <v>1</v>
      </c>
      <c r="AE277" s="109" t="str">
        <f t="shared" si="113"/>
        <v>0-0</v>
      </c>
      <c r="AF277" s="109" t="str">
        <f t="shared" si="114"/>
        <v>Y</v>
      </c>
      <c r="AG277" s="109" t="str">
        <f t="shared" si="115"/>
        <v>B</v>
      </c>
      <c r="AM277" s="109">
        <f t="shared" si="116"/>
        <v>0</v>
      </c>
      <c r="AN277" s="109">
        <f t="shared" si="117"/>
        <v>0</v>
      </c>
      <c r="AO277" s="109" t="str">
        <f t="shared" si="118"/>
        <v/>
      </c>
      <c r="AQ277" s="109" t="str">
        <f t="shared" si="119"/>
        <v/>
      </c>
      <c r="BA277" s="229">
        <f>MOD(SUM(E263:E278),12)</f>
        <v>0</v>
      </c>
    </row>
    <row r="278" spans="1:53" ht="15.75" thickBot="1" x14ac:dyDescent="0.3">
      <c r="A278" s="88"/>
      <c r="B278" s="66" t="s">
        <v>293</v>
      </c>
      <c r="C278" s="67"/>
      <c r="D278" s="102"/>
      <c r="E278" s="32"/>
      <c r="F278" s="32"/>
      <c r="G278" s="68" t="s">
        <v>277</v>
      </c>
      <c r="H278" s="69">
        <f t="shared" si="120"/>
        <v>0</v>
      </c>
      <c r="I278" s="70">
        <f t="shared" si="121"/>
        <v>0</v>
      </c>
      <c r="J278" s="73" t="str">
        <f t="shared" si="122"/>
        <v>--</v>
      </c>
      <c r="K278" s="32"/>
      <c r="L278" s="233"/>
      <c r="M278" s="277"/>
      <c r="N278" s="277"/>
      <c r="O278" s="277"/>
      <c r="P278" s="277"/>
      <c r="Q278" s="277"/>
      <c r="R278" s="277"/>
      <c r="S278" s="277"/>
      <c r="T278" s="277"/>
      <c r="U278" s="278"/>
      <c r="V278" s="103"/>
      <c r="W278" s="84">
        <f t="shared" ref="W278:W286" si="127">Y278+1</f>
        <v>157</v>
      </c>
      <c r="X278" s="84"/>
      <c r="Y278" s="78">
        <f>SUM(E263:E278)</f>
        <v>156</v>
      </c>
      <c r="Z278" s="72" t="str">
        <f t="shared" si="125"/>
        <v/>
      </c>
      <c r="AA278" s="72" t="str">
        <f t="shared" si="126"/>
        <v/>
      </c>
      <c r="AB278" s="72"/>
      <c r="AC278" s="72">
        <f t="shared" si="111"/>
        <v>1</v>
      </c>
      <c r="AD278" s="72">
        <f t="shared" si="112"/>
        <v>1</v>
      </c>
      <c r="AE278" s="109" t="str">
        <f t="shared" si="113"/>
        <v>0-0</v>
      </c>
      <c r="AF278" s="109" t="str">
        <f t="shared" si="114"/>
        <v>Y</v>
      </c>
      <c r="AG278" s="109" t="str">
        <f t="shared" si="115"/>
        <v>B</v>
      </c>
      <c r="AM278" s="109">
        <f t="shared" si="116"/>
        <v>0</v>
      </c>
      <c r="AN278" s="109">
        <f t="shared" si="117"/>
        <v>0</v>
      </c>
      <c r="AO278" s="109" t="str">
        <f t="shared" si="118"/>
        <v/>
      </c>
      <c r="AQ278" s="109" t="str">
        <f t="shared" si="119"/>
        <v/>
      </c>
      <c r="BA278" s="229">
        <f>MOD(SUM(E263:E279),12)</f>
        <v>0</v>
      </c>
    </row>
    <row r="279" spans="1:53" ht="15.75" thickBot="1" x14ac:dyDescent="0.3">
      <c r="A279" s="88"/>
      <c r="B279" s="66" t="s">
        <v>294</v>
      </c>
      <c r="C279" s="67"/>
      <c r="D279" s="102"/>
      <c r="E279" s="32"/>
      <c r="F279" s="32"/>
      <c r="G279" s="68" t="s">
        <v>277</v>
      </c>
      <c r="H279" s="69">
        <f t="shared" si="120"/>
        <v>0</v>
      </c>
      <c r="I279" s="70">
        <f t="shared" si="121"/>
        <v>0</v>
      </c>
      <c r="J279" s="73" t="str">
        <f t="shared" si="122"/>
        <v>--</v>
      </c>
      <c r="K279" s="32"/>
      <c r="L279" s="233"/>
      <c r="M279" s="277"/>
      <c r="N279" s="277"/>
      <c r="O279" s="277"/>
      <c r="P279" s="277"/>
      <c r="Q279" s="277"/>
      <c r="R279" s="277"/>
      <c r="S279" s="277"/>
      <c r="T279" s="277"/>
      <c r="U279" s="278"/>
      <c r="V279" s="103"/>
      <c r="W279" s="84">
        <f t="shared" si="127"/>
        <v>157</v>
      </c>
      <c r="X279" s="84"/>
      <c r="Y279" s="78">
        <f>SUM(E263:E279)</f>
        <v>156</v>
      </c>
      <c r="Z279" s="72" t="str">
        <f t="shared" si="125"/>
        <v/>
      </c>
      <c r="AA279" s="72" t="str">
        <f t="shared" si="126"/>
        <v/>
      </c>
      <c r="AB279" s="72"/>
      <c r="AC279" s="72">
        <f t="shared" si="111"/>
        <v>1</v>
      </c>
      <c r="AD279" s="72">
        <f t="shared" si="112"/>
        <v>1</v>
      </c>
      <c r="AE279" s="109" t="str">
        <f t="shared" si="113"/>
        <v>0-0</v>
      </c>
      <c r="AF279" s="109" t="str">
        <f t="shared" si="114"/>
        <v>Y</v>
      </c>
      <c r="AG279" s="109" t="str">
        <f t="shared" si="115"/>
        <v>B</v>
      </c>
      <c r="AM279" s="109">
        <f t="shared" si="116"/>
        <v>0</v>
      </c>
      <c r="AN279" s="109">
        <f t="shared" si="117"/>
        <v>0</v>
      </c>
      <c r="AO279" s="109" t="str">
        <f t="shared" si="118"/>
        <v/>
      </c>
      <c r="AQ279" s="109" t="str">
        <f t="shared" si="119"/>
        <v/>
      </c>
      <c r="BA279" s="229">
        <f>MOD(SUM(E263:E280),12)</f>
        <v>0</v>
      </c>
    </row>
    <row r="280" spans="1:53" ht="15.75" thickBot="1" x14ac:dyDescent="0.3">
      <c r="A280" s="88"/>
      <c r="B280" s="66" t="s">
        <v>295</v>
      </c>
      <c r="C280" s="67"/>
      <c r="D280" s="102"/>
      <c r="E280" s="32"/>
      <c r="F280" s="32"/>
      <c r="G280" s="68" t="s">
        <v>277</v>
      </c>
      <c r="H280" s="69">
        <f t="shared" si="120"/>
        <v>0</v>
      </c>
      <c r="I280" s="70">
        <f t="shared" si="121"/>
        <v>0</v>
      </c>
      <c r="J280" s="73" t="str">
        <f t="shared" si="122"/>
        <v>--</v>
      </c>
      <c r="K280" s="32"/>
      <c r="L280" s="233"/>
      <c r="M280" s="277"/>
      <c r="N280" s="277"/>
      <c r="O280" s="277"/>
      <c r="P280" s="277"/>
      <c r="Q280" s="277"/>
      <c r="R280" s="277"/>
      <c r="S280" s="277"/>
      <c r="T280" s="277"/>
      <c r="U280" s="278"/>
      <c r="V280" s="103"/>
      <c r="W280" s="84">
        <f t="shared" si="127"/>
        <v>157</v>
      </c>
      <c r="X280" s="84"/>
      <c r="Y280" s="78">
        <f>SUM(E263:E280)</f>
        <v>156</v>
      </c>
      <c r="Z280" s="72" t="str">
        <f t="shared" si="125"/>
        <v/>
      </c>
      <c r="AA280" s="72" t="str">
        <f t="shared" si="126"/>
        <v/>
      </c>
      <c r="AB280" s="72"/>
      <c r="AC280" s="72">
        <f t="shared" si="111"/>
        <v>1</v>
      </c>
      <c r="AD280" s="72">
        <f t="shared" si="112"/>
        <v>1</v>
      </c>
      <c r="AE280" s="109" t="str">
        <f t="shared" si="113"/>
        <v>0-0</v>
      </c>
      <c r="AF280" s="109" t="str">
        <f t="shared" si="114"/>
        <v>Y</v>
      </c>
      <c r="AG280" s="109" t="str">
        <f t="shared" si="115"/>
        <v>B</v>
      </c>
      <c r="AM280" s="109">
        <f t="shared" si="116"/>
        <v>0</v>
      </c>
      <c r="AN280" s="109">
        <f t="shared" si="117"/>
        <v>0</v>
      </c>
      <c r="AO280" s="109" t="str">
        <f t="shared" si="118"/>
        <v/>
      </c>
      <c r="AQ280" s="109" t="str">
        <f t="shared" si="119"/>
        <v/>
      </c>
      <c r="BA280" s="229">
        <f>MOD(SUM(E263:E281),12)</f>
        <v>0</v>
      </c>
    </row>
    <row r="281" spans="1:53" ht="15.75" thickBot="1" x14ac:dyDescent="0.3">
      <c r="A281" s="88"/>
      <c r="B281" s="66" t="s">
        <v>296</v>
      </c>
      <c r="C281" s="67"/>
      <c r="D281" s="102"/>
      <c r="E281" s="32"/>
      <c r="F281" s="32"/>
      <c r="G281" s="68" t="s">
        <v>277</v>
      </c>
      <c r="H281" s="69">
        <f t="shared" si="120"/>
        <v>0</v>
      </c>
      <c r="I281" s="70">
        <f t="shared" si="121"/>
        <v>0</v>
      </c>
      <c r="J281" s="73" t="str">
        <f t="shared" si="122"/>
        <v>--</v>
      </c>
      <c r="K281" s="32"/>
      <c r="L281" s="233"/>
      <c r="M281" s="277"/>
      <c r="N281" s="277"/>
      <c r="O281" s="277"/>
      <c r="P281" s="277"/>
      <c r="Q281" s="277"/>
      <c r="R281" s="277"/>
      <c r="S281" s="277"/>
      <c r="T281" s="277"/>
      <c r="U281" s="278"/>
      <c r="V281" s="103"/>
      <c r="W281" s="84">
        <f t="shared" si="127"/>
        <v>157</v>
      </c>
      <c r="X281" s="84"/>
      <c r="Y281" s="78">
        <f>SUM(E263:E281)</f>
        <v>156</v>
      </c>
      <c r="Z281" s="72" t="str">
        <f t="shared" si="125"/>
        <v/>
      </c>
      <c r="AA281" s="72" t="str">
        <f t="shared" si="126"/>
        <v/>
      </c>
      <c r="AB281" s="72"/>
      <c r="AC281" s="72">
        <f t="shared" si="111"/>
        <v>1</v>
      </c>
      <c r="AD281" s="72">
        <f t="shared" si="112"/>
        <v>1</v>
      </c>
      <c r="AE281" s="109" t="str">
        <f t="shared" si="113"/>
        <v>0-0</v>
      </c>
      <c r="AF281" s="109" t="str">
        <f t="shared" si="114"/>
        <v>Y</v>
      </c>
      <c r="AG281" s="109" t="str">
        <f t="shared" si="115"/>
        <v>B</v>
      </c>
      <c r="AM281" s="109">
        <f t="shared" si="116"/>
        <v>0</v>
      </c>
      <c r="AN281" s="109">
        <f t="shared" si="117"/>
        <v>0</v>
      </c>
      <c r="AO281" s="109" t="str">
        <f t="shared" si="118"/>
        <v/>
      </c>
      <c r="AQ281" s="109" t="str">
        <f t="shared" si="119"/>
        <v/>
      </c>
      <c r="BA281" s="229">
        <f>MOD(SUM(E263:E282),12)</f>
        <v>0</v>
      </c>
    </row>
    <row r="282" spans="1:53" ht="15.75" thickBot="1" x14ac:dyDescent="0.3">
      <c r="A282" s="88"/>
      <c r="B282" s="66" t="s">
        <v>297</v>
      </c>
      <c r="C282" s="67"/>
      <c r="D282" s="102"/>
      <c r="E282" s="32"/>
      <c r="F282" s="32"/>
      <c r="G282" s="68" t="s">
        <v>277</v>
      </c>
      <c r="H282" s="69">
        <f t="shared" si="120"/>
        <v>0</v>
      </c>
      <c r="I282" s="70">
        <f t="shared" si="121"/>
        <v>0</v>
      </c>
      <c r="J282" s="73" t="str">
        <f t="shared" si="122"/>
        <v>--</v>
      </c>
      <c r="K282" s="32"/>
      <c r="L282" s="233"/>
      <c r="M282" s="277"/>
      <c r="N282" s="277"/>
      <c r="O282" s="277"/>
      <c r="P282" s="277"/>
      <c r="Q282" s="277"/>
      <c r="R282" s="277"/>
      <c r="S282" s="277"/>
      <c r="T282" s="277"/>
      <c r="U282" s="278"/>
      <c r="V282" s="103"/>
      <c r="W282" s="84">
        <f t="shared" si="127"/>
        <v>157</v>
      </c>
      <c r="X282" s="84"/>
      <c r="Y282" s="78">
        <f>SUM(E263:E282)</f>
        <v>156</v>
      </c>
      <c r="Z282" s="72" t="str">
        <f t="shared" si="125"/>
        <v/>
      </c>
      <c r="AA282" s="72" t="str">
        <f t="shared" si="126"/>
        <v/>
      </c>
      <c r="AB282" s="72"/>
      <c r="AC282" s="72">
        <f t="shared" si="111"/>
        <v>1</v>
      </c>
      <c r="AD282" s="72">
        <f t="shared" si="112"/>
        <v>1</v>
      </c>
      <c r="AE282" s="109" t="str">
        <f t="shared" si="113"/>
        <v>0-0</v>
      </c>
      <c r="AF282" s="109" t="str">
        <f t="shared" si="114"/>
        <v>Y</v>
      </c>
      <c r="AG282" s="109" t="str">
        <f t="shared" si="115"/>
        <v>B</v>
      </c>
      <c r="AM282" s="109">
        <f t="shared" si="116"/>
        <v>0</v>
      </c>
      <c r="AN282" s="109">
        <f t="shared" si="117"/>
        <v>0</v>
      </c>
      <c r="AO282" s="109" t="str">
        <f t="shared" si="118"/>
        <v/>
      </c>
      <c r="AQ282" s="109" t="str">
        <f t="shared" si="119"/>
        <v/>
      </c>
      <c r="BA282" s="229">
        <f>MOD(SUM(E263:E283),12)</f>
        <v>0</v>
      </c>
    </row>
    <row r="283" spans="1:53" ht="15.75" thickBot="1" x14ac:dyDescent="0.3">
      <c r="A283" s="88"/>
      <c r="B283" s="66" t="s">
        <v>298</v>
      </c>
      <c r="C283" s="67"/>
      <c r="D283" s="102"/>
      <c r="E283" s="32"/>
      <c r="F283" s="32"/>
      <c r="G283" s="68" t="s">
        <v>277</v>
      </c>
      <c r="H283" s="69">
        <f t="shared" si="120"/>
        <v>0</v>
      </c>
      <c r="I283" s="70">
        <f t="shared" si="121"/>
        <v>0</v>
      </c>
      <c r="J283" s="73" t="str">
        <f t="shared" si="122"/>
        <v>--</v>
      </c>
      <c r="K283" s="32"/>
      <c r="L283" s="233"/>
      <c r="M283" s="277"/>
      <c r="N283" s="277"/>
      <c r="O283" s="277"/>
      <c r="P283" s="277"/>
      <c r="Q283" s="277"/>
      <c r="R283" s="277"/>
      <c r="S283" s="277"/>
      <c r="T283" s="277"/>
      <c r="U283" s="278"/>
      <c r="V283" s="103"/>
      <c r="W283" s="84">
        <f t="shared" si="127"/>
        <v>157</v>
      </c>
      <c r="X283" s="84"/>
      <c r="Y283" s="78">
        <f>SUM(E263:E283)</f>
        <v>156</v>
      </c>
      <c r="Z283" s="72" t="str">
        <f t="shared" si="125"/>
        <v/>
      </c>
      <c r="AA283" s="72" t="str">
        <f t="shared" si="126"/>
        <v/>
      </c>
      <c r="AB283" s="72"/>
      <c r="AC283" s="72">
        <f t="shared" si="111"/>
        <v>1</v>
      </c>
      <c r="AD283" s="72">
        <f t="shared" si="112"/>
        <v>1</v>
      </c>
      <c r="AE283" s="109" t="str">
        <f t="shared" si="113"/>
        <v>0-0</v>
      </c>
      <c r="AF283" s="109" t="str">
        <f t="shared" si="114"/>
        <v>Y</v>
      </c>
      <c r="AG283" s="109" t="str">
        <f t="shared" si="115"/>
        <v>B</v>
      </c>
      <c r="AM283" s="109">
        <f t="shared" si="116"/>
        <v>0</v>
      </c>
      <c r="AN283" s="109">
        <f t="shared" si="117"/>
        <v>0</v>
      </c>
      <c r="AO283" s="109" t="str">
        <f t="shared" si="118"/>
        <v/>
      </c>
      <c r="AQ283" s="109" t="str">
        <f t="shared" si="119"/>
        <v/>
      </c>
      <c r="BA283" s="229">
        <f>MOD(SUM(E263:E284),12)</f>
        <v>0</v>
      </c>
    </row>
    <row r="284" spans="1:53" ht="15.75" thickBot="1" x14ac:dyDescent="0.3">
      <c r="A284" s="88"/>
      <c r="B284" s="66" t="s">
        <v>299</v>
      </c>
      <c r="C284" s="67"/>
      <c r="D284" s="102"/>
      <c r="E284" s="32"/>
      <c r="F284" s="32"/>
      <c r="G284" s="68" t="s">
        <v>277</v>
      </c>
      <c r="H284" s="69">
        <f t="shared" si="120"/>
        <v>0</v>
      </c>
      <c r="I284" s="70">
        <f t="shared" si="121"/>
        <v>0</v>
      </c>
      <c r="J284" s="73" t="str">
        <f t="shared" si="122"/>
        <v>--</v>
      </c>
      <c r="K284" s="32"/>
      <c r="L284" s="233"/>
      <c r="M284" s="277"/>
      <c r="N284" s="277"/>
      <c r="O284" s="277"/>
      <c r="P284" s="277"/>
      <c r="Q284" s="277"/>
      <c r="R284" s="277"/>
      <c r="S284" s="277"/>
      <c r="T284" s="277"/>
      <c r="U284" s="278"/>
      <c r="V284" s="103"/>
      <c r="W284" s="84">
        <f t="shared" si="127"/>
        <v>157</v>
      </c>
      <c r="X284" s="84"/>
      <c r="Y284" s="78">
        <f>SUM(E263:E284)</f>
        <v>156</v>
      </c>
      <c r="Z284" s="72" t="str">
        <f t="shared" si="125"/>
        <v/>
      </c>
      <c r="AA284" s="72" t="str">
        <f t="shared" si="126"/>
        <v/>
      </c>
      <c r="AB284" s="72"/>
      <c r="AC284" s="72">
        <f t="shared" si="111"/>
        <v>1</v>
      </c>
      <c r="AD284" s="72">
        <f t="shared" si="112"/>
        <v>1</v>
      </c>
      <c r="AE284" s="109" t="str">
        <f t="shared" si="113"/>
        <v>0-0</v>
      </c>
      <c r="AF284" s="109" t="str">
        <f t="shared" si="114"/>
        <v>Y</v>
      </c>
      <c r="AG284" s="109" t="str">
        <f t="shared" si="115"/>
        <v>B</v>
      </c>
      <c r="AM284" s="109">
        <f t="shared" si="116"/>
        <v>0</v>
      </c>
      <c r="AN284" s="109">
        <f t="shared" si="117"/>
        <v>0</v>
      </c>
      <c r="AO284" s="109" t="str">
        <f t="shared" si="118"/>
        <v/>
      </c>
      <c r="AQ284" s="109" t="str">
        <f t="shared" si="119"/>
        <v/>
      </c>
      <c r="BA284" s="229">
        <f>MOD(SUM(E263:E285),12)</f>
        <v>0</v>
      </c>
    </row>
    <row r="285" spans="1:53" ht="15.75" thickBot="1" x14ac:dyDescent="0.3">
      <c r="A285" s="88"/>
      <c r="B285" s="66" t="s">
        <v>300</v>
      </c>
      <c r="C285" s="67"/>
      <c r="D285" s="102"/>
      <c r="E285" s="32"/>
      <c r="F285" s="32"/>
      <c r="G285" s="68" t="s">
        <v>277</v>
      </c>
      <c r="H285" s="69">
        <f t="shared" si="120"/>
        <v>0</v>
      </c>
      <c r="I285" s="70">
        <f t="shared" si="121"/>
        <v>0</v>
      </c>
      <c r="J285" s="73" t="str">
        <f t="shared" si="122"/>
        <v>--</v>
      </c>
      <c r="K285" s="32"/>
      <c r="L285" s="233"/>
      <c r="M285" s="277"/>
      <c r="N285" s="277"/>
      <c r="O285" s="277"/>
      <c r="P285" s="277"/>
      <c r="Q285" s="277"/>
      <c r="R285" s="277"/>
      <c r="S285" s="277"/>
      <c r="T285" s="277"/>
      <c r="U285" s="278"/>
      <c r="V285" s="103"/>
      <c r="W285" s="84">
        <f t="shared" si="127"/>
        <v>157</v>
      </c>
      <c r="X285" s="84"/>
      <c r="Y285" s="78">
        <f>SUM(E263:E285)</f>
        <v>156</v>
      </c>
      <c r="Z285" s="72" t="str">
        <f t="shared" si="125"/>
        <v/>
      </c>
      <c r="AA285" s="72" t="str">
        <f t="shared" si="126"/>
        <v/>
      </c>
      <c r="AB285" s="72"/>
      <c r="AC285" s="72">
        <f t="shared" si="111"/>
        <v>1</v>
      </c>
      <c r="AD285" s="72">
        <f t="shared" si="112"/>
        <v>1</v>
      </c>
      <c r="AE285" s="109" t="str">
        <f t="shared" si="113"/>
        <v>0-0</v>
      </c>
      <c r="AF285" s="109" t="str">
        <f t="shared" si="114"/>
        <v>Y</v>
      </c>
      <c r="AG285" s="109" t="str">
        <f t="shared" si="115"/>
        <v>B</v>
      </c>
      <c r="AM285" s="109">
        <f t="shared" si="116"/>
        <v>0</v>
      </c>
      <c r="AN285" s="109">
        <f t="shared" si="117"/>
        <v>0</v>
      </c>
      <c r="AO285" s="109" t="str">
        <f t="shared" si="118"/>
        <v/>
      </c>
      <c r="AQ285" s="109" t="str">
        <f t="shared" si="119"/>
        <v/>
      </c>
      <c r="BA285" s="229">
        <f>MOD(SUM(E263:E286),12)</f>
        <v>0</v>
      </c>
    </row>
    <row r="286" spans="1:53" ht="15.75" thickBot="1" x14ac:dyDescent="0.3">
      <c r="A286" s="88"/>
      <c r="B286" s="66" t="s">
        <v>301</v>
      </c>
      <c r="C286" s="67"/>
      <c r="D286" s="102"/>
      <c r="E286" s="32"/>
      <c r="F286" s="32"/>
      <c r="G286" s="68" t="s">
        <v>277</v>
      </c>
      <c r="H286" s="69">
        <f t="shared" si="120"/>
        <v>0</v>
      </c>
      <c r="I286" s="70">
        <f t="shared" si="121"/>
        <v>0</v>
      </c>
      <c r="J286" s="73" t="str">
        <f t="shared" si="122"/>
        <v>--</v>
      </c>
      <c r="K286" s="32"/>
      <c r="L286" s="233"/>
      <c r="M286" s="277"/>
      <c r="N286" s="277"/>
      <c r="O286" s="277"/>
      <c r="P286" s="277"/>
      <c r="Q286" s="277"/>
      <c r="R286" s="277"/>
      <c r="S286" s="277"/>
      <c r="T286" s="277"/>
      <c r="U286" s="278"/>
      <c r="V286" s="103"/>
      <c r="W286" s="84">
        <f t="shared" si="127"/>
        <v>157</v>
      </c>
      <c r="X286" s="84"/>
      <c r="Y286" s="78">
        <f>SUM(E263:E286)</f>
        <v>156</v>
      </c>
      <c r="Z286" s="72" t="str">
        <f t="shared" si="125"/>
        <v/>
      </c>
      <c r="AA286" s="72" t="str">
        <f t="shared" si="126"/>
        <v/>
      </c>
      <c r="AB286" s="72"/>
      <c r="AC286" s="72">
        <f t="shared" si="111"/>
        <v>1</v>
      </c>
      <c r="AD286" s="72">
        <f t="shared" si="112"/>
        <v>1</v>
      </c>
      <c r="AE286" s="109" t="str">
        <f t="shared" si="113"/>
        <v>0-0</v>
      </c>
      <c r="AF286" s="109" t="str">
        <f t="shared" si="114"/>
        <v>Y</v>
      </c>
      <c r="AG286" s="109" t="str">
        <f t="shared" si="115"/>
        <v>B</v>
      </c>
      <c r="AM286" s="109">
        <f t="shared" si="116"/>
        <v>0</v>
      </c>
      <c r="AN286" s="109">
        <f t="shared" si="117"/>
        <v>0</v>
      </c>
      <c r="AO286" s="109" t="str">
        <f t="shared" si="118"/>
        <v/>
      </c>
      <c r="AQ286" s="109" t="str">
        <f t="shared" si="119"/>
        <v/>
      </c>
      <c r="BA286" s="229">
        <f>MOD(SUM(E263:E287),12)</f>
        <v>0</v>
      </c>
    </row>
    <row r="287" spans="1:53" ht="15.75" thickBot="1" x14ac:dyDescent="0.3">
      <c r="A287" s="88"/>
      <c r="B287" s="66" t="s">
        <v>302</v>
      </c>
      <c r="C287" s="67"/>
      <c r="D287" s="102"/>
      <c r="E287" s="32"/>
      <c r="F287" s="32"/>
      <c r="G287" s="68" t="s">
        <v>277</v>
      </c>
      <c r="H287" s="69">
        <f t="shared" si="120"/>
        <v>0</v>
      </c>
      <c r="I287" s="70">
        <f t="shared" si="121"/>
        <v>0</v>
      </c>
      <c r="J287" s="73" t="str">
        <f t="shared" si="122"/>
        <v>--</v>
      </c>
      <c r="K287" s="32"/>
      <c r="L287" s="234"/>
      <c r="M287" s="277"/>
      <c r="N287" s="277"/>
      <c r="O287" s="277"/>
      <c r="P287" s="277"/>
      <c r="Q287" s="277"/>
      <c r="R287" s="277"/>
      <c r="S287" s="277"/>
      <c r="T287" s="277"/>
      <c r="U287" s="278"/>
      <c r="V287" s="103"/>
      <c r="W287" s="72"/>
      <c r="X287" s="72"/>
      <c r="Y287" s="78">
        <f>SUM(E263:E287)</f>
        <v>156</v>
      </c>
      <c r="Z287" s="72" t="str">
        <f t="shared" si="125"/>
        <v/>
      </c>
      <c r="AA287" s="72" t="str">
        <f t="shared" si="126"/>
        <v/>
      </c>
      <c r="AB287" s="72"/>
      <c r="AC287" s="72">
        <f t="shared" si="111"/>
        <v>1</v>
      </c>
      <c r="AD287" s="72">
        <f t="shared" si="112"/>
        <v>1</v>
      </c>
      <c r="AE287" s="109" t="str">
        <f t="shared" si="113"/>
        <v>0-0</v>
      </c>
      <c r="AF287" s="109" t="str">
        <f t="shared" si="114"/>
        <v>Y</v>
      </c>
      <c r="AG287" s="109" t="str">
        <f t="shared" si="115"/>
        <v>B</v>
      </c>
      <c r="AM287" s="109">
        <f t="shared" si="116"/>
        <v>0</v>
      </c>
      <c r="AN287" s="109">
        <f t="shared" si="117"/>
        <v>0</v>
      </c>
      <c r="AO287" s="109" t="str">
        <f t="shared" si="118"/>
        <v/>
      </c>
      <c r="AQ287" s="109" t="str">
        <f t="shared" si="119"/>
        <v/>
      </c>
      <c r="BA287" s="228"/>
    </row>
    <row r="288" spans="1:53" ht="16.5" thickBot="1" x14ac:dyDescent="0.3">
      <c r="A288" s="88"/>
      <c r="B288" s="319" t="s">
        <v>317</v>
      </c>
      <c r="C288" s="320"/>
      <c r="D288" s="79"/>
      <c r="E288" s="80"/>
      <c r="F288" s="80"/>
      <c r="G288" s="81"/>
      <c r="H288" s="192"/>
      <c r="I288" s="192"/>
      <c r="J288" s="192"/>
      <c r="K288" s="82"/>
      <c r="L288" s="319" t="s">
        <v>306</v>
      </c>
      <c r="M288" s="330"/>
      <c r="N288" s="330"/>
      <c r="O288" s="330"/>
      <c r="P288" s="330"/>
      <c r="Q288" s="330"/>
      <c r="R288" s="330"/>
      <c r="S288" s="330"/>
      <c r="T288" s="330"/>
      <c r="U288" s="320"/>
      <c r="V288" s="104"/>
      <c r="W288" s="72"/>
      <c r="X288" s="72"/>
      <c r="Y288" s="72"/>
      <c r="Z288" s="72"/>
      <c r="AA288" s="72" t="str">
        <f t="shared" si="126"/>
        <v/>
      </c>
      <c r="AB288" s="72"/>
      <c r="AC288" s="72">
        <f>SUM(AC263:AC287)</f>
        <v>25</v>
      </c>
      <c r="AD288" s="72">
        <f>SUM(AD263:AD287)</f>
        <v>21</v>
      </c>
      <c r="AM288" s="109">
        <f>SUM(AM263:AM287)</f>
        <v>1</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319" t="s">
        <v>307</v>
      </c>
      <c r="C289" s="320"/>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26"/>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312" t="s">
        <v>222</v>
      </c>
      <c r="C293" s="313"/>
      <c r="D293" s="314" t="s">
        <v>223</v>
      </c>
      <c r="E293" s="305"/>
      <c r="F293" s="88"/>
      <c r="G293" s="315" t="s">
        <v>224</v>
      </c>
      <c r="H293" s="316"/>
      <c r="I293" s="28">
        <f>SUM(E304:E328)</f>
        <v>36</v>
      </c>
      <c r="J293" s="317" t="s">
        <v>225</v>
      </c>
      <c r="K293" s="318"/>
      <c r="L293" s="305"/>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5" t="s">
        <v>226</v>
      </c>
      <c r="AA293" s="296"/>
      <c r="AB293" s="297"/>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EUC</v>
      </c>
      <c r="F294" s="88"/>
      <c r="G294" s="304" t="s">
        <v>230</v>
      </c>
      <c r="H294" s="305"/>
      <c r="I294" s="33">
        <f>E295-I293</f>
        <v>396</v>
      </c>
      <c r="J294" s="289" t="s">
        <v>231</v>
      </c>
      <c r="K294" s="290"/>
      <c r="L294" s="34">
        <f>I298</f>
        <v>577</v>
      </c>
      <c r="M294" s="196">
        <v>4</v>
      </c>
      <c r="N294" s="35">
        <f>SUM(AI294,AI305)</f>
        <v>0</v>
      </c>
      <c r="O294" s="35">
        <v>0</v>
      </c>
      <c r="P294" s="35">
        <f>SUM(AJ294,AJ305)</f>
        <v>0</v>
      </c>
      <c r="Q294" s="35">
        <v>0</v>
      </c>
      <c r="R294" s="35">
        <f>COUNTIFS($E304:$E328,"4",$F304:$F328,"Pole",$C304:$C328,"FST")</f>
        <v>0</v>
      </c>
      <c r="S294" s="35">
        <f>SUM(AL294,AK305)</f>
        <v>0</v>
      </c>
      <c r="T294" s="35">
        <v>0</v>
      </c>
      <c r="U294" s="35">
        <f>SUM(AK294,AL305)</f>
        <v>1</v>
      </c>
      <c r="V294" s="35">
        <v>0</v>
      </c>
      <c r="W294" s="34">
        <f>COUNTIFS($E304:$E328,"4",$F304:$F328,"HH",$C304:$C328,"FST")</f>
        <v>1</v>
      </c>
      <c r="X294" s="35">
        <f>COUNTIFS($E304:$E328,"4",$F304:$F328,"Ped",$C304:$C328,"FST")</f>
        <v>0</v>
      </c>
      <c r="Y294" s="25"/>
      <c r="Z294" s="298" t="s">
        <v>232</v>
      </c>
      <c r="AA294" s="300" t="s">
        <v>233</v>
      </c>
      <c r="AB294" s="301"/>
      <c r="AC294" s="25"/>
      <c r="AD294" s="25"/>
      <c r="AH294" s="109">
        <v>4</v>
      </c>
      <c r="AI294" s="109" t="str">
        <f>IF($E294="SS",COUNTIFS($C304:$C328,"FST",$E304:$E328,"4"),"0")</f>
        <v>0</v>
      </c>
      <c r="AJ294" s="109" t="str">
        <f>IF($E294="RPX",COUNTIFS($C304:$C328,"FST",$E304:$E328,"4"),"0")</f>
        <v>0</v>
      </c>
      <c r="AK294" s="109">
        <f>IF($E294="EUC",COUNTIFS($C304:$C328,"FST",$E304:$E328,"4"),"0")</f>
        <v>1</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432</v>
      </c>
      <c r="F295" s="88"/>
      <c r="G295" s="291" t="s">
        <v>237</v>
      </c>
      <c r="H295" s="292"/>
      <c r="I295" s="35">
        <f>IF(E295=0,0,12-(MOD(I293,12)))</f>
        <v>12</v>
      </c>
      <c r="J295" s="289" t="s">
        <v>238</v>
      </c>
      <c r="K295" s="290"/>
      <c r="L295" s="39">
        <f>I299-I293</f>
        <v>564</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299"/>
      <c r="AA295" s="302"/>
      <c r="AB295" s="303"/>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180</v>
      </c>
      <c r="F296" s="88"/>
      <c r="G296" s="321" t="s">
        <v>242</v>
      </c>
      <c r="H296" s="43" t="s">
        <v>243</v>
      </c>
      <c r="I296" s="35">
        <f>IF(E296&lt;&gt;0,1,0)</f>
        <v>1</v>
      </c>
      <c r="J296" s="291" t="s">
        <v>244</v>
      </c>
      <c r="K296" s="292"/>
      <c r="L296" s="44">
        <f>'Cable Calculator'!AM3</f>
        <v>1312</v>
      </c>
      <c r="M296" s="196">
        <v>8</v>
      </c>
      <c r="N296" s="35">
        <f>SUM(AI296,AI307)</f>
        <v>0</v>
      </c>
      <c r="O296" s="35">
        <v>0</v>
      </c>
      <c r="P296" s="35">
        <f>SUM(AJ296,AJ307)</f>
        <v>0</v>
      </c>
      <c r="Q296" s="35">
        <v>0</v>
      </c>
      <c r="R296" s="35">
        <f>COUNTIFS($E304:$E328,"8",$F304:$F328,"Pole",$C304:$C328,"FST")</f>
        <v>0</v>
      </c>
      <c r="S296" s="35">
        <f>SUM(AL296,AK307)</f>
        <v>0</v>
      </c>
      <c r="T296" s="35">
        <v>0</v>
      </c>
      <c r="U296" s="35">
        <f>SUM(AK296,AL307)</f>
        <v>1</v>
      </c>
      <c r="V296" s="35">
        <v>0</v>
      </c>
      <c r="W296" s="34">
        <f>COUNTIFS($E304:$E328,"8",$F304:$F328,"HH",$C304:$C328,"FST")</f>
        <v>1</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1</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577</v>
      </c>
      <c r="F297" s="88"/>
      <c r="G297" s="322"/>
      <c r="H297" s="47" t="s">
        <v>248</v>
      </c>
      <c r="I297" s="35">
        <f>IF(E296&lt;&gt;0,E296,0)</f>
        <v>180</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0</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36</v>
      </c>
      <c r="F298" s="88"/>
      <c r="G298" s="321" t="s">
        <v>251</v>
      </c>
      <c r="H298" s="51" t="s">
        <v>252</v>
      </c>
      <c r="I298" s="112">
        <f>E297</f>
        <v>577</v>
      </c>
      <c r="J298" s="323" t="s">
        <v>253</v>
      </c>
      <c r="K298" s="324"/>
      <c r="L298" s="325"/>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216</v>
      </c>
      <c r="D299" s="31" t="s">
        <v>256</v>
      </c>
      <c r="E299" s="101" t="str">
        <f>IF('Cable Calculator'!AM5="","",'Cable Calculator'!AM5)</f>
        <v>N</v>
      </c>
      <c r="F299" s="88"/>
      <c r="G299" s="322"/>
      <c r="H299" s="47" t="s">
        <v>257</v>
      </c>
      <c r="I299" s="35">
        <f>IF(E297="","0",IF(AND(E294="EUC",E295=432), I298+(203-E296),IF(E297=0,0,(E297+(E295-E296)-1))))</f>
        <v>600</v>
      </c>
      <c r="J299" s="285" t="str">
        <f>IFERROR(IF(OR(E294="EUC",E294="SS"),"---",IF(OR(P293,S293),"NO 2F Tethers for RPX!",IF(OR(P295,S295),"NO 6F Tethers for RPX!","---"))),"---")</f>
        <v>---</v>
      </c>
      <c r="K299" s="286"/>
      <c r="L299" s="287"/>
      <c r="M299" s="285" t="str">
        <f>IF(E296&gt;60,"Dead Count &gt;60: Consider Downsize","---")</f>
        <v>Dead Count &gt;60: Consider Downsize</v>
      </c>
      <c r="N299" s="286"/>
      <c r="O299" s="286"/>
      <c r="P299" s="286"/>
      <c r="Q299" s="286"/>
      <c r="R299" s="286"/>
      <c r="S299" s="286"/>
      <c r="T299" s="286"/>
      <c r="U299" s="287"/>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252</v>
      </c>
      <c r="D300" s="31" t="s">
        <v>259</v>
      </c>
      <c r="E300" s="101" t="str">
        <f>IF(AS294="Y","DBL",IF(AS295="Y","TRPL",IF(AS296="Y","QUAD","")))</f>
        <v/>
      </c>
      <c r="F300" s="88"/>
      <c r="G300" s="192"/>
      <c r="H300" s="57"/>
      <c r="I300" s="192"/>
      <c r="J300" s="285"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86"/>
      <c r="L300" s="287"/>
      <c r="M300" s="285" t="str">
        <f>IF(AND(OR(E294="SS",E294="RPX",E294="EUC",E294="RPX-T"),(OR(C304="",C304="Field SPL"))),"Cannot have FlexNap cables without tethers","---")</f>
        <v>---</v>
      </c>
      <c r="N300" s="286"/>
      <c r="O300" s="286"/>
      <c r="P300" s="286"/>
      <c r="Q300" s="286"/>
      <c r="R300" s="286"/>
      <c r="S300" s="286"/>
      <c r="T300" s="286"/>
      <c r="U300" s="287"/>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85" t="str">
        <f>IF(AND(OR(E294="RPX", E294="RPX-T", E294="SS"),E295=216),"NO 216 For RPX, RPX-T, OR SS CABLE","---")</f>
        <v>---</v>
      </c>
      <c r="K301" s="286"/>
      <c r="L301" s="287"/>
      <c r="M301" s="285" t="str" cm="1">
        <f t="array" ref="M301">IF(AND(E294="",OR(C304:C328="FST",C304:C328="REV T",C304:C328="DBL REV",C304:C328="TPL REV", C304:C328="QD REV")),"Non-FlexNap cables cannot have tethers","---")</f>
        <v>---</v>
      </c>
      <c r="N301" s="286"/>
      <c r="O301" s="286"/>
      <c r="P301" s="286"/>
      <c r="Q301" s="286"/>
      <c r="R301" s="286"/>
      <c r="S301" s="286"/>
      <c r="T301" s="286"/>
      <c r="U301" s="287"/>
      <c r="V301" s="25"/>
      <c r="W301" s="58"/>
      <c r="X301" s="58"/>
      <c r="Y301" s="25"/>
      <c r="Z301" s="45">
        <v>6</v>
      </c>
      <c r="AA301" s="65">
        <v>61</v>
      </c>
      <c r="AB301" s="65">
        <v>72</v>
      </c>
      <c r="AC301" s="25"/>
      <c r="AD301" s="25"/>
      <c r="BA301" s="226"/>
    </row>
    <row r="302" spans="1:53" ht="15.75" customHeight="1" thickBot="1" x14ac:dyDescent="0.3">
      <c r="A302" s="88"/>
      <c r="B302" s="321" t="s">
        <v>260</v>
      </c>
      <c r="C302" s="293" t="s">
        <v>261</v>
      </c>
      <c r="D302" s="293" t="s">
        <v>262</v>
      </c>
      <c r="E302" s="306" t="s">
        <v>263</v>
      </c>
      <c r="F302" s="293" t="s">
        <v>264</v>
      </c>
      <c r="G302" s="308" t="s">
        <v>265</v>
      </c>
      <c r="H302" s="308" t="s">
        <v>266</v>
      </c>
      <c r="I302" s="308" t="s">
        <v>267</v>
      </c>
      <c r="J302" s="310" t="s">
        <v>268</v>
      </c>
      <c r="K302" s="293" t="s">
        <v>269</v>
      </c>
      <c r="L302" s="279" t="s">
        <v>270</v>
      </c>
      <c r="M302" s="281" t="s">
        <v>271</v>
      </c>
      <c r="N302" s="281"/>
      <c r="O302" s="281"/>
      <c r="P302" s="281"/>
      <c r="Q302" s="281"/>
      <c r="R302" s="281"/>
      <c r="S302" s="281"/>
      <c r="T302" s="281"/>
      <c r="U302" s="282"/>
      <c r="V302" s="107"/>
      <c r="W302" s="72"/>
      <c r="X302" s="72"/>
      <c r="Y302" s="72"/>
      <c r="Z302" s="45">
        <v>7</v>
      </c>
      <c r="AA302" s="65">
        <v>73</v>
      </c>
      <c r="AB302" s="65">
        <v>84</v>
      </c>
      <c r="AC302" s="25"/>
      <c r="AD302" s="25"/>
      <c r="BA302" s="228"/>
    </row>
    <row r="303" spans="1:53" ht="15.75" thickBot="1" x14ac:dyDescent="0.3">
      <c r="A303" s="88"/>
      <c r="B303" s="322"/>
      <c r="C303" s="294"/>
      <c r="D303" s="294"/>
      <c r="E303" s="307"/>
      <c r="F303" s="294"/>
      <c r="G303" s="309"/>
      <c r="H303" s="309"/>
      <c r="I303" s="309"/>
      <c r="J303" s="311"/>
      <c r="K303" s="294"/>
      <c r="L303" s="280"/>
      <c r="M303" s="283"/>
      <c r="N303" s="283"/>
      <c r="O303" s="283"/>
      <c r="P303" s="283"/>
      <c r="Q303" s="283"/>
      <c r="R303" s="283"/>
      <c r="S303" s="283"/>
      <c r="T303" s="283"/>
      <c r="U303" s="284"/>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753</v>
      </c>
      <c r="E304" s="32">
        <v>8</v>
      </c>
      <c r="F304" s="32" t="s">
        <v>488</v>
      </c>
      <c r="G304" s="68" t="s">
        <v>277</v>
      </c>
      <c r="H304" s="69">
        <f>IF(I304=0,0,I304-(E304-1))</f>
        <v>593</v>
      </c>
      <c r="I304" s="70">
        <f>IF(E304=0,0,I299)</f>
        <v>600</v>
      </c>
      <c r="J304" s="71" t="s">
        <v>278</v>
      </c>
      <c r="K304" s="32"/>
      <c r="L304" s="233"/>
      <c r="M304" s="277"/>
      <c r="N304" s="277"/>
      <c r="O304" s="277"/>
      <c r="P304" s="277"/>
      <c r="Q304" s="277"/>
      <c r="R304" s="277"/>
      <c r="S304" s="277"/>
      <c r="T304" s="277"/>
      <c r="U304" s="278"/>
      <c r="V304" s="103"/>
      <c r="W304" s="72"/>
      <c r="X304" s="72"/>
      <c r="Y304" s="72"/>
      <c r="Z304" s="45">
        <v>9</v>
      </c>
      <c r="AA304" s="46">
        <v>97</v>
      </c>
      <c r="AB304" s="46">
        <v>108</v>
      </c>
      <c r="AC304" s="72">
        <f t="shared" ref="AC304:AC328" si="128">IF(B304&lt;&gt;"FST",1,0)</f>
        <v>1</v>
      </c>
      <c r="AD304" s="72">
        <f t="shared" ref="AD304:AD328" si="129">IF(C304&lt;&gt;"FST",1,0)</f>
        <v>0</v>
      </c>
      <c r="AE304" s="109" t="str">
        <f t="shared" ref="AE304:AE328" si="130">CONCATENATE(H304,"-",I304)</f>
        <v>593-600</v>
      </c>
      <c r="AF304" s="109" t="str">
        <f t="shared" ref="AF304:AF328" si="131">IF(C304="Field SPL","N","Y")</f>
        <v>Y</v>
      </c>
      <c r="AG304" s="109" t="str">
        <f t="shared" ref="AG304:AG328" si="132">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33">VALUE(IF(C304="FST","0",IF(C304="REV T","1",IF(C304="DBL REV",".5","0"))))</f>
        <v>0</v>
      </c>
      <c r="AN304" s="109">
        <f t="shared" ref="AN304:AN328" si="134">VALUE(IF(C304="FST","0",IF(C304="REV T","0",IF(C304="DBL REV",".5","0"))))</f>
        <v>0</v>
      </c>
      <c r="AO304" s="109" t="str">
        <f t="shared" ref="AO304:AO328" si="135">IF(C304="TPL REV","Y","")</f>
        <v/>
      </c>
      <c r="AQ304" s="109" t="str">
        <f t="shared" ref="AQ304:AQ328" si="136">IF(C304="QD REV","Y","")</f>
        <v/>
      </c>
      <c r="BA304" s="229">
        <f>MOD(E304,12)</f>
        <v>8</v>
      </c>
    </row>
    <row r="305" spans="1:53" ht="15.75" thickBot="1" x14ac:dyDescent="0.3">
      <c r="A305" s="88"/>
      <c r="B305" s="66" t="s">
        <v>279</v>
      </c>
      <c r="C305" s="67" t="s">
        <v>484</v>
      </c>
      <c r="D305" s="102" t="s">
        <v>752</v>
      </c>
      <c r="E305" s="32">
        <v>4</v>
      </c>
      <c r="F305" s="32" t="s">
        <v>488</v>
      </c>
      <c r="G305" s="68" t="s">
        <v>277</v>
      </c>
      <c r="H305" s="69">
        <f t="shared" ref="H305:H328" si="137">IF(E305=0,0,I305-(E305-1))</f>
        <v>589</v>
      </c>
      <c r="I305" s="70">
        <f t="shared" ref="I305:I328" si="138">IF(E305=0,0,H304-1)</f>
        <v>592</v>
      </c>
      <c r="J305" s="73" t="str">
        <f>IF(C305="","--",IF(AND(C305&lt;&gt;"FST",C305&lt;&gt;"TCF",BA304&lt;&gt;0),BA304,"--"))</f>
        <v>--</v>
      </c>
      <c r="K305" s="32"/>
      <c r="L305" s="233"/>
      <c r="M305" s="277"/>
      <c r="N305" s="277"/>
      <c r="O305" s="277"/>
      <c r="P305" s="277"/>
      <c r="Q305" s="277"/>
      <c r="R305" s="277"/>
      <c r="S305" s="277"/>
      <c r="T305" s="277"/>
      <c r="U305" s="278"/>
      <c r="V305" s="103"/>
      <c r="W305" s="72"/>
      <c r="X305" s="72"/>
      <c r="Y305" s="72"/>
      <c r="Z305" s="45">
        <v>10</v>
      </c>
      <c r="AA305" s="46">
        <v>109</v>
      </c>
      <c r="AB305" s="46">
        <v>120</v>
      </c>
      <c r="AC305" s="72">
        <f t="shared" si="128"/>
        <v>1</v>
      </c>
      <c r="AD305" s="72">
        <f t="shared" si="129"/>
        <v>0</v>
      </c>
      <c r="AE305" s="109" t="str">
        <f t="shared" si="130"/>
        <v>589-592</v>
      </c>
      <c r="AF305" s="109" t="str">
        <f t="shared" si="131"/>
        <v>Y</v>
      </c>
      <c r="AG305" s="109" t="str">
        <f t="shared" si="132"/>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33"/>
        <v>0</v>
      </c>
      <c r="AN305" s="109">
        <f t="shared" si="134"/>
        <v>0</v>
      </c>
      <c r="AO305" s="109" t="str">
        <f t="shared" si="135"/>
        <v/>
      </c>
      <c r="AQ305" s="109" t="str">
        <f t="shared" si="136"/>
        <v/>
      </c>
      <c r="BA305" s="229">
        <f>MOD(SUM(E304:E305),12)</f>
        <v>0</v>
      </c>
    </row>
    <row r="306" spans="1:53" ht="15.75" thickBot="1" x14ac:dyDescent="0.3">
      <c r="A306" s="88"/>
      <c r="B306" s="74" t="s">
        <v>280</v>
      </c>
      <c r="C306" s="67" t="s">
        <v>502</v>
      </c>
      <c r="D306" s="102"/>
      <c r="E306" s="32">
        <v>24</v>
      </c>
      <c r="F306" s="32"/>
      <c r="G306" s="75" t="s">
        <v>277</v>
      </c>
      <c r="H306" s="69">
        <f t="shared" si="137"/>
        <v>565</v>
      </c>
      <c r="I306" s="70">
        <f t="shared" si="138"/>
        <v>588</v>
      </c>
      <c r="J306" s="73" t="str">
        <f t="shared" ref="J306:J328" si="139">IF(C306="","--",IF(AND(C306&lt;&gt;"FST",C306&lt;&gt;"TCF",BA305&lt;&gt;0),BA305,"--"))</f>
        <v>--</v>
      </c>
      <c r="K306" s="32"/>
      <c r="L306" s="233"/>
      <c r="M306" s="277" t="s">
        <v>417</v>
      </c>
      <c r="N306" s="277"/>
      <c r="O306" s="277"/>
      <c r="P306" s="277"/>
      <c r="Q306" s="277"/>
      <c r="R306" s="277"/>
      <c r="S306" s="277"/>
      <c r="T306" s="277"/>
      <c r="U306" s="278"/>
      <c r="V306" s="103"/>
      <c r="W306" s="72"/>
      <c r="X306" s="72"/>
      <c r="Y306" s="72"/>
      <c r="Z306" s="45">
        <v>11</v>
      </c>
      <c r="AA306" s="46">
        <v>121</v>
      </c>
      <c r="AB306" s="46">
        <v>132</v>
      </c>
      <c r="AC306" s="72">
        <f t="shared" si="128"/>
        <v>1</v>
      </c>
      <c r="AD306" s="72">
        <f t="shared" si="129"/>
        <v>1</v>
      </c>
      <c r="AE306" s="109" t="str">
        <f t="shared" si="130"/>
        <v>565-588</v>
      </c>
      <c r="AF306" s="109" t="str">
        <f t="shared" si="131"/>
        <v>N</v>
      </c>
      <c r="AG306" s="109" t="str">
        <f t="shared" si="132"/>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33"/>
        <v>0</v>
      </c>
      <c r="AN306" s="109">
        <f t="shared" si="134"/>
        <v>0</v>
      </c>
      <c r="AO306" s="109" t="str">
        <f t="shared" si="135"/>
        <v/>
      </c>
      <c r="AQ306" s="109" t="str">
        <f t="shared" si="136"/>
        <v/>
      </c>
      <c r="BA306" s="229">
        <f>MOD(SUM(E304:E307),12)</f>
        <v>0</v>
      </c>
    </row>
    <row r="307" spans="1:53" ht="15.75" thickBot="1" x14ac:dyDescent="0.3">
      <c r="A307" s="88"/>
      <c r="B307" s="66" t="s">
        <v>281</v>
      </c>
      <c r="C307" s="67"/>
      <c r="D307" s="102"/>
      <c r="E307" s="32"/>
      <c r="F307" s="32"/>
      <c r="G307" s="68" t="s">
        <v>277</v>
      </c>
      <c r="H307" s="69">
        <f t="shared" si="137"/>
        <v>0</v>
      </c>
      <c r="I307" s="70">
        <f t="shared" si="138"/>
        <v>0</v>
      </c>
      <c r="J307" s="73" t="str">
        <f t="shared" si="139"/>
        <v>--</v>
      </c>
      <c r="K307" s="32"/>
      <c r="L307" s="233"/>
      <c r="M307" s="277" t="s">
        <v>825</v>
      </c>
      <c r="N307" s="277"/>
      <c r="O307" s="277"/>
      <c r="P307" s="277"/>
      <c r="Q307" s="277"/>
      <c r="R307" s="277"/>
      <c r="S307" s="277"/>
      <c r="T307" s="277"/>
      <c r="U307" s="278"/>
      <c r="V307" s="103"/>
      <c r="W307" s="72"/>
      <c r="X307" s="72"/>
      <c r="Y307" s="72"/>
      <c r="Z307" s="45">
        <v>12</v>
      </c>
      <c r="AA307" s="76">
        <v>133</v>
      </c>
      <c r="AB307" s="76">
        <v>144</v>
      </c>
      <c r="AC307" s="72">
        <f t="shared" si="128"/>
        <v>1</v>
      </c>
      <c r="AD307" s="72">
        <f t="shared" si="129"/>
        <v>1</v>
      </c>
      <c r="AE307" s="109" t="str">
        <f t="shared" si="130"/>
        <v>0-0</v>
      </c>
      <c r="AF307" s="109" t="str">
        <f t="shared" si="131"/>
        <v>Y</v>
      </c>
      <c r="AG307" s="109" t="str">
        <f t="shared" si="132"/>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33"/>
        <v>0</v>
      </c>
      <c r="AN307" s="109">
        <f t="shared" si="134"/>
        <v>0</v>
      </c>
      <c r="AO307" s="109" t="str">
        <f t="shared" si="135"/>
        <v/>
      </c>
      <c r="AQ307" s="109" t="str">
        <f t="shared" si="136"/>
        <v/>
      </c>
      <c r="BA307" s="229">
        <f>MOD(SUM(E304:E308),12)</f>
        <v>0</v>
      </c>
    </row>
    <row r="308" spans="1:53" ht="15.75" thickBot="1" x14ac:dyDescent="0.3">
      <c r="A308" s="88"/>
      <c r="B308" s="66" t="s">
        <v>282</v>
      </c>
      <c r="C308" s="67"/>
      <c r="D308" s="102"/>
      <c r="E308" s="32"/>
      <c r="F308" s="32"/>
      <c r="G308" s="68" t="s">
        <v>277</v>
      </c>
      <c r="H308" s="69">
        <f t="shared" si="137"/>
        <v>0</v>
      </c>
      <c r="I308" s="70">
        <f t="shared" si="138"/>
        <v>0</v>
      </c>
      <c r="J308" s="73" t="str">
        <f t="shared" si="139"/>
        <v>--</v>
      </c>
      <c r="K308" s="32"/>
      <c r="L308" s="233"/>
      <c r="M308" s="277"/>
      <c r="N308" s="277"/>
      <c r="O308" s="277"/>
      <c r="P308" s="277"/>
      <c r="Q308" s="277"/>
      <c r="R308" s="277"/>
      <c r="S308" s="277"/>
      <c r="T308" s="277"/>
      <c r="U308" s="278"/>
      <c r="V308" s="103"/>
      <c r="W308" s="72"/>
      <c r="X308" s="72"/>
      <c r="Y308" s="72"/>
      <c r="Z308" s="45">
        <v>13</v>
      </c>
      <c r="AA308" s="77">
        <f t="shared" ref="AA308:AA313" si="140">AB307+1</f>
        <v>145</v>
      </c>
      <c r="AB308" s="77">
        <f t="shared" ref="AB308:AB313" si="141">AB307+12</f>
        <v>156</v>
      </c>
      <c r="AC308" s="72">
        <f t="shared" si="128"/>
        <v>1</v>
      </c>
      <c r="AD308" s="72">
        <f t="shared" si="129"/>
        <v>1</v>
      </c>
      <c r="AE308" s="109" t="str">
        <f t="shared" si="130"/>
        <v>0-0</v>
      </c>
      <c r="AF308" s="109" t="str">
        <f t="shared" si="131"/>
        <v>Y</v>
      </c>
      <c r="AG308" s="109" t="str">
        <f t="shared" si="132"/>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33"/>
        <v>0</v>
      </c>
      <c r="AN308" s="109">
        <f t="shared" si="134"/>
        <v>0</v>
      </c>
      <c r="AO308" s="109" t="str">
        <f t="shared" si="135"/>
        <v/>
      </c>
      <c r="AQ308" s="109" t="str">
        <f t="shared" si="136"/>
        <v/>
      </c>
      <c r="BA308" s="229">
        <f>MOD(SUM(E304:E309),12)</f>
        <v>0</v>
      </c>
    </row>
    <row r="309" spans="1:53" ht="15.75" thickBot="1" x14ac:dyDescent="0.3">
      <c r="A309" s="88"/>
      <c r="B309" s="66" t="s">
        <v>283</v>
      </c>
      <c r="C309" s="67"/>
      <c r="D309" s="102"/>
      <c r="E309" s="32"/>
      <c r="F309" s="32"/>
      <c r="G309" s="68" t="s">
        <v>277</v>
      </c>
      <c r="H309" s="69">
        <f t="shared" si="137"/>
        <v>0</v>
      </c>
      <c r="I309" s="70">
        <f t="shared" si="138"/>
        <v>0</v>
      </c>
      <c r="J309" s="73" t="str">
        <f t="shared" si="139"/>
        <v>--</v>
      </c>
      <c r="K309" s="32"/>
      <c r="L309" s="233"/>
      <c r="M309" s="277"/>
      <c r="N309" s="277"/>
      <c r="O309" s="277"/>
      <c r="P309" s="277"/>
      <c r="Q309" s="277"/>
      <c r="R309" s="277"/>
      <c r="S309" s="277"/>
      <c r="T309" s="277"/>
      <c r="U309" s="278"/>
      <c r="V309" s="103"/>
      <c r="W309" s="72"/>
      <c r="X309" s="72"/>
      <c r="Y309" s="72"/>
      <c r="Z309" s="45">
        <v>14</v>
      </c>
      <c r="AA309" s="77">
        <f t="shared" si="140"/>
        <v>157</v>
      </c>
      <c r="AB309" s="77">
        <f t="shared" si="141"/>
        <v>168</v>
      </c>
      <c r="AC309" s="72">
        <f t="shared" si="128"/>
        <v>1</v>
      </c>
      <c r="AD309" s="72">
        <f t="shared" si="129"/>
        <v>1</v>
      </c>
      <c r="AE309" s="109" t="str">
        <f t="shared" si="130"/>
        <v>0-0</v>
      </c>
      <c r="AF309" s="109" t="str">
        <f t="shared" si="131"/>
        <v>Y</v>
      </c>
      <c r="AG309" s="109" t="str">
        <f t="shared" si="132"/>
        <v>B</v>
      </c>
      <c r="AM309" s="109">
        <f t="shared" si="133"/>
        <v>0</v>
      </c>
      <c r="AN309" s="109">
        <f t="shared" si="134"/>
        <v>0</v>
      </c>
      <c r="AO309" s="109" t="str">
        <f t="shared" si="135"/>
        <v/>
      </c>
      <c r="AQ309" s="109" t="str">
        <f t="shared" si="136"/>
        <v/>
      </c>
      <c r="BA309" s="229">
        <f>MOD(SUM(E304:E310),12)</f>
        <v>0</v>
      </c>
    </row>
    <row r="310" spans="1:53" ht="15.75" thickBot="1" x14ac:dyDescent="0.3">
      <c r="A310" s="88"/>
      <c r="B310" s="66" t="s">
        <v>284</v>
      </c>
      <c r="C310" s="67"/>
      <c r="D310" s="102"/>
      <c r="E310" s="32"/>
      <c r="F310" s="32"/>
      <c r="G310" s="68" t="s">
        <v>277</v>
      </c>
      <c r="H310" s="69">
        <f t="shared" si="137"/>
        <v>0</v>
      </c>
      <c r="I310" s="70">
        <f t="shared" si="138"/>
        <v>0</v>
      </c>
      <c r="J310" s="73" t="str">
        <f t="shared" si="139"/>
        <v>--</v>
      </c>
      <c r="K310" s="32"/>
      <c r="L310" s="233"/>
      <c r="M310" s="277"/>
      <c r="N310" s="277"/>
      <c r="O310" s="277"/>
      <c r="P310" s="277"/>
      <c r="Q310" s="277"/>
      <c r="R310" s="277"/>
      <c r="S310" s="277"/>
      <c r="T310" s="277"/>
      <c r="U310" s="278"/>
      <c r="V310" s="103"/>
      <c r="W310" s="72"/>
      <c r="X310" s="72"/>
      <c r="Y310" s="72"/>
      <c r="Z310" s="45">
        <v>15</v>
      </c>
      <c r="AA310" s="77">
        <f t="shared" si="140"/>
        <v>169</v>
      </c>
      <c r="AB310" s="77">
        <f t="shared" si="141"/>
        <v>180</v>
      </c>
      <c r="AC310" s="72">
        <f t="shared" si="128"/>
        <v>1</v>
      </c>
      <c r="AD310" s="72">
        <f t="shared" si="129"/>
        <v>1</v>
      </c>
      <c r="AE310" s="109" t="str">
        <f t="shared" si="130"/>
        <v>0-0</v>
      </c>
      <c r="AF310" s="109" t="str">
        <f t="shared" si="131"/>
        <v>Y</v>
      </c>
      <c r="AG310" s="109" t="str">
        <f t="shared" si="132"/>
        <v>B</v>
      </c>
      <c r="AM310" s="109">
        <f t="shared" si="133"/>
        <v>0</v>
      </c>
      <c r="AN310" s="109">
        <f t="shared" si="134"/>
        <v>0</v>
      </c>
      <c r="AO310" s="109" t="str">
        <f t="shared" si="135"/>
        <v/>
      </c>
      <c r="AQ310" s="109" t="str">
        <f t="shared" si="136"/>
        <v/>
      </c>
      <c r="BA310" s="229">
        <f>MOD(SUM(E304:E311),12)</f>
        <v>0</v>
      </c>
    </row>
    <row r="311" spans="1:53" ht="15.75" thickBot="1" x14ac:dyDescent="0.3">
      <c r="A311" s="88"/>
      <c r="B311" s="66" t="s">
        <v>285</v>
      </c>
      <c r="C311" s="67"/>
      <c r="D311" s="102"/>
      <c r="E311" s="32"/>
      <c r="F311" s="32"/>
      <c r="G311" s="68" t="s">
        <v>277</v>
      </c>
      <c r="H311" s="69">
        <f t="shared" si="137"/>
        <v>0</v>
      </c>
      <c r="I311" s="70">
        <f t="shared" si="138"/>
        <v>0</v>
      </c>
      <c r="J311" s="73" t="str">
        <f t="shared" si="139"/>
        <v>--</v>
      </c>
      <c r="K311" s="32"/>
      <c r="L311" s="233"/>
      <c r="M311" s="277"/>
      <c r="N311" s="277"/>
      <c r="O311" s="277"/>
      <c r="P311" s="277"/>
      <c r="Q311" s="277"/>
      <c r="R311" s="277"/>
      <c r="S311" s="277"/>
      <c r="T311" s="277"/>
      <c r="U311" s="278"/>
      <c r="V311" s="103"/>
      <c r="W311" s="72"/>
      <c r="X311" s="72"/>
      <c r="Y311" s="72"/>
      <c r="Z311" s="45">
        <f>Z310+1</f>
        <v>16</v>
      </c>
      <c r="AA311" s="77">
        <f t="shared" si="140"/>
        <v>181</v>
      </c>
      <c r="AB311" s="77">
        <f t="shared" si="141"/>
        <v>192</v>
      </c>
      <c r="AC311" s="72">
        <f t="shared" si="128"/>
        <v>1</v>
      </c>
      <c r="AD311" s="72">
        <f t="shared" si="129"/>
        <v>1</v>
      </c>
      <c r="AE311" s="109" t="str">
        <f t="shared" si="130"/>
        <v>0-0</v>
      </c>
      <c r="AF311" s="109" t="str">
        <f t="shared" si="131"/>
        <v>Y</v>
      </c>
      <c r="AG311" s="109" t="str">
        <f t="shared" si="132"/>
        <v>B</v>
      </c>
      <c r="AM311" s="109">
        <f t="shared" si="133"/>
        <v>0</v>
      </c>
      <c r="AN311" s="109">
        <f t="shared" si="134"/>
        <v>0</v>
      </c>
      <c r="AO311" s="109" t="str">
        <f t="shared" si="135"/>
        <v/>
      </c>
      <c r="AQ311" s="109" t="str">
        <f t="shared" si="136"/>
        <v/>
      </c>
      <c r="BA311" s="229">
        <f>MOD(SUM(E304:E312),12)</f>
        <v>0</v>
      </c>
    </row>
    <row r="312" spans="1:53" ht="15.75" thickBot="1" x14ac:dyDescent="0.3">
      <c r="A312" s="88"/>
      <c r="B312" s="66" t="s">
        <v>286</v>
      </c>
      <c r="C312" s="67"/>
      <c r="D312" s="102"/>
      <c r="E312" s="32"/>
      <c r="F312" s="32"/>
      <c r="G312" s="68" t="s">
        <v>277</v>
      </c>
      <c r="H312" s="69">
        <f t="shared" si="137"/>
        <v>0</v>
      </c>
      <c r="I312" s="70">
        <f t="shared" si="138"/>
        <v>0</v>
      </c>
      <c r="J312" s="73" t="str">
        <f t="shared" si="139"/>
        <v>--</v>
      </c>
      <c r="K312" s="32"/>
      <c r="L312" s="233"/>
      <c r="M312" s="277"/>
      <c r="N312" s="277"/>
      <c r="O312" s="277"/>
      <c r="P312" s="277"/>
      <c r="Q312" s="277"/>
      <c r="R312" s="277"/>
      <c r="S312" s="277"/>
      <c r="T312" s="277"/>
      <c r="U312" s="278"/>
      <c r="V312" s="103"/>
      <c r="W312" s="72"/>
      <c r="X312" s="72"/>
      <c r="Y312" s="72"/>
      <c r="Z312" s="45">
        <f>Z311+1</f>
        <v>17</v>
      </c>
      <c r="AA312" s="77">
        <f t="shared" si="140"/>
        <v>193</v>
      </c>
      <c r="AB312" s="77">
        <f t="shared" si="141"/>
        <v>204</v>
      </c>
      <c r="AC312" s="72">
        <f t="shared" si="128"/>
        <v>1</v>
      </c>
      <c r="AD312" s="72">
        <f t="shared" si="129"/>
        <v>1</v>
      </c>
      <c r="AE312" s="109" t="str">
        <f t="shared" si="130"/>
        <v>0-0</v>
      </c>
      <c r="AF312" s="109" t="str">
        <f t="shared" si="131"/>
        <v>Y</v>
      </c>
      <c r="AG312" s="109" t="str">
        <f t="shared" si="132"/>
        <v>B</v>
      </c>
      <c r="AM312" s="109">
        <f t="shared" si="133"/>
        <v>0</v>
      </c>
      <c r="AN312" s="109">
        <f t="shared" si="134"/>
        <v>0</v>
      </c>
      <c r="AO312" s="109" t="str">
        <f t="shared" si="135"/>
        <v/>
      </c>
      <c r="AQ312" s="109" t="str">
        <f t="shared" si="136"/>
        <v/>
      </c>
      <c r="BA312" s="229">
        <f>MOD(SUM(E304:E313),12)</f>
        <v>0</v>
      </c>
    </row>
    <row r="313" spans="1:53" ht="15.75" thickBot="1" x14ac:dyDescent="0.3">
      <c r="A313" s="88"/>
      <c r="B313" s="66" t="s">
        <v>287</v>
      </c>
      <c r="C313" s="67"/>
      <c r="D313" s="102"/>
      <c r="E313" s="32"/>
      <c r="F313" s="32"/>
      <c r="G313" s="68" t="s">
        <v>277</v>
      </c>
      <c r="H313" s="69">
        <f t="shared" si="137"/>
        <v>0</v>
      </c>
      <c r="I313" s="70">
        <f t="shared" si="138"/>
        <v>0</v>
      </c>
      <c r="J313" s="73" t="str">
        <f t="shared" si="139"/>
        <v>--</v>
      </c>
      <c r="K313" s="32"/>
      <c r="L313" s="233"/>
      <c r="M313" s="277"/>
      <c r="N313" s="277"/>
      <c r="O313" s="277"/>
      <c r="P313" s="277"/>
      <c r="Q313" s="277"/>
      <c r="R313" s="277"/>
      <c r="S313" s="277"/>
      <c r="T313" s="277"/>
      <c r="U313" s="278"/>
      <c r="V313" s="103"/>
      <c r="W313" s="72"/>
      <c r="X313" s="72"/>
      <c r="Y313" s="72"/>
      <c r="Z313" s="45">
        <f>Z312+1</f>
        <v>18</v>
      </c>
      <c r="AA313" s="77">
        <f t="shared" si="140"/>
        <v>205</v>
      </c>
      <c r="AB313" s="77">
        <f t="shared" si="141"/>
        <v>216</v>
      </c>
      <c r="AC313" s="72">
        <f t="shared" si="128"/>
        <v>1</v>
      </c>
      <c r="AD313" s="72">
        <f t="shared" si="129"/>
        <v>1</v>
      </c>
      <c r="AE313" s="109" t="str">
        <f t="shared" si="130"/>
        <v>0-0</v>
      </c>
      <c r="AF313" s="109" t="str">
        <f t="shared" si="131"/>
        <v>Y</v>
      </c>
      <c r="AG313" s="109" t="str">
        <f t="shared" si="132"/>
        <v>B</v>
      </c>
      <c r="AM313" s="109">
        <f t="shared" si="133"/>
        <v>0</v>
      </c>
      <c r="AN313" s="109">
        <f t="shared" si="134"/>
        <v>0</v>
      </c>
      <c r="AO313" s="109" t="str">
        <f t="shared" si="135"/>
        <v/>
      </c>
      <c r="AQ313" s="109" t="str">
        <f t="shared" si="136"/>
        <v/>
      </c>
      <c r="BA313" s="229">
        <f>MOD(SUM(E304:E314),12)</f>
        <v>0</v>
      </c>
    </row>
    <row r="314" spans="1:53" ht="15.75" thickBot="1" x14ac:dyDescent="0.3">
      <c r="A314" s="88"/>
      <c r="B314" s="66" t="s">
        <v>288</v>
      </c>
      <c r="C314" s="67"/>
      <c r="D314" s="102"/>
      <c r="E314" s="32"/>
      <c r="F314" s="32"/>
      <c r="G314" s="68" t="s">
        <v>277</v>
      </c>
      <c r="H314" s="69">
        <f t="shared" si="137"/>
        <v>0</v>
      </c>
      <c r="I314" s="70">
        <f t="shared" si="138"/>
        <v>0</v>
      </c>
      <c r="J314" s="73" t="str">
        <f t="shared" si="139"/>
        <v>--</v>
      </c>
      <c r="K314" s="32"/>
      <c r="L314" s="233"/>
      <c r="M314" s="277"/>
      <c r="N314" s="277"/>
      <c r="O314" s="277"/>
      <c r="P314" s="277"/>
      <c r="Q314" s="277"/>
      <c r="R314" s="277"/>
      <c r="S314" s="277"/>
      <c r="T314" s="277"/>
      <c r="U314" s="278"/>
      <c r="V314" s="103"/>
      <c r="W314" s="84"/>
      <c r="X314" s="84"/>
      <c r="Y314" s="72"/>
      <c r="Z314" s="72"/>
      <c r="AA314" s="72"/>
      <c r="AB314" s="72"/>
      <c r="AC314" s="72">
        <f t="shared" si="128"/>
        <v>1</v>
      </c>
      <c r="AD314" s="72">
        <f t="shared" si="129"/>
        <v>1</v>
      </c>
      <c r="AE314" s="109" t="str">
        <f t="shared" si="130"/>
        <v>0-0</v>
      </c>
      <c r="AF314" s="109" t="str">
        <f t="shared" si="131"/>
        <v>Y</v>
      </c>
      <c r="AG314" s="109" t="str">
        <f t="shared" si="132"/>
        <v>B</v>
      </c>
      <c r="AM314" s="109">
        <f t="shared" si="133"/>
        <v>0</v>
      </c>
      <c r="AN314" s="109">
        <f t="shared" si="134"/>
        <v>0</v>
      </c>
      <c r="AO314" s="109" t="str">
        <f t="shared" si="135"/>
        <v/>
      </c>
      <c r="AQ314" s="109" t="str">
        <f t="shared" si="136"/>
        <v/>
      </c>
      <c r="BA314" s="229">
        <f>MOD(SUM(E304:E315),12)</f>
        <v>0</v>
      </c>
    </row>
    <row r="315" spans="1:53" ht="15.75" thickBot="1" x14ac:dyDescent="0.3">
      <c r="A315" s="88"/>
      <c r="B315" s="66" t="s">
        <v>289</v>
      </c>
      <c r="C315" s="67"/>
      <c r="D315" s="102"/>
      <c r="E315" s="32"/>
      <c r="F315" s="32"/>
      <c r="G315" s="68" t="s">
        <v>277</v>
      </c>
      <c r="H315" s="69">
        <f t="shared" si="137"/>
        <v>0</v>
      </c>
      <c r="I315" s="70">
        <f t="shared" si="138"/>
        <v>0</v>
      </c>
      <c r="J315" s="73" t="str">
        <f t="shared" si="139"/>
        <v>--</v>
      </c>
      <c r="K315" s="32"/>
      <c r="L315" s="233"/>
      <c r="M315" s="277"/>
      <c r="N315" s="277"/>
      <c r="O315" s="277"/>
      <c r="P315" s="277"/>
      <c r="Q315" s="277"/>
      <c r="R315" s="277"/>
      <c r="S315" s="277"/>
      <c r="T315" s="277"/>
      <c r="U315" s="278"/>
      <c r="V315" s="103"/>
      <c r="W315" s="84">
        <f>Y315+1</f>
        <v>37</v>
      </c>
      <c r="X315" s="84"/>
      <c r="Y315" s="78">
        <f>SUM(E304:E315)</f>
        <v>36</v>
      </c>
      <c r="Z315" s="72"/>
      <c r="AA315" s="72"/>
      <c r="AB315" s="72"/>
      <c r="AC315" s="72">
        <f t="shared" si="128"/>
        <v>1</v>
      </c>
      <c r="AD315" s="72">
        <f t="shared" si="129"/>
        <v>1</v>
      </c>
      <c r="AE315" s="109" t="str">
        <f t="shared" si="130"/>
        <v>0-0</v>
      </c>
      <c r="AF315" s="109" t="str">
        <f t="shared" si="131"/>
        <v>Y</v>
      </c>
      <c r="AG315" s="109" t="str">
        <f t="shared" si="132"/>
        <v>B</v>
      </c>
      <c r="AM315" s="109">
        <f t="shared" si="133"/>
        <v>0</v>
      </c>
      <c r="AN315" s="109">
        <f t="shared" si="134"/>
        <v>0</v>
      </c>
      <c r="AO315" s="109" t="str">
        <f t="shared" si="135"/>
        <v/>
      </c>
      <c r="AQ315" s="109" t="str">
        <f t="shared" si="136"/>
        <v/>
      </c>
      <c r="BA315" s="229">
        <f>MOD(SUM(E304:E316),12)</f>
        <v>0</v>
      </c>
    </row>
    <row r="316" spans="1:53" ht="15.75" thickBot="1" x14ac:dyDescent="0.3">
      <c r="A316" s="88"/>
      <c r="B316" s="66" t="s">
        <v>290</v>
      </c>
      <c r="C316" s="67"/>
      <c r="D316" s="102"/>
      <c r="E316" s="32"/>
      <c r="F316" s="32"/>
      <c r="G316" s="68" t="s">
        <v>277</v>
      </c>
      <c r="H316" s="69">
        <f t="shared" si="137"/>
        <v>0</v>
      </c>
      <c r="I316" s="70">
        <f t="shared" si="138"/>
        <v>0</v>
      </c>
      <c r="J316" s="73" t="str">
        <f t="shared" si="139"/>
        <v>--</v>
      </c>
      <c r="K316" s="32"/>
      <c r="L316" s="233"/>
      <c r="M316" s="277"/>
      <c r="N316" s="277"/>
      <c r="O316" s="277"/>
      <c r="P316" s="277"/>
      <c r="Q316" s="277"/>
      <c r="R316" s="277"/>
      <c r="S316" s="277"/>
      <c r="T316" s="277"/>
      <c r="U316" s="278"/>
      <c r="V316" s="103"/>
      <c r="W316" s="84">
        <f>Y316+1</f>
        <v>37</v>
      </c>
      <c r="X316" s="84"/>
      <c r="Y316" s="78">
        <f>SUM(E304:E316)</f>
        <v>36</v>
      </c>
      <c r="Z316" s="72" t="str">
        <f t="shared" ref="Z316:Z328" si="142">IF(OR(AND(E$8=216,C315="DBL REV",C316="DBL REV",Y315&lt;=144,Y316&gt;144),AND(E$8=216,C315="TPL REV",C316="TPL REV",Y315&lt;=144,Y316&gt;144),AND(E$8=216,C315="QD REV",C316="QD REV",Y315&lt;=144,Y316&gt;144)),"ERROR","")</f>
        <v/>
      </c>
      <c r="AA316" s="72"/>
      <c r="AB316" s="72"/>
      <c r="AC316" s="72">
        <f t="shared" si="128"/>
        <v>1</v>
      </c>
      <c r="AD316" s="72">
        <f t="shared" si="129"/>
        <v>1</v>
      </c>
      <c r="AE316" s="109" t="str">
        <f t="shared" si="130"/>
        <v>0-0</v>
      </c>
      <c r="AF316" s="109" t="str">
        <f t="shared" si="131"/>
        <v>Y</v>
      </c>
      <c r="AG316" s="109" t="str">
        <f t="shared" si="132"/>
        <v>B</v>
      </c>
      <c r="AM316" s="109">
        <f t="shared" si="133"/>
        <v>0</v>
      </c>
      <c r="AN316" s="109">
        <f t="shared" si="134"/>
        <v>0</v>
      </c>
      <c r="AO316" s="109" t="str">
        <f t="shared" si="135"/>
        <v/>
      </c>
      <c r="AQ316" s="109" t="str">
        <f t="shared" si="136"/>
        <v/>
      </c>
      <c r="BA316" s="229">
        <f>MOD(SUM(E304:E317),12)</f>
        <v>0</v>
      </c>
    </row>
    <row r="317" spans="1:53" ht="15.75" thickBot="1" x14ac:dyDescent="0.3">
      <c r="A317" s="88"/>
      <c r="B317" s="66" t="s">
        <v>291</v>
      </c>
      <c r="C317" s="67"/>
      <c r="D317" s="102"/>
      <c r="E317" s="32"/>
      <c r="F317" s="32"/>
      <c r="G317" s="68" t="s">
        <v>277</v>
      </c>
      <c r="H317" s="69">
        <f t="shared" si="137"/>
        <v>0</v>
      </c>
      <c r="I317" s="70">
        <f t="shared" si="138"/>
        <v>0</v>
      </c>
      <c r="J317" s="73" t="str">
        <f t="shared" si="139"/>
        <v>--</v>
      </c>
      <c r="K317" s="32"/>
      <c r="L317" s="233"/>
      <c r="M317" s="277"/>
      <c r="N317" s="277"/>
      <c r="O317" s="277"/>
      <c r="P317" s="277"/>
      <c r="Q317" s="277"/>
      <c r="R317" s="277"/>
      <c r="S317" s="277"/>
      <c r="T317" s="277"/>
      <c r="U317" s="278"/>
      <c r="V317" s="103"/>
      <c r="W317" s="84">
        <f>Y317+1</f>
        <v>37</v>
      </c>
      <c r="X317" s="84"/>
      <c r="Y317" s="78">
        <f>SUM(E304:E317)</f>
        <v>36</v>
      </c>
      <c r="Z317" s="72" t="str">
        <f t="shared" si="142"/>
        <v/>
      </c>
      <c r="AA317" s="72"/>
      <c r="AB317" s="72"/>
      <c r="AC317" s="72">
        <f t="shared" si="128"/>
        <v>1</v>
      </c>
      <c r="AD317" s="72">
        <f t="shared" si="129"/>
        <v>1</v>
      </c>
      <c r="AE317" s="109" t="str">
        <f t="shared" si="130"/>
        <v>0-0</v>
      </c>
      <c r="AF317" s="109" t="str">
        <f t="shared" si="131"/>
        <v>Y</v>
      </c>
      <c r="AG317" s="109" t="str">
        <f t="shared" si="132"/>
        <v>B</v>
      </c>
      <c r="AM317" s="109">
        <f t="shared" si="133"/>
        <v>0</v>
      </c>
      <c r="AN317" s="109">
        <f t="shared" si="134"/>
        <v>0</v>
      </c>
      <c r="AO317" s="109" t="str">
        <f t="shared" si="135"/>
        <v/>
      </c>
      <c r="AQ317" s="109" t="str">
        <f t="shared" si="136"/>
        <v/>
      </c>
      <c r="BA317" s="229">
        <f>MOD(SUM(E304:E318),12)</f>
        <v>0</v>
      </c>
    </row>
    <row r="318" spans="1:53" ht="15.75" thickBot="1" x14ac:dyDescent="0.3">
      <c r="A318" s="88"/>
      <c r="B318" s="66" t="s">
        <v>292</v>
      </c>
      <c r="C318" s="67"/>
      <c r="D318" s="102"/>
      <c r="E318" s="32"/>
      <c r="F318" s="32"/>
      <c r="G318" s="68" t="s">
        <v>277</v>
      </c>
      <c r="H318" s="69">
        <f t="shared" si="137"/>
        <v>0</v>
      </c>
      <c r="I318" s="70">
        <f t="shared" si="138"/>
        <v>0</v>
      </c>
      <c r="J318" s="73" t="str">
        <f t="shared" si="139"/>
        <v>--</v>
      </c>
      <c r="K318" s="32"/>
      <c r="L318" s="233"/>
      <c r="M318" s="277"/>
      <c r="N318" s="277"/>
      <c r="O318" s="277"/>
      <c r="P318" s="277"/>
      <c r="Q318" s="277"/>
      <c r="R318" s="277"/>
      <c r="S318" s="277"/>
      <c r="T318" s="277"/>
      <c r="U318" s="278"/>
      <c r="V318" s="103"/>
      <c r="W318" s="84">
        <f>Y318+1</f>
        <v>37</v>
      </c>
      <c r="X318" s="84"/>
      <c r="Y318" s="78">
        <f>SUM(E304:E318)</f>
        <v>36</v>
      </c>
      <c r="Z318" s="72" t="str">
        <f t="shared" si="142"/>
        <v/>
      </c>
      <c r="AA318" s="72" t="str">
        <f t="shared" ref="AA318:AA330" si="143">IF(AND(C316&lt;&gt;"Field SPL",W315&lt;=144,Y316&gt;144),"ERROR","")</f>
        <v/>
      </c>
      <c r="AB318" s="72"/>
      <c r="AC318" s="72">
        <f t="shared" si="128"/>
        <v>1</v>
      </c>
      <c r="AD318" s="72">
        <f t="shared" si="129"/>
        <v>1</v>
      </c>
      <c r="AE318" s="109" t="str">
        <f t="shared" si="130"/>
        <v>0-0</v>
      </c>
      <c r="AF318" s="109" t="str">
        <f t="shared" si="131"/>
        <v>Y</v>
      </c>
      <c r="AG318" s="109" t="str">
        <f t="shared" si="132"/>
        <v>B</v>
      </c>
      <c r="AM318" s="109">
        <f t="shared" si="133"/>
        <v>0</v>
      </c>
      <c r="AN318" s="109">
        <f t="shared" si="134"/>
        <v>0</v>
      </c>
      <c r="AO318" s="109" t="str">
        <f t="shared" si="135"/>
        <v/>
      </c>
      <c r="AQ318" s="109" t="str">
        <f t="shared" si="136"/>
        <v/>
      </c>
      <c r="BA318" s="229">
        <f>MOD(SUM(E304:E319),12)</f>
        <v>0</v>
      </c>
    </row>
    <row r="319" spans="1:53" ht="15.75" thickBot="1" x14ac:dyDescent="0.3">
      <c r="A319" s="88"/>
      <c r="B319" s="66" t="s">
        <v>293</v>
      </c>
      <c r="C319" s="67"/>
      <c r="D319" s="102"/>
      <c r="E319" s="32"/>
      <c r="F319" s="32"/>
      <c r="G319" s="68" t="s">
        <v>277</v>
      </c>
      <c r="H319" s="69">
        <f t="shared" si="137"/>
        <v>0</v>
      </c>
      <c r="I319" s="70">
        <f t="shared" si="138"/>
        <v>0</v>
      </c>
      <c r="J319" s="73" t="str">
        <f t="shared" si="139"/>
        <v>--</v>
      </c>
      <c r="K319" s="32"/>
      <c r="L319" s="233"/>
      <c r="M319" s="277"/>
      <c r="N319" s="277"/>
      <c r="O319" s="277"/>
      <c r="P319" s="277"/>
      <c r="Q319" s="277"/>
      <c r="R319" s="277"/>
      <c r="S319" s="277"/>
      <c r="T319" s="277"/>
      <c r="U319" s="278"/>
      <c r="V319" s="103"/>
      <c r="W319" s="84">
        <f t="shared" ref="W319:W327" si="144">Y319+1</f>
        <v>37</v>
      </c>
      <c r="X319" s="84"/>
      <c r="Y319" s="78">
        <f>SUM(E304:E319)</f>
        <v>36</v>
      </c>
      <c r="Z319" s="72" t="str">
        <f t="shared" si="142"/>
        <v/>
      </c>
      <c r="AA319" s="72" t="str">
        <f t="shared" si="143"/>
        <v/>
      </c>
      <c r="AB319" s="72"/>
      <c r="AC319" s="72">
        <f t="shared" si="128"/>
        <v>1</v>
      </c>
      <c r="AD319" s="72">
        <f t="shared" si="129"/>
        <v>1</v>
      </c>
      <c r="AE319" s="109" t="str">
        <f t="shared" si="130"/>
        <v>0-0</v>
      </c>
      <c r="AF319" s="109" t="str">
        <f t="shared" si="131"/>
        <v>Y</v>
      </c>
      <c r="AG319" s="109" t="str">
        <f t="shared" si="132"/>
        <v>B</v>
      </c>
      <c r="AM319" s="109">
        <f t="shared" si="133"/>
        <v>0</v>
      </c>
      <c r="AN319" s="109">
        <f t="shared" si="134"/>
        <v>0</v>
      </c>
      <c r="AO319" s="109" t="str">
        <f t="shared" si="135"/>
        <v/>
      </c>
      <c r="AQ319" s="109" t="str">
        <f t="shared" si="136"/>
        <v/>
      </c>
      <c r="BA319" s="229">
        <f>MOD(SUM(E304:E320),12)</f>
        <v>0</v>
      </c>
    </row>
    <row r="320" spans="1:53" ht="15.75" thickBot="1" x14ac:dyDescent="0.3">
      <c r="A320" s="88"/>
      <c r="B320" s="66" t="s">
        <v>294</v>
      </c>
      <c r="C320" s="67"/>
      <c r="D320" s="102"/>
      <c r="E320" s="32"/>
      <c r="F320" s="32"/>
      <c r="G320" s="68" t="s">
        <v>277</v>
      </c>
      <c r="H320" s="69">
        <f t="shared" si="137"/>
        <v>0</v>
      </c>
      <c r="I320" s="70">
        <f t="shared" si="138"/>
        <v>0</v>
      </c>
      <c r="J320" s="73" t="str">
        <f t="shared" si="139"/>
        <v>--</v>
      </c>
      <c r="K320" s="32"/>
      <c r="L320" s="233"/>
      <c r="M320" s="277"/>
      <c r="N320" s="277"/>
      <c r="O320" s="277"/>
      <c r="P320" s="277"/>
      <c r="Q320" s="277"/>
      <c r="R320" s="277"/>
      <c r="S320" s="277"/>
      <c r="T320" s="277"/>
      <c r="U320" s="278"/>
      <c r="V320" s="103"/>
      <c r="W320" s="84">
        <f t="shared" si="144"/>
        <v>37</v>
      </c>
      <c r="X320" s="84"/>
      <c r="Y320" s="78">
        <f>SUM(E304:E320)</f>
        <v>36</v>
      </c>
      <c r="Z320" s="72" t="str">
        <f t="shared" si="142"/>
        <v/>
      </c>
      <c r="AA320" s="72" t="str">
        <f t="shared" si="143"/>
        <v/>
      </c>
      <c r="AB320" s="72"/>
      <c r="AC320" s="72">
        <f t="shared" si="128"/>
        <v>1</v>
      </c>
      <c r="AD320" s="72">
        <f t="shared" si="129"/>
        <v>1</v>
      </c>
      <c r="AE320" s="109" t="str">
        <f t="shared" si="130"/>
        <v>0-0</v>
      </c>
      <c r="AF320" s="109" t="str">
        <f t="shared" si="131"/>
        <v>Y</v>
      </c>
      <c r="AG320" s="109" t="str">
        <f t="shared" si="132"/>
        <v>B</v>
      </c>
      <c r="AM320" s="109">
        <f t="shared" si="133"/>
        <v>0</v>
      </c>
      <c r="AN320" s="109">
        <f t="shared" si="134"/>
        <v>0</v>
      </c>
      <c r="AO320" s="109" t="str">
        <f t="shared" si="135"/>
        <v/>
      </c>
      <c r="AQ320" s="109" t="str">
        <f t="shared" si="136"/>
        <v/>
      </c>
      <c r="BA320" s="229">
        <f>MOD(SUM(E304:E321),12)</f>
        <v>0</v>
      </c>
    </row>
    <row r="321" spans="1:53" ht="15.75" thickBot="1" x14ac:dyDescent="0.3">
      <c r="A321" s="88"/>
      <c r="B321" s="66" t="s">
        <v>295</v>
      </c>
      <c r="C321" s="67"/>
      <c r="D321" s="102"/>
      <c r="E321" s="32"/>
      <c r="F321" s="32"/>
      <c r="G321" s="68" t="s">
        <v>277</v>
      </c>
      <c r="H321" s="69">
        <f t="shared" si="137"/>
        <v>0</v>
      </c>
      <c r="I321" s="70">
        <f t="shared" si="138"/>
        <v>0</v>
      </c>
      <c r="J321" s="73" t="str">
        <f t="shared" si="139"/>
        <v>--</v>
      </c>
      <c r="K321" s="32"/>
      <c r="L321" s="233"/>
      <c r="M321" s="277"/>
      <c r="N321" s="277"/>
      <c r="O321" s="277"/>
      <c r="P321" s="277"/>
      <c r="Q321" s="277"/>
      <c r="R321" s="277"/>
      <c r="S321" s="277"/>
      <c r="T321" s="277"/>
      <c r="U321" s="278"/>
      <c r="V321" s="103"/>
      <c r="W321" s="84">
        <f t="shared" si="144"/>
        <v>37</v>
      </c>
      <c r="X321" s="84"/>
      <c r="Y321" s="78">
        <f>SUM(E304:E321)</f>
        <v>36</v>
      </c>
      <c r="Z321" s="72" t="str">
        <f t="shared" si="142"/>
        <v/>
      </c>
      <c r="AA321" s="72" t="str">
        <f t="shared" si="143"/>
        <v/>
      </c>
      <c r="AB321" s="72"/>
      <c r="AC321" s="72">
        <f t="shared" si="128"/>
        <v>1</v>
      </c>
      <c r="AD321" s="72">
        <f t="shared" si="129"/>
        <v>1</v>
      </c>
      <c r="AE321" s="109" t="str">
        <f t="shared" si="130"/>
        <v>0-0</v>
      </c>
      <c r="AF321" s="109" t="str">
        <f t="shared" si="131"/>
        <v>Y</v>
      </c>
      <c r="AG321" s="109" t="str">
        <f t="shared" si="132"/>
        <v>B</v>
      </c>
      <c r="AM321" s="109">
        <f t="shared" si="133"/>
        <v>0</v>
      </c>
      <c r="AN321" s="109">
        <f t="shared" si="134"/>
        <v>0</v>
      </c>
      <c r="AO321" s="109" t="str">
        <f t="shared" si="135"/>
        <v/>
      </c>
      <c r="AQ321" s="109" t="str">
        <f t="shared" si="136"/>
        <v/>
      </c>
      <c r="BA321" s="229">
        <f>MOD(SUM(E304:E322),12)</f>
        <v>0</v>
      </c>
    </row>
    <row r="322" spans="1:53" ht="15.75" thickBot="1" x14ac:dyDescent="0.3">
      <c r="A322" s="88"/>
      <c r="B322" s="66" t="s">
        <v>296</v>
      </c>
      <c r="C322" s="67"/>
      <c r="D322" s="102"/>
      <c r="E322" s="32"/>
      <c r="F322" s="32"/>
      <c r="G322" s="68" t="s">
        <v>277</v>
      </c>
      <c r="H322" s="69">
        <f t="shared" si="137"/>
        <v>0</v>
      </c>
      <c r="I322" s="70">
        <f t="shared" si="138"/>
        <v>0</v>
      </c>
      <c r="J322" s="73" t="str">
        <f t="shared" si="139"/>
        <v>--</v>
      </c>
      <c r="K322" s="32"/>
      <c r="L322" s="233"/>
      <c r="M322" s="277"/>
      <c r="N322" s="277"/>
      <c r="O322" s="277"/>
      <c r="P322" s="277"/>
      <c r="Q322" s="277"/>
      <c r="R322" s="277"/>
      <c r="S322" s="277"/>
      <c r="T322" s="277"/>
      <c r="U322" s="278"/>
      <c r="V322" s="103"/>
      <c r="W322" s="84">
        <f t="shared" si="144"/>
        <v>37</v>
      </c>
      <c r="X322" s="84"/>
      <c r="Y322" s="78">
        <f>SUM(E304:E322)</f>
        <v>36</v>
      </c>
      <c r="Z322" s="72" t="str">
        <f t="shared" si="142"/>
        <v/>
      </c>
      <c r="AA322" s="72" t="str">
        <f t="shared" si="143"/>
        <v/>
      </c>
      <c r="AB322" s="72"/>
      <c r="AC322" s="72">
        <f t="shared" si="128"/>
        <v>1</v>
      </c>
      <c r="AD322" s="72">
        <f t="shared" si="129"/>
        <v>1</v>
      </c>
      <c r="AE322" s="109" t="str">
        <f t="shared" si="130"/>
        <v>0-0</v>
      </c>
      <c r="AF322" s="109" t="str">
        <f t="shared" si="131"/>
        <v>Y</v>
      </c>
      <c r="AG322" s="109" t="str">
        <f t="shared" si="132"/>
        <v>B</v>
      </c>
      <c r="AM322" s="109">
        <f t="shared" si="133"/>
        <v>0</v>
      </c>
      <c r="AN322" s="109">
        <f t="shared" si="134"/>
        <v>0</v>
      </c>
      <c r="AO322" s="109" t="str">
        <f t="shared" si="135"/>
        <v/>
      </c>
      <c r="AQ322" s="109" t="str">
        <f t="shared" si="136"/>
        <v/>
      </c>
      <c r="BA322" s="229">
        <f>MOD(SUM(E304:E323),12)</f>
        <v>0</v>
      </c>
    </row>
    <row r="323" spans="1:53" ht="15.75" thickBot="1" x14ac:dyDescent="0.3">
      <c r="A323" s="88"/>
      <c r="B323" s="66" t="s">
        <v>297</v>
      </c>
      <c r="C323" s="67"/>
      <c r="D323" s="102"/>
      <c r="E323" s="32"/>
      <c r="F323" s="32"/>
      <c r="G323" s="68" t="s">
        <v>277</v>
      </c>
      <c r="H323" s="69">
        <f t="shared" si="137"/>
        <v>0</v>
      </c>
      <c r="I323" s="70">
        <f t="shared" si="138"/>
        <v>0</v>
      </c>
      <c r="J323" s="73" t="str">
        <f t="shared" si="139"/>
        <v>--</v>
      </c>
      <c r="K323" s="32"/>
      <c r="L323" s="233"/>
      <c r="M323" s="277"/>
      <c r="N323" s="277"/>
      <c r="O323" s="277"/>
      <c r="P323" s="277"/>
      <c r="Q323" s="277"/>
      <c r="R323" s="277"/>
      <c r="S323" s="277"/>
      <c r="T323" s="277"/>
      <c r="U323" s="278"/>
      <c r="V323" s="103"/>
      <c r="W323" s="84">
        <f t="shared" si="144"/>
        <v>37</v>
      </c>
      <c r="X323" s="84"/>
      <c r="Y323" s="78">
        <f>SUM(E304:E323)</f>
        <v>36</v>
      </c>
      <c r="Z323" s="72" t="str">
        <f t="shared" si="142"/>
        <v/>
      </c>
      <c r="AA323" s="72" t="str">
        <f t="shared" si="143"/>
        <v/>
      </c>
      <c r="AB323" s="72"/>
      <c r="AC323" s="72">
        <f t="shared" si="128"/>
        <v>1</v>
      </c>
      <c r="AD323" s="72">
        <f t="shared" si="129"/>
        <v>1</v>
      </c>
      <c r="AE323" s="109" t="str">
        <f t="shared" si="130"/>
        <v>0-0</v>
      </c>
      <c r="AF323" s="109" t="str">
        <f t="shared" si="131"/>
        <v>Y</v>
      </c>
      <c r="AG323" s="109" t="str">
        <f t="shared" si="132"/>
        <v>B</v>
      </c>
      <c r="AM323" s="109">
        <f t="shared" si="133"/>
        <v>0</v>
      </c>
      <c r="AN323" s="109">
        <f t="shared" si="134"/>
        <v>0</v>
      </c>
      <c r="AO323" s="109" t="str">
        <f t="shared" si="135"/>
        <v/>
      </c>
      <c r="AQ323" s="109" t="str">
        <f t="shared" si="136"/>
        <v/>
      </c>
      <c r="BA323" s="229">
        <f>MOD(SUM(E304:E324),12)</f>
        <v>0</v>
      </c>
    </row>
    <row r="324" spans="1:53" ht="15.75" thickBot="1" x14ac:dyDescent="0.3">
      <c r="A324" s="88"/>
      <c r="B324" s="66" t="s">
        <v>298</v>
      </c>
      <c r="C324" s="67"/>
      <c r="D324" s="102"/>
      <c r="E324" s="32"/>
      <c r="F324" s="32"/>
      <c r="G324" s="68" t="s">
        <v>277</v>
      </c>
      <c r="H324" s="69">
        <f t="shared" si="137"/>
        <v>0</v>
      </c>
      <c r="I324" s="70">
        <f t="shared" si="138"/>
        <v>0</v>
      </c>
      <c r="J324" s="73" t="str">
        <f t="shared" si="139"/>
        <v>--</v>
      </c>
      <c r="K324" s="32"/>
      <c r="L324" s="233"/>
      <c r="M324" s="277"/>
      <c r="N324" s="277"/>
      <c r="O324" s="277"/>
      <c r="P324" s="277"/>
      <c r="Q324" s="277"/>
      <c r="R324" s="277"/>
      <c r="S324" s="277"/>
      <c r="T324" s="277"/>
      <c r="U324" s="278"/>
      <c r="V324" s="103"/>
      <c r="W324" s="84">
        <f t="shared" si="144"/>
        <v>37</v>
      </c>
      <c r="X324" s="84"/>
      <c r="Y324" s="78">
        <f>SUM(E304:E324)</f>
        <v>36</v>
      </c>
      <c r="Z324" s="72" t="str">
        <f t="shared" si="142"/>
        <v/>
      </c>
      <c r="AA324" s="72" t="str">
        <f t="shared" si="143"/>
        <v/>
      </c>
      <c r="AB324" s="72"/>
      <c r="AC324" s="72">
        <f t="shared" si="128"/>
        <v>1</v>
      </c>
      <c r="AD324" s="72">
        <f t="shared" si="129"/>
        <v>1</v>
      </c>
      <c r="AE324" s="109" t="str">
        <f t="shared" si="130"/>
        <v>0-0</v>
      </c>
      <c r="AF324" s="109" t="str">
        <f t="shared" si="131"/>
        <v>Y</v>
      </c>
      <c r="AG324" s="109" t="str">
        <f t="shared" si="132"/>
        <v>B</v>
      </c>
      <c r="AM324" s="109">
        <f t="shared" si="133"/>
        <v>0</v>
      </c>
      <c r="AN324" s="109">
        <f t="shared" si="134"/>
        <v>0</v>
      </c>
      <c r="AO324" s="109" t="str">
        <f t="shared" si="135"/>
        <v/>
      </c>
      <c r="AQ324" s="109" t="str">
        <f t="shared" si="136"/>
        <v/>
      </c>
      <c r="BA324" s="229">
        <f>MOD(SUM(E304:E325),12)</f>
        <v>0</v>
      </c>
    </row>
    <row r="325" spans="1:53" ht="15.75" thickBot="1" x14ac:dyDescent="0.3">
      <c r="A325" s="88"/>
      <c r="B325" s="66" t="s">
        <v>299</v>
      </c>
      <c r="C325" s="67"/>
      <c r="D325" s="102"/>
      <c r="E325" s="32"/>
      <c r="F325" s="32"/>
      <c r="G325" s="68" t="s">
        <v>277</v>
      </c>
      <c r="H325" s="69">
        <f t="shared" si="137"/>
        <v>0</v>
      </c>
      <c r="I325" s="70">
        <f t="shared" si="138"/>
        <v>0</v>
      </c>
      <c r="J325" s="73" t="str">
        <f t="shared" si="139"/>
        <v>--</v>
      </c>
      <c r="K325" s="32"/>
      <c r="L325" s="233"/>
      <c r="M325" s="277"/>
      <c r="N325" s="277"/>
      <c r="O325" s="277"/>
      <c r="P325" s="277"/>
      <c r="Q325" s="277"/>
      <c r="R325" s="277"/>
      <c r="S325" s="277"/>
      <c r="T325" s="277"/>
      <c r="U325" s="278"/>
      <c r="V325" s="103"/>
      <c r="W325" s="84">
        <f t="shared" si="144"/>
        <v>37</v>
      </c>
      <c r="X325" s="84"/>
      <c r="Y325" s="78">
        <f>SUM(E304:E325)</f>
        <v>36</v>
      </c>
      <c r="Z325" s="72" t="str">
        <f t="shared" si="142"/>
        <v/>
      </c>
      <c r="AA325" s="72" t="str">
        <f t="shared" si="143"/>
        <v/>
      </c>
      <c r="AB325" s="72"/>
      <c r="AC325" s="72">
        <f t="shared" si="128"/>
        <v>1</v>
      </c>
      <c r="AD325" s="72">
        <f t="shared" si="129"/>
        <v>1</v>
      </c>
      <c r="AE325" s="109" t="str">
        <f t="shared" si="130"/>
        <v>0-0</v>
      </c>
      <c r="AF325" s="109" t="str">
        <f t="shared" si="131"/>
        <v>Y</v>
      </c>
      <c r="AG325" s="109" t="str">
        <f t="shared" si="132"/>
        <v>B</v>
      </c>
      <c r="AM325" s="109">
        <f t="shared" si="133"/>
        <v>0</v>
      </c>
      <c r="AN325" s="109">
        <f t="shared" si="134"/>
        <v>0</v>
      </c>
      <c r="AO325" s="109" t="str">
        <f t="shared" si="135"/>
        <v/>
      </c>
      <c r="AQ325" s="109" t="str">
        <f t="shared" si="136"/>
        <v/>
      </c>
      <c r="BA325" s="229">
        <f>MOD(SUM(E304:E326),12)</f>
        <v>0</v>
      </c>
    </row>
    <row r="326" spans="1:53" ht="15.75" thickBot="1" x14ac:dyDescent="0.3">
      <c r="A326" s="88"/>
      <c r="B326" s="66" t="s">
        <v>300</v>
      </c>
      <c r="C326" s="67"/>
      <c r="D326" s="102"/>
      <c r="E326" s="32"/>
      <c r="F326" s="32"/>
      <c r="G326" s="68" t="s">
        <v>277</v>
      </c>
      <c r="H326" s="69">
        <f t="shared" si="137"/>
        <v>0</v>
      </c>
      <c r="I326" s="70">
        <f t="shared" si="138"/>
        <v>0</v>
      </c>
      <c r="J326" s="73" t="str">
        <f t="shared" si="139"/>
        <v>--</v>
      </c>
      <c r="K326" s="32"/>
      <c r="L326" s="233"/>
      <c r="M326" s="277"/>
      <c r="N326" s="277"/>
      <c r="O326" s="277"/>
      <c r="P326" s="277"/>
      <c r="Q326" s="277"/>
      <c r="R326" s="277"/>
      <c r="S326" s="277"/>
      <c r="T326" s="277"/>
      <c r="U326" s="278"/>
      <c r="V326" s="103"/>
      <c r="W326" s="84">
        <f t="shared" si="144"/>
        <v>37</v>
      </c>
      <c r="X326" s="84"/>
      <c r="Y326" s="78">
        <f>SUM(E304:E326)</f>
        <v>36</v>
      </c>
      <c r="Z326" s="72" t="str">
        <f t="shared" si="142"/>
        <v/>
      </c>
      <c r="AA326" s="72" t="str">
        <f t="shared" si="143"/>
        <v/>
      </c>
      <c r="AB326" s="72"/>
      <c r="AC326" s="72">
        <f t="shared" si="128"/>
        <v>1</v>
      </c>
      <c r="AD326" s="72">
        <f t="shared" si="129"/>
        <v>1</v>
      </c>
      <c r="AE326" s="109" t="str">
        <f t="shared" si="130"/>
        <v>0-0</v>
      </c>
      <c r="AF326" s="109" t="str">
        <f t="shared" si="131"/>
        <v>Y</v>
      </c>
      <c r="AG326" s="109" t="str">
        <f t="shared" si="132"/>
        <v>B</v>
      </c>
      <c r="AM326" s="109">
        <f t="shared" si="133"/>
        <v>0</v>
      </c>
      <c r="AN326" s="109">
        <f t="shared" si="134"/>
        <v>0</v>
      </c>
      <c r="AO326" s="109" t="str">
        <f t="shared" si="135"/>
        <v/>
      </c>
      <c r="AQ326" s="109" t="str">
        <f t="shared" si="136"/>
        <v/>
      </c>
      <c r="BA326" s="229">
        <f>MOD(SUM(E304:E327),12)</f>
        <v>0</v>
      </c>
    </row>
    <row r="327" spans="1:53" ht="15.75" thickBot="1" x14ac:dyDescent="0.3">
      <c r="A327" s="88"/>
      <c r="B327" s="66" t="s">
        <v>301</v>
      </c>
      <c r="C327" s="67"/>
      <c r="D327" s="102"/>
      <c r="E327" s="32"/>
      <c r="F327" s="32"/>
      <c r="G327" s="68" t="s">
        <v>277</v>
      </c>
      <c r="H327" s="69">
        <f t="shared" si="137"/>
        <v>0</v>
      </c>
      <c r="I327" s="70">
        <f t="shared" si="138"/>
        <v>0</v>
      </c>
      <c r="J327" s="73" t="str">
        <f t="shared" si="139"/>
        <v>--</v>
      </c>
      <c r="K327" s="32"/>
      <c r="L327" s="233"/>
      <c r="M327" s="277"/>
      <c r="N327" s="277"/>
      <c r="O327" s="277"/>
      <c r="P327" s="277"/>
      <c r="Q327" s="277"/>
      <c r="R327" s="277"/>
      <c r="S327" s="277"/>
      <c r="T327" s="277"/>
      <c r="U327" s="278"/>
      <c r="V327" s="103"/>
      <c r="W327" s="84">
        <f t="shared" si="144"/>
        <v>37</v>
      </c>
      <c r="X327" s="84"/>
      <c r="Y327" s="78">
        <f>SUM(E304:E327)</f>
        <v>36</v>
      </c>
      <c r="Z327" s="72" t="str">
        <f t="shared" si="142"/>
        <v/>
      </c>
      <c r="AA327" s="72" t="str">
        <f t="shared" si="143"/>
        <v/>
      </c>
      <c r="AB327" s="72"/>
      <c r="AC327" s="72">
        <f t="shared" si="128"/>
        <v>1</v>
      </c>
      <c r="AD327" s="72">
        <f t="shared" si="129"/>
        <v>1</v>
      </c>
      <c r="AE327" s="109" t="str">
        <f t="shared" si="130"/>
        <v>0-0</v>
      </c>
      <c r="AF327" s="109" t="str">
        <f t="shared" si="131"/>
        <v>Y</v>
      </c>
      <c r="AG327" s="109" t="str">
        <f t="shared" si="132"/>
        <v>B</v>
      </c>
      <c r="AM327" s="109">
        <f t="shared" si="133"/>
        <v>0</v>
      </c>
      <c r="AN327" s="109">
        <f t="shared" si="134"/>
        <v>0</v>
      </c>
      <c r="AO327" s="109" t="str">
        <f t="shared" si="135"/>
        <v/>
      </c>
      <c r="AQ327" s="109" t="str">
        <f t="shared" si="136"/>
        <v/>
      </c>
      <c r="BA327" s="229">
        <f>MOD(SUM(E304:E328),12)</f>
        <v>0</v>
      </c>
    </row>
    <row r="328" spans="1:53" ht="15.75" thickBot="1" x14ac:dyDescent="0.3">
      <c r="A328" s="88"/>
      <c r="B328" s="66" t="s">
        <v>302</v>
      </c>
      <c r="C328" s="67"/>
      <c r="D328" s="102"/>
      <c r="E328" s="32"/>
      <c r="F328" s="32"/>
      <c r="G328" s="68" t="s">
        <v>277</v>
      </c>
      <c r="H328" s="69">
        <f t="shared" si="137"/>
        <v>0</v>
      </c>
      <c r="I328" s="70">
        <f t="shared" si="138"/>
        <v>0</v>
      </c>
      <c r="J328" s="73" t="str">
        <f t="shared" si="139"/>
        <v>--</v>
      </c>
      <c r="K328" s="32"/>
      <c r="L328" s="234"/>
      <c r="M328" s="277"/>
      <c r="N328" s="277"/>
      <c r="O328" s="277"/>
      <c r="P328" s="277"/>
      <c r="Q328" s="277"/>
      <c r="R328" s="277"/>
      <c r="S328" s="277"/>
      <c r="T328" s="277"/>
      <c r="U328" s="278"/>
      <c r="V328" s="103"/>
      <c r="W328" s="72"/>
      <c r="X328" s="72"/>
      <c r="Y328" s="78">
        <f>SUM(E304:E328)</f>
        <v>36</v>
      </c>
      <c r="Z328" s="72" t="str">
        <f t="shared" si="142"/>
        <v/>
      </c>
      <c r="AA328" s="72" t="str">
        <f t="shared" si="143"/>
        <v/>
      </c>
      <c r="AB328" s="72"/>
      <c r="AC328" s="72">
        <f t="shared" si="128"/>
        <v>1</v>
      </c>
      <c r="AD328" s="72">
        <f t="shared" si="129"/>
        <v>1</v>
      </c>
      <c r="AE328" s="109" t="str">
        <f t="shared" si="130"/>
        <v>0-0</v>
      </c>
      <c r="AF328" s="109" t="str">
        <f t="shared" si="131"/>
        <v>Y</v>
      </c>
      <c r="AG328" s="109" t="str">
        <f t="shared" si="132"/>
        <v>B</v>
      </c>
      <c r="AM328" s="109">
        <f t="shared" si="133"/>
        <v>0</v>
      </c>
      <c r="AN328" s="109">
        <f t="shared" si="134"/>
        <v>0</v>
      </c>
      <c r="AO328" s="109" t="str">
        <f t="shared" si="135"/>
        <v/>
      </c>
      <c r="AQ328" s="109" t="str">
        <f t="shared" si="136"/>
        <v/>
      </c>
      <c r="BA328" s="228"/>
    </row>
    <row r="329" spans="1:53" ht="16.5" thickBot="1" x14ac:dyDescent="0.3">
      <c r="A329" s="88"/>
      <c r="B329" s="319" t="s">
        <v>319</v>
      </c>
      <c r="C329" s="320"/>
      <c r="D329" s="79"/>
      <c r="E329" s="80"/>
      <c r="F329" s="80"/>
      <c r="G329" s="81"/>
      <c r="H329" s="192"/>
      <c r="I329" s="192"/>
      <c r="J329" s="192"/>
      <c r="K329" s="82"/>
      <c r="L329" s="319" t="s">
        <v>306</v>
      </c>
      <c r="M329" s="330"/>
      <c r="N329" s="330"/>
      <c r="O329" s="330"/>
      <c r="P329" s="330"/>
      <c r="Q329" s="330"/>
      <c r="R329" s="330"/>
      <c r="S329" s="330"/>
      <c r="T329" s="330"/>
      <c r="U329" s="320"/>
      <c r="V329" s="104"/>
      <c r="W329" s="72"/>
      <c r="X329" s="72"/>
      <c r="Y329" s="72"/>
      <c r="Z329" s="72"/>
      <c r="AA329" s="72" t="str">
        <f t="shared" si="143"/>
        <v/>
      </c>
      <c r="AB329" s="72"/>
      <c r="AC329" s="72">
        <f>SUM(AC304:AC328)</f>
        <v>25</v>
      </c>
      <c r="AD329" s="72">
        <f>SUM(AD304:AD328)</f>
        <v>23</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319" t="s">
        <v>307</v>
      </c>
      <c r="C330" s="320"/>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43"/>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312" t="s">
        <v>222</v>
      </c>
      <c r="C334" s="313"/>
      <c r="D334" s="314" t="s">
        <v>223</v>
      </c>
      <c r="E334" s="305"/>
      <c r="F334" s="88"/>
      <c r="G334" s="315" t="s">
        <v>224</v>
      </c>
      <c r="H334" s="316"/>
      <c r="I334" s="28">
        <f>SUM(E345:E369)</f>
        <v>12</v>
      </c>
      <c r="J334" s="317" t="s">
        <v>225</v>
      </c>
      <c r="K334" s="318"/>
      <c r="L334" s="305"/>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5" t="s">
        <v>226</v>
      </c>
      <c r="AA334" s="296"/>
      <c r="AB334" s="297"/>
      <c r="AC334" s="25"/>
      <c r="AD334" s="25"/>
      <c r="AH334" s="109">
        <v>2</v>
      </c>
      <c r="AI334" s="109" t="str">
        <f>IF($E335="SS",COUNTIFS($C345:$C369,"FST",$E345:$E369,"2"),"0")</f>
        <v>0</v>
      </c>
      <c r="AJ334" s="109" t="str">
        <f>IF($E335="RPX",COUNTIFS($C345:$C369,"FST",$E345:$E369,"2"),"0")</f>
        <v>0</v>
      </c>
      <c r="AK334" s="109">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1</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4" t="s">
        <v>230</v>
      </c>
      <c r="H335" s="305"/>
      <c r="I335" s="33">
        <f>E336-I334</f>
        <v>12</v>
      </c>
      <c r="J335" s="289" t="s">
        <v>231</v>
      </c>
      <c r="K335" s="290"/>
      <c r="L335" s="34">
        <f>I339</f>
        <v>745</v>
      </c>
      <c r="M335" s="196">
        <v>4</v>
      </c>
      <c r="N335" s="35">
        <f>SUM(AI335,AI346)</f>
        <v>0</v>
      </c>
      <c r="O335" s="35">
        <v>0</v>
      </c>
      <c r="P335" s="35">
        <f>SUM(AJ335,AJ346)</f>
        <v>0</v>
      </c>
      <c r="Q335" s="35">
        <v>0</v>
      </c>
      <c r="R335" s="35">
        <f>COUNTIFS($E345:$E369,"4",$F345:$F369,"Pole",$C345:$C369,"FST")</f>
        <v>0</v>
      </c>
      <c r="S335" s="35">
        <f>SUM(AL335,AK346)</f>
        <v>0</v>
      </c>
      <c r="T335" s="35">
        <v>0</v>
      </c>
      <c r="U335" s="35">
        <f>SUM(AK335,AL346)</f>
        <v>0</v>
      </c>
      <c r="V335" s="35">
        <v>0</v>
      </c>
      <c r="W335" s="34">
        <f>COUNTIFS($E345:$E369,"4",$F345:$F369,"HH",$C345:$C369,"FST")</f>
        <v>0</v>
      </c>
      <c r="X335" s="35">
        <f>COUNTIFS($E345:$E369,"4",$F345:$F369,"Ped",$C345:$C369,"FST")</f>
        <v>0</v>
      </c>
      <c r="Y335" s="25"/>
      <c r="Z335" s="298" t="s">
        <v>232</v>
      </c>
      <c r="AA335" s="300" t="s">
        <v>233</v>
      </c>
      <c r="AB335" s="301"/>
      <c r="AC335" s="25"/>
      <c r="AD335" s="25"/>
      <c r="AH335" s="109">
        <v>4</v>
      </c>
      <c r="AI335" s="109" t="str">
        <f>IF($E335="SS",COUNTIFS($C345:$C369,"FST",$E345:$E369,"4"),"0")</f>
        <v>0</v>
      </c>
      <c r="AJ335" s="109" t="str">
        <f>IF($E335="RPX",COUNTIFS($C345:$C369,"FST",$E345:$E369,"4"),"0")</f>
        <v>0</v>
      </c>
      <c r="AK335" s="109">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24</v>
      </c>
      <c r="F336" s="88"/>
      <c r="G336" s="291" t="s">
        <v>237</v>
      </c>
      <c r="H336" s="292"/>
      <c r="I336" s="35">
        <f>IF(E336=0,0,12-(MOD(I334,12)))</f>
        <v>12</v>
      </c>
      <c r="J336" s="289" t="s">
        <v>238</v>
      </c>
      <c r="K336" s="290"/>
      <c r="L336" s="39">
        <f>I340-I334</f>
        <v>744</v>
      </c>
      <c r="M336" s="196">
        <v>6</v>
      </c>
      <c r="N336" s="35">
        <f>SUM(AI336,AI347)</f>
        <v>0</v>
      </c>
      <c r="O336" s="35">
        <v>0</v>
      </c>
      <c r="P336" s="35">
        <f>SUM(AJ336,AJ347)</f>
        <v>0</v>
      </c>
      <c r="Q336" s="35">
        <v>0</v>
      </c>
      <c r="R336" s="35">
        <f>COUNTIFS($E345:$E369,"6",$F345:$F369,"Pole",$C345:$C369,"FST")</f>
        <v>2</v>
      </c>
      <c r="S336" s="35">
        <f>SUM(AL336,AK347)</f>
        <v>0</v>
      </c>
      <c r="T336" s="35">
        <v>0</v>
      </c>
      <c r="U336" s="35">
        <f>SUM(AK336,AL347)</f>
        <v>2</v>
      </c>
      <c r="V336" s="35">
        <v>0</v>
      </c>
      <c r="W336" s="34">
        <f>COUNTIFS($E345:$E369,"6",$F345:$F369,"HH",$C345:$C369,"FST")</f>
        <v>0</v>
      </c>
      <c r="X336" s="35">
        <f>COUNTIFS($E345:$E369,"6",$F345:$F369,"Ped",$C345:$C369,"FST")</f>
        <v>0</v>
      </c>
      <c r="Y336" s="25"/>
      <c r="Z336" s="299"/>
      <c r="AA336" s="302"/>
      <c r="AB336" s="303"/>
      <c r="AC336" s="25"/>
      <c r="AD336" s="25"/>
      <c r="AH336" s="109">
        <v>6</v>
      </c>
      <c r="AI336" s="109" t="str">
        <f>IF($E335="SS",COUNTIFS($C345:$C369,"FST",$E345:$E369,"6"),"0")</f>
        <v>0</v>
      </c>
      <c r="AJ336" s="109" t="str">
        <f>IF($E335="RPX",COUNTIFS($C345:$C369,"FST",$E345:$E369,"6"),"0")</f>
        <v>0</v>
      </c>
      <c r="AK336" s="109">
        <f>IF($E335="EUC",COUNTIFS($C345:$C369,"FST",$E345:$E369,"6"),"0")</f>
        <v>2</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12</v>
      </c>
      <c r="F337" s="88"/>
      <c r="G337" s="321" t="s">
        <v>242</v>
      </c>
      <c r="H337" s="43" t="s">
        <v>243</v>
      </c>
      <c r="I337" s="35">
        <f>IF(E337&lt;&gt;0,1,0)</f>
        <v>1</v>
      </c>
      <c r="J337" s="291" t="s">
        <v>244</v>
      </c>
      <c r="K337" s="292"/>
      <c r="L337" s="44">
        <f>'Cable Calculator'!AR3</f>
        <v>573</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745</v>
      </c>
      <c r="F338" s="88"/>
      <c r="G338" s="322"/>
      <c r="H338" s="47" t="s">
        <v>248</v>
      </c>
      <c r="I338" s="35">
        <f>IF(E337&lt;&gt;0,E337,0)</f>
        <v>12</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0</v>
      </c>
      <c r="V338" s="35">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2</v>
      </c>
      <c r="F339" s="88"/>
      <c r="G339" s="321" t="s">
        <v>251</v>
      </c>
      <c r="H339" s="51" t="s">
        <v>252</v>
      </c>
      <c r="I339" s="112">
        <f>E338</f>
        <v>745</v>
      </c>
      <c r="J339" s="323" t="s">
        <v>253</v>
      </c>
      <c r="K339" s="324"/>
      <c r="L339" s="325"/>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Y</v>
      </c>
      <c r="F340" s="88"/>
      <c r="G340" s="322"/>
      <c r="H340" s="47" t="s">
        <v>257</v>
      </c>
      <c r="I340" s="35">
        <f>IF(E338="","0",IF(AND(E335="EUC",E336=432), I339+(203-E337),IF(E338=0,0,(E338+(E336-E337)-1))))</f>
        <v>756</v>
      </c>
      <c r="J340" s="285" t="str">
        <f>IFERROR(IF(OR(E335="EUC",E335="SS"),"---",IF(OR(P334,S334),"NO 2F Tethers for RPX!",IF(OR(P336,S336),"NO 6F Tethers for RPX!","---"))),"---")</f>
        <v>---</v>
      </c>
      <c r="K340" s="286"/>
      <c r="L340" s="287"/>
      <c r="M340" s="285" t="str">
        <f>IF(E337&gt;60,"Dead Count &gt;60: Consider Downsize","---")</f>
        <v>---</v>
      </c>
      <c r="N340" s="286"/>
      <c r="O340" s="286"/>
      <c r="P340" s="286"/>
      <c r="Q340" s="286"/>
      <c r="R340" s="286"/>
      <c r="S340" s="286"/>
      <c r="T340" s="286"/>
      <c r="U340" s="287"/>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12</v>
      </c>
      <c r="D341" s="31" t="s">
        <v>259</v>
      </c>
      <c r="E341" s="101" t="str">
        <f>IF(AS335="Y","DBL",IF(AS336="Y","TRPL",IF(AS337="Y","QUAD","")))</f>
        <v/>
      </c>
      <c r="F341" s="88"/>
      <c r="G341" s="192"/>
      <c r="H341" s="57"/>
      <c r="I341" s="192"/>
      <c r="J341" s="285"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86"/>
      <c r="L341" s="287"/>
      <c r="M341" s="285" t="str">
        <f>IF(AND(OR(E335="SS",E335="RPX",E335="EUC",E335="RPX-T"),(OR(C345="",C345="Field SPL"))),"Cannot have FlexNap cables without tethers","---")</f>
        <v>---</v>
      </c>
      <c r="N341" s="286"/>
      <c r="O341" s="286"/>
      <c r="P341" s="286"/>
      <c r="Q341" s="286"/>
      <c r="R341" s="286"/>
      <c r="S341" s="286"/>
      <c r="T341" s="286"/>
      <c r="U341" s="287"/>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85" t="str">
        <f>IF(AND(OR(E335="RPX", E335="RPX-T", E335="SS"),E336=216),"NO 216 For RPX, RPX-T, OR SS CABLE","---")</f>
        <v>---</v>
      </c>
      <c r="K342" s="286"/>
      <c r="L342" s="287"/>
      <c r="M342" s="285" t="str" cm="1">
        <f t="array" ref="M342">IF(AND(E335="",OR(C345:C369="FST",C345:C369="REV T",C345:C369="DBL REV",C345:C369="TPL REV", C345:C369="QD REV")),"Non-FlexNap cables cannot have tethers","---")</f>
        <v>---</v>
      </c>
      <c r="N342" s="286"/>
      <c r="O342" s="286"/>
      <c r="P342" s="286"/>
      <c r="Q342" s="286"/>
      <c r="R342" s="286"/>
      <c r="S342" s="286"/>
      <c r="T342" s="286"/>
      <c r="U342" s="287"/>
      <c r="V342" s="25"/>
      <c r="W342" s="58"/>
      <c r="X342" s="58"/>
      <c r="Y342" s="25"/>
      <c r="Z342" s="45">
        <v>6</v>
      </c>
      <c r="AA342" s="65">
        <v>61</v>
      </c>
      <c r="AB342" s="65">
        <v>72</v>
      </c>
      <c r="AC342" s="25"/>
      <c r="AD342" s="25"/>
      <c r="BA342" s="226"/>
    </row>
    <row r="343" spans="1:53" ht="15.75" customHeight="1" thickBot="1" x14ac:dyDescent="0.3">
      <c r="A343" s="88"/>
      <c r="B343" s="321" t="s">
        <v>260</v>
      </c>
      <c r="C343" s="293" t="s">
        <v>261</v>
      </c>
      <c r="D343" s="293" t="s">
        <v>262</v>
      </c>
      <c r="E343" s="306" t="s">
        <v>263</v>
      </c>
      <c r="F343" s="293" t="s">
        <v>264</v>
      </c>
      <c r="G343" s="308" t="s">
        <v>265</v>
      </c>
      <c r="H343" s="308" t="s">
        <v>266</v>
      </c>
      <c r="I343" s="308" t="s">
        <v>267</v>
      </c>
      <c r="J343" s="310" t="s">
        <v>268</v>
      </c>
      <c r="K343" s="293" t="s">
        <v>269</v>
      </c>
      <c r="L343" s="279" t="s">
        <v>270</v>
      </c>
      <c r="M343" s="281" t="s">
        <v>271</v>
      </c>
      <c r="N343" s="281"/>
      <c r="O343" s="281"/>
      <c r="P343" s="281"/>
      <c r="Q343" s="281"/>
      <c r="R343" s="281"/>
      <c r="S343" s="281"/>
      <c r="T343" s="281"/>
      <c r="U343" s="282"/>
      <c r="V343" s="107"/>
      <c r="W343" s="72"/>
      <c r="X343" s="72"/>
      <c r="Y343" s="72"/>
      <c r="Z343" s="45">
        <v>7</v>
      </c>
      <c r="AA343" s="65">
        <v>73</v>
      </c>
      <c r="AB343" s="65">
        <v>84</v>
      </c>
      <c r="AC343" s="25"/>
      <c r="AD343" s="25"/>
      <c r="BA343" s="228"/>
    </row>
    <row r="344" spans="1:53" ht="15.75" thickBot="1" x14ac:dyDescent="0.3">
      <c r="A344" s="88"/>
      <c r="B344" s="322"/>
      <c r="C344" s="294"/>
      <c r="D344" s="294"/>
      <c r="E344" s="307"/>
      <c r="F344" s="294"/>
      <c r="G344" s="309"/>
      <c r="H344" s="309"/>
      <c r="I344" s="309"/>
      <c r="J344" s="311"/>
      <c r="K344" s="294"/>
      <c r="L344" s="280"/>
      <c r="M344" s="283"/>
      <c r="N344" s="283"/>
      <c r="O344" s="283"/>
      <c r="P344" s="283"/>
      <c r="Q344" s="283"/>
      <c r="R344" s="283"/>
      <c r="S344" s="283"/>
      <c r="T344" s="283"/>
      <c r="U344" s="284"/>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754</v>
      </c>
      <c r="E345" s="32">
        <v>6</v>
      </c>
      <c r="F345" s="32" t="s">
        <v>483</v>
      </c>
      <c r="G345" s="68" t="s">
        <v>277</v>
      </c>
      <c r="H345" s="69">
        <f>IF(I345=0,0,I345-(E345-1))</f>
        <v>751</v>
      </c>
      <c r="I345" s="70">
        <f>IF(E345=0,0,I340)</f>
        <v>756</v>
      </c>
      <c r="J345" s="71" t="s">
        <v>278</v>
      </c>
      <c r="K345" s="32"/>
      <c r="L345" s="233"/>
      <c r="M345" s="277" t="s">
        <v>735</v>
      </c>
      <c r="N345" s="277"/>
      <c r="O345" s="277"/>
      <c r="P345" s="277"/>
      <c r="Q345" s="277"/>
      <c r="R345" s="277"/>
      <c r="S345" s="277"/>
      <c r="T345" s="277"/>
      <c r="U345" s="278"/>
      <c r="V345" s="103"/>
      <c r="W345" s="72"/>
      <c r="X345" s="72"/>
      <c r="Y345" s="72"/>
      <c r="Z345" s="45">
        <v>9</v>
      </c>
      <c r="AA345" s="46">
        <v>97</v>
      </c>
      <c r="AB345" s="46">
        <v>108</v>
      </c>
      <c r="AC345" s="72">
        <f t="shared" ref="AC345:AC369" si="145">IF(B345&lt;&gt;"FST",1,0)</f>
        <v>1</v>
      </c>
      <c r="AD345" s="72">
        <f t="shared" ref="AD345:AD369" si="146">IF(C345&lt;&gt;"FST",1,0)</f>
        <v>0</v>
      </c>
      <c r="AE345" s="109" t="str">
        <f t="shared" ref="AE345:AE369" si="147">CONCATENATE(H345,"-",I345)</f>
        <v>751-756</v>
      </c>
      <c r="AF345" s="109" t="str">
        <f t="shared" ref="AF345:AF369" si="148">IF(C345="Field SPL","N","Y")</f>
        <v>Y</v>
      </c>
      <c r="AG345" s="109" t="str">
        <f t="shared" ref="AG345:AG369" si="149">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50">VALUE(IF(C345="FST","0",IF(C345="REV T","1",IF(C345="DBL REV",".5","0"))))</f>
        <v>0</v>
      </c>
      <c r="AN345" s="109">
        <f t="shared" ref="AN345:AN369" si="151">VALUE(IF(C345="FST","0",IF(C345="REV T","0",IF(C345="DBL REV",".5","0"))))</f>
        <v>0</v>
      </c>
      <c r="AO345" s="109" t="str">
        <f t="shared" ref="AO345:AO369" si="152">IF(C345="TPL REV","Y","")</f>
        <v/>
      </c>
      <c r="AQ345" s="109" t="str">
        <f t="shared" ref="AQ345:AQ369" si="153">IF(C345="QD REV","Y","")</f>
        <v/>
      </c>
      <c r="BA345" s="229">
        <f>MOD(E345,12)</f>
        <v>6</v>
      </c>
    </row>
    <row r="346" spans="1:53" ht="15.75" thickBot="1" x14ac:dyDescent="0.3">
      <c r="A346" s="88"/>
      <c r="B346" s="66" t="s">
        <v>279</v>
      </c>
      <c r="C346" s="67" t="s">
        <v>484</v>
      </c>
      <c r="D346" s="102" t="s">
        <v>755</v>
      </c>
      <c r="E346" s="32">
        <v>6</v>
      </c>
      <c r="F346" s="32" t="s">
        <v>483</v>
      </c>
      <c r="G346" s="68" t="s">
        <v>277</v>
      </c>
      <c r="H346" s="69">
        <f t="shared" ref="H346:H369" si="154">IF(E346=0,0,I346-(E346-1))</f>
        <v>745</v>
      </c>
      <c r="I346" s="70">
        <f t="shared" ref="I346:I369" si="155">IF(E346=0,0,H345-1)</f>
        <v>750</v>
      </c>
      <c r="J346" s="73" t="str">
        <f>IF(C346="","--",IF(AND(C346&lt;&gt;"FST",C346&lt;&gt;"TCF",BA345&lt;&gt;0),BA345,"--"))</f>
        <v>--</v>
      </c>
      <c r="K346" s="32"/>
      <c r="L346" s="233"/>
      <c r="M346" s="277" t="s">
        <v>735</v>
      </c>
      <c r="N346" s="277"/>
      <c r="O346" s="277"/>
      <c r="P346" s="277"/>
      <c r="Q346" s="277"/>
      <c r="R346" s="277"/>
      <c r="S346" s="277"/>
      <c r="T346" s="277"/>
      <c r="U346" s="278"/>
      <c r="V346" s="103"/>
      <c r="W346" s="72"/>
      <c r="X346" s="72"/>
      <c r="Y346" s="72"/>
      <c r="Z346" s="45">
        <v>10</v>
      </c>
      <c r="AA346" s="46">
        <v>109</v>
      </c>
      <c r="AB346" s="46">
        <v>120</v>
      </c>
      <c r="AC346" s="72">
        <f t="shared" si="145"/>
        <v>1</v>
      </c>
      <c r="AD346" s="72">
        <f t="shared" si="146"/>
        <v>0</v>
      </c>
      <c r="AE346" s="109" t="str">
        <f t="shared" si="147"/>
        <v>745-750</v>
      </c>
      <c r="AF346" s="109" t="str">
        <f t="shared" si="148"/>
        <v>Y</v>
      </c>
      <c r="AG346" s="109" t="str">
        <f t="shared" si="149"/>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50"/>
        <v>0</v>
      </c>
      <c r="AN346" s="109">
        <f t="shared" si="151"/>
        <v>0</v>
      </c>
      <c r="AO346" s="109" t="str">
        <f t="shared" si="152"/>
        <v/>
      </c>
      <c r="AQ346" s="109" t="str">
        <f t="shared" si="153"/>
        <v/>
      </c>
      <c r="BA346" s="229">
        <f>MOD(SUM(E345:E346),12)</f>
        <v>0</v>
      </c>
    </row>
    <row r="347" spans="1:53" ht="15.75" thickBot="1" x14ac:dyDescent="0.3">
      <c r="A347" s="88"/>
      <c r="B347" s="74" t="s">
        <v>280</v>
      </c>
      <c r="C347" s="67"/>
      <c r="D347" s="102"/>
      <c r="E347" s="32"/>
      <c r="F347" s="32"/>
      <c r="G347" s="75" t="s">
        <v>277</v>
      </c>
      <c r="H347" s="69">
        <f t="shared" si="154"/>
        <v>0</v>
      </c>
      <c r="I347" s="70">
        <f t="shared" si="155"/>
        <v>0</v>
      </c>
      <c r="J347" s="73" t="str">
        <f t="shared" ref="J347:J369" si="156">IF(C347="","--",IF(AND(C347&lt;&gt;"FST",C347&lt;&gt;"TCF",BA346&lt;&gt;0),BA346,"--"))</f>
        <v>--</v>
      </c>
      <c r="K347" s="32"/>
      <c r="L347" s="233"/>
      <c r="M347" s="277"/>
      <c r="N347" s="277"/>
      <c r="O347" s="277"/>
      <c r="P347" s="277"/>
      <c r="Q347" s="277"/>
      <c r="R347" s="277"/>
      <c r="S347" s="277"/>
      <c r="T347" s="277"/>
      <c r="U347" s="278"/>
      <c r="V347" s="103"/>
      <c r="W347" s="72"/>
      <c r="X347" s="72"/>
      <c r="Y347" s="72"/>
      <c r="Z347" s="45">
        <v>11</v>
      </c>
      <c r="AA347" s="46">
        <v>121</v>
      </c>
      <c r="AB347" s="46">
        <v>132</v>
      </c>
      <c r="AC347" s="72">
        <f t="shared" si="145"/>
        <v>1</v>
      </c>
      <c r="AD347" s="72">
        <f t="shared" si="146"/>
        <v>1</v>
      </c>
      <c r="AE347" s="109" t="str">
        <f t="shared" si="147"/>
        <v>0-0</v>
      </c>
      <c r="AF347" s="109" t="str">
        <f t="shared" si="148"/>
        <v>Y</v>
      </c>
      <c r="AG347" s="109" t="str">
        <f t="shared" si="149"/>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50"/>
        <v>0</v>
      </c>
      <c r="AN347" s="109">
        <f t="shared" si="151"/>
        <v>0</v>
      </c>
      <c r="AO347" s="109" t="str">
        <f t="shared" si="152"/>
        <v/>
      </c>
      <c r="AQ347" s="109" t="str">
        <f t="shared" si="153"/>
        <v/>
      </c>
      <c r="BA347" s="229">
        <f>MOD(SUM(E345:E348),12)</f>
        <v>0</v>
      </c>
    </row>
    <row r="348" spans="1:53" ht="15.75" thickBot="1" x14ac:dyDescent="0.3">
      <c r="A348" s="88"/>
      <c r="B348" s="66" t="s">
        <v>281</v>
      </c>
      <c r="C348" s="67"/>
      <c r="D348" s="102"/>
      <c r="E348" s="32"/>
      <c r="F348" s="32"/>
      <c r="G348" s="68" t="s">
        <v>277</v>
      </c>
      <c r="H348" s="69">
        <f t="shared" si="154"/>
        <v>0</v>
      </c>
      <c r="I348" s="70">
        <f t="shared" si="155"/>
        <v>0</v>
      </c>
      <c r="J348" s="73" t="str">
        <f t="shared" si="156"/>
        <v>--</v>
      </c>
      <c r="K348" s="32"/>
      <c r="L348" s="233"/>
      <c r="M348" s="277"/>
      <c r="N348" s="277"/>
      <c r="O348" s="277"/>
      <c r="P348" s="277"/>
      <c r="Q348" s="277"/>
      <c r="R348" s="277"/>
      <c r="S348" s="277"/>
      <c r="T348" s="277"/>
      <c r="U348" s="278"/>
      <c r="V348" s="103"/>
      <c r="W348" s="72"/>
      <c r="X348" s="72"/>
      <c r="Y348" s="72"/>
      <c r="Z348" s="45">
        <v>12</v>
      </c>
      <c r="AA348" s="76">
        <v>133</v>
      </c>
      <c r="AB348" s="76">
        <v>144</v>
      </c>
      <c r="AC348" s="72">
        <f t="shared" si="145"/>
        <v>1</v>
      </c>
      <c r="AD348" s="72">
        <f t="shared" si="146"/>
        <v>1</v>
      </c>
      <c r="AE348" s="109" t="str">
        <f t="shared" si="147"/>
        <v>0-0</v>
      </c>
      <c r="AF348" s="109" t="str">
        <f t="shared" si="148"/>
        <v>Y</v>
      </c>
      <c r="AG348" s="109" t="str">
        <f t="shared" si="149"/>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50"/>
        <v>0</v>
      </c>
      <c r="AN348" s="109">
        <f t="shared" si="151"/>
        <v>0</v>
      </c>
      <c r="AO348" s="109" t="str">
        <f t="shared" si="152"/>
        <v/>
      </c>
      <c r="AQ348" s="109" t="str">
        <f t="shared" si="153"/>
        <v/>
      </c>
      <c r="BA348" s="229">
        <f>MOD(SUM(E345:E349),12)</f>
        <v>0</v>
      </c>
    </row>
    <row r="349" spans="1:53" ht="15.75" thickBot="1" x14ac:dyDescent="0.3">
      <c r="A349" s="88"/>
      <c r="B349" s="66" t="s">
        <v>282</v>
      </c>
      <c r="C349" s="67"/>
      <c r="D349" s="102"/>
      <c r="E349" s="32"/>
      <c r="F349" s="32"/>
      <c r="G349" s="68" t="s">
        <v>277</v>
      </c>
      <c r="H349" s="69">
        <f t="shared" si="154"/>
        <v>0</v>
      </c>
      <c r="I349" s="70">
        <f t="shared" si="155"/>
        <v>0</v>
      </c>
      <c r="J349" s="73" t="str">
        <f t="shared" si="156"/>
        <v>--</v>
      </c>
      <c r="K349" s="32"/>
      <c r="L349" s="233"/>
      <c r="M349" s="277"/>
      <c r="N349" s="277"/>
      <c r="O349" s="277"/>
      <c r="P349" s="277"/>
      <c r="Q349" s="277"/>
      <c r="R349" s="277"/>
      <c r="S349" s="277"/>
      <c r="T349" s="277"/>
      <c r="U349" s="278"/>
      <c r="V349" s="103"/>
      <c r="W349" s="72"/>
      <c r="X349" s="72"/>
      <c r="Y349" s="72"/>
      <c r="Z349" s="45">
        <v>13</v>
      </c>
      <c r="AA349" s="77">
        <f t="shared" ref="AA349:AA354" si="157">AB348+1</f>
        <v>145</v>
      </c>
      <c r="AB349" s="77">
        <f t="shared" ref="AB349:AB354" si="158">AB348+12</f>
        <v>156</v>
      </c>
      <c r="AC349" s="72">
        <f t="shared" si="145"/>
        <v>1</v>
      </c>
      <c r="AD349" s="72">
        <f t="shared" si="146"/>
        <v>1</v>
      </c>
      <c r="AE349" s="109" t="str">
        <f t="shared" si="147"/>
        <v>0-0</v>
      </c>
      <c r="AF349" s="109" t="str">
        <f t="shared" si="148"/>
        <v>Y</v>
      </c>
      <c r="AG349" s="109" t="str">
        <f t="shared" si="149"/>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50"/>
        <v>0</v>
      </c>
      <c r="AN349" s="109">
        <f t="shared" si="151"/>
        <v>0</v>
      </c>
      <c r="AO349" s="109" t="str">
        <f t="shared" si="152"/>
        <v/>
      </c>
      <c r="AQ349" s="109" t="str">
        <f t="shared" si="153"/>
        <v/>
      </c>
      <c r="BA349" s="229">
        <f>MOD(SUM(E345:E350),12)</f>
        <v>0</v>
      </c>
    </row>
    <row r="350" spans="1:53" ht="15.75" thickBot="1" x14ac:dyDescent="0.3">
      <c r="A350" s="88"/>
      <c r="B350" s="66" t="s">
        <v>283</v>
      </c>
      <c r="C350" s="67"/>
      <c r="D350" s="102"/>
      <c r="E350" s="32"/>
      <c r="F350" s="32"/>
      <c r="G350" s="68" t="s">
        <v>277</v>
      </c>
      <c r="H350" s="69">
        <f t="shared" si="154"/>
        <v>0</v>
      </c>
      <c r="I350" s="70">
        <f t="shared" si="155"/>
        <v>0</v>
      </c>
      <c r="J350" s="73" t="str">
        <f t="shared" si="156"/>
        <v>--</v>
      </c>
      <c r="K350" s="32"/>
      <c r="L350" s="233"/>
      <c r="M350" s="277"/>
      <c r="N350" s="277"/>
      <c r="O350" s="277"/>
      <c r="P350" s="277"/>
      <c r="Q350" s="277"/>
      <c r="R350" s="277"/>
      <c r="S350" s="277"/>
      <c r="T350" s="277"/>
      <c r="U350" s="278"/>
      <c r="V350" s="103"/>
      <c r="W350" s="72"/>
      <c r="X350" s="72"/>
      <c r="Y350" s="72"/>
      <c r="Z350" s="45">
        <v>14</v>
      </c>
      <c r="AA350" s="77">
        <f t="shared" si="157"/>
        <v>157</v>
      </c>
      <c r="AB350" s="77">
        <f t="shared" si="158"/>
        <v>168</v>
      </c>
      <c r="AC350" s="72">
        <f t="shared" si="145"/>
        <v>1</v>
      </c>
      <c r="AD350" s="72">
        <f t="shared" si="146"/>
        <v>1</v>
      </c>
      <c r="AE350" s="109" t="str">
        <f t="shared" si="147"/>
        <v>0-0</v>
      </c>
      <c r="AF350" s="109" t="str">
        <f t="shared" si="148"/>
        <v>Y</v>
      </c>
      <c r="AG350" s="109" t="str">
        <f t="shared" si="149"/>
        <v>B</v>
      </c>
      <c r="AM350" s="109">
        <f t="shared" si="150"/>
        <v>0</v>
      </c>
      <c r="AN350" s="109">
        <f t="shared" si="151"/>
        <v>0</v>
      </c>
      <c r="AO350" s="109" t="str">
        <f t="shared" si="152"/>
        <v/>
      </c>
      <c r="AQ350" s="109" t="str">
        <f t="shared" si="153"/>
        <v/>
      </c>
      <c r="BA350" s="229">
        <f>MOD(SUM(E345:E351),12)</f>
        <v>0</v>
      </c>
    </row>
    <row r="351" spans="1:53" ht="15.75" thickBot="1" x14ac:dyDescent="0.3">
      <c r="A351" s="88"/>
      <c r="B351" s="66" t="s">
        <v>284</v>
      </c>
      <c r="C351" s="67"/>
      <c r="D351" s="102"/>
      <c r="E351" s="32"/>
      <c r="F351" s="32"/>
      <c r="G351" s="68" t="s">
        <v>277</v>
      </c>
      <c r="H351" s="69">
        <f t="shared" si="154"/>
        <v>0</v>
      </c>
      <c r="I351" s="70">
        <f t="shared" si="155"/>
        <v>0</v>
      </c>
      <c r="J351" s="73" t="str">
        <f t="shared" si="156"/>
        <v>--</v>
      </c>
      <c r="K351" s="32"/>
      <c r="L351" s="233"/>
      <c r="M351" s="277"/>
      <c r="N351" s="277"/>
      <c r="O351" s="277"/>
      <c r="P351" s="277"/>
      <c r="Q351" s="277"/>
      <c r="R351" s="277"/>
      <c r="S351" s="277"/>
      <c r="T351" s="277"/>
      <c r="U351" s="278"/>
      <c r="V351" s="103"/>
      <c r="W351" s="72"/>
      <c r="X351" s="72"/>
      <c r="Y351" s="72"/>
      <c r="Z351" s="45">
        <v>15</v>
      </c>
      <c r="AA351" s="77">
        <f t="shared" si="157"/>
        <v>169</v>
      </c>
      <c r="AB351" s="77">
        <f t="shared" si="158"/>
        <v>180</v>
      </c>
      <c r="AC351" s="72">
        <f t="shared" si="145"/>
        <v>1</v>
      </c>
      <c r="AD351" s="72">
        <f t="shared" si="146"/>
        <v>1</v>
      </c>
      <c r="AE351" s="109" t="str">
        <f t="shared" si="147"/>
        <v>0-0</v>
      </c>
      <c r="AF351" s="109" t="str">
        <f t="shared" si="148"/>
        <v>Y</v>
      </c>
      <c r="AG351" s="109" t="str">
        <f t="shared" si="149"/>
        <v>B</v>
      </c>
      <c r="AM351" s="109">
        <f t="shared" si="150"/>
        <v>0</v>
      </c>
      <c r="AN351" s="109">
        <f t="shared" si="151"/>
        <v>0</v>
      </c>
      <c r="AO351" s="109" t="str">
        <f t="shared" si="152"/>
        <v/>
      </c>
      <c r="AQ351" s="109" t="str">
        <f t="shared" si="153"/>
        <v/>
      </c>
      <c r="BA351" s="229">
        <f>MOD(SUM(E345:E352),12)</f>
        <v>0</v>
      </c>
    </row>
    <row r="352" spans="1:53" ht="15.75" thickBot="1" x14ac:dyDescent="0.3">
      <c r="A352" s="88"/>
      <c r="B352" s="66" t="s">
        <v>285</v>
      </c>
      <c r="C352" s="67"/>
      <c r="D352" s="102"/>
      <c r="E352" s="32"/>
      <c r="F352" s="32"/>
      <c r="G352" s="68" t="s">
        <v>277</v>
      </c>
      <c r="H352" s="69">
        <f t="shared" si="154"/>
        <v>0</v>
      </c>
      <c r="I352" s="70">
        <f t="shared" si="155"/>
        <v>0</v>
      </c>
      <c r="J352" s="73" t="str">
        <f t="shared" si="156"/>
        <v>--</v>
      </c>
      <c r="K352" s="32"/>
      <c r="L352" s="233"/>
      <c r="M352" s="277"/>
      <c r="N352" s="277"/>
      <c r="O352" s="277"/>
      <c r="P352" s="277"/>
      <c r="Q352" s="277"/>
      <c r="R352" s="277"/>
      <c r="S352" s="277"/>
      <c r="T352" s="277"/>
      <c r="U352" s="278"/>
      <c r="V352" s="103"/>
      <c r="W352" s="72"/>
      <c r="X352" s="72"/>
      <c r="Y352" s="72"/>
      <c r="Z352" s="45">
        <f>Z351+1</f>
        <v>16</v>
      </c>
      <c r="AA352" s="77">
        <f t="shared" si="157"/>
        <v>181</v>
      </c>
      <c r="AB352" s="77">
        <f t="shared" si="158"/>
        <v>192</v>
      </c>
      <c r="AC352" s="72">
        <f t="shared" si="145"/>
        <v>1</v>
      </c>
      <c r="AD352" s="72">
        <f t="shared" si="146"/>
        <v>1</v>
      </c>
      <c r="AE352" s="109" t="str">
        <f t="shared" si="147"/>
        <v>0-0</v>
      </c>
      <c r="AF352" s="109" t="str">
        <f t="shared" si="148"/>
        <v>Y</v>
      </c>
      <c r="AG352" s="109" t="str">
        <f t="shared" si="149"/>
        <v>B</v>
      </c>
      <c r="AM352" s="109">
        <f t="shared" si="150"/>
        <v>0</v>
      </c>
      <c r="AN352" s="109">
        <f t="shared" si="151"/>
        <v>0</v>
      </c>
      <c r="AO352" s="109" t="str">
        <f t="shared" si="152"/>
        <v/>
      </c>
      <c r="AQ352" s="109" t="str">
        <f t="shared" si="153"/>
        <v/>
      </c>
      <c r="BA352" s="229">
        <f>MOD(SUM(E345:E353),12)</f>
        <v>0</v>
      </c>
    </row>
    <row r="353" spans="1:53" ht="15.75" thickBot="1" x14ac:dyDescent="0.3">
      <c r="A353" s="88"/>
      <c r="B353" s="66" t="s">
        <v>286</v>
      </c>
      <c r="C353" s="67"/>
      <c r="D353" s="102"/>
      <c r="E353" s="32"/>
      <c r="F353" s="32"/>
      <c r="G353" s="68" t="s">
        <v>277</v>
      </c>
      <c r="H353" s="69">
        <f t="shared" si="154"/>
        <v>0</v>
      </c>
      <c r="I353" s="70">
        <f t="shared" si="155"/>
        <v>0</v>
      </c>
      <c r="J353" s="73" t="str">
        <f t="shared" si="156"/>
        <v>--</v>
      </c>
      <c r="K353" s="32"/>
      <c r="L353" s="233"/>
      <c r="M353" s="277"/>
      <c r="N353" s="277"/>
      <c r="O353" s="277"/>
      <c r="P353" s="277"/>
      <c r="Q353" s="277"/>
      <c r="R353" s="277"/>
      <c r="S353" s="277"/>
      <c r="T353" s="277"/>
      <c r="U353" s="278"/>
      <c r="V353" s="103"/>
      <c r="W353" s="72"/>
      <c r="X353" s="72"/>
      <c r="Y353" s="72"/>
      <c r="Z353" s="45">
        <f>Z352+1</f>
        <v>17</v>
      </c>
      <c r="AA353" s="77">
        <f t="shared" si="157"/>
        <v>193</v>
      </c>
      <c r="AB353" s="77">
        <f t="shared" si="158"/>
        <v>204</v>
      </c>
      <c r="AC353" s="72">
        <f t="shared" si="145"/>
        <v>1</v>
      </c>
      <c r="AD353" s="72">
        <f t="shared" si="146"/>
        <v>1</v>
      </c>
      <c r="AE353" s="109" t="str">
        <f t="shared" si="147"/>
        <v>0-0</v>
      </c>
      <c r="AF353" s="109" t="str">
        <f t="shared" si="148"/>
        <v>Y</v>
      </c>
      <c r="AG353" s="109" t="str">
        <f t="shared" si="149"/>
        <v>B</v>
      </c>
      <c r="AM353" s="109">
        <f t="shared" si="150"/>
        <v>0</v>
      </c>
      <c r="AN353" s="109">
        <f t="shared" si="151"/>
        <v>0</v>
      </c>
      <c r="AO353" s="109" t="str">
        <f t="shared" si="152"/>
        <v/>
      </c>
      <c r="AQ353" s="109" t="str">
        <f t="shared" si="153"/>
        <v/>
      </c>
      <c r="BA353" s="229">
        <f>MOD(SUM(E345:E354),12)</f>
        <v>0</v>
      </c>
    </row>
    <row r="354" spans="1:53" ht="15.75" thickBot="1" x14ac:dyDescent="0.3">
      <c r="A354" s="88"/>
      <c r="B354" s="66" t="s">
        <v>287</v>
      </c>
      <c r="C354" s="67"/>
      <c r="D354" s="102"/>
      <c r="E354" s="32"/>
      <c r="F354" s="32"/>
      <c r="G354" s="68" t="s">
        <v>277</v>
      </c>
      <c r="H354" s="69">
        <f t="shared" si="154"/>
        <v>0</v>
      </c>
      <c r="I354" s="70">
        <f t="shared" si="155"/>
        <v>0</v>
      </c>
      <c r="J354" s="73" t="str">
        <f t="shared" si="156"/>
        <v>--</v>
      </c>
      <c r="K354" s="32"/>
      <c r="L354" s="233"/>
      <c r="M354" s="277"/>
      <c r="N354" s="277"/>
      <c r="O354" s="277"/>
      <c r="P354" s="277"/>
      <c r="Q354" s="277"/>
      <c r="R354" s="277"/>
      <c r="S354" s="277"/>
      <c r="T354" s="277"/>
      <c r="U354" s="278"/>
      <c r="V354" s="103"/>
      <c r="W354" s="72"/>
      <c r="X354" s="72"/>
      <c r="Y354" s="72"/>
      <c r="Z354" s="45">
        <f>Z353+1</f>
        <v>18</v>
      </c>
      <c r="AA354" s="77">
        <f t="shared" si="157"/>
        <v>205</v>
      </c>
      <c r="AB354" s="77">
        <f t="shared" si="158"/>
        <v>216</v>
      </c>
      <c r="AC354" s="72">
        <f t="shared" si="145"/>
        <v>1</v>
      </c>
      <c r="AD354" s="72">
        <f t="shared" si="146"/>
        <v>1</v>
      </c>
      <c r="AE354" s="109" t="str">
        <f t="shared" si="147"/>
        <v>0-0</v>
      </c>
      <c r="AF354" s="109" t="str">
        <f t="shared" si="148"/>
        <v>Y</v>
      </c>
      <c r="AG354" s="109" t="str">
        <f t="shared" si="149"/>
        <v>B</v>
      </c>
      <c r="AM354" s="109">
        <f t="shared" si="150"/>
        <v>0</v>
      </c>
      <c r="AN354" s="109">
        <f t="shared" si="151"/>
        <v>0</v>
      </c>
      <c r="AO354" s="109" t="str">
        <f t="shared" si="152"/>
        <v/>
      </c>
      <c r="AQ354" s="109" t="str">
        <f t="shared" si="153"/>
        <v/>
      </c>
      <c r="BA354" s="229">
        <f>MOD(SUM(E345:E355),12)</f>
        <v>0</v>
      </c>
    </row>
    <row r="355" spans="1:53" ht="15.75" thickBot="1" x14ac:dyDescent="0.3">
      <c r="A355" s="88"/>
      <c r="B355" s="66" t="s">
        <v>288</v>
      </c>
      <c r="C355" s="67"/>
      <c r="D355" s="102"/>
      <c r="E355" s="32"/>
      <c r="F355" s="32"/>
      <c r="G355" s="68" t="s">
        <v>277</v>
      </c>
      <c r="H355" s="69">
        <f t="shared" si="154"/>
        <v>0</v>
      </c>
      <c r="I355" s="70">
        <f t="shared" si="155"/>
        <v>0</v>
      </c>
      <c r="J355" s="73" t="str">
        <f t="shared" si="156"/>
        <v>--</v>
      </c>
      <c r="K355" s="32"/>
      <c r="L355" s="233"/>
      <c r="M355" s="277"/>
      <c r="N355" s="277"/>
      <c r="O355" s="277"/>
      <c r="P355" s="277"/>
      <c r="Q355" s="277"/>
      <c r="R355" s="277"/>
      <c r="S355" s="277"/>
      <c r="T355" s="277"/>
      <c r="U355" s="278"/>
      <c r="V355" s="103"/>
      <c r="W355" s="84"/>
      <c r="X355" s="84"/>
      <c r="Y355" s="72"/>
      <c r="Z355" s="72"/>
      <c r="AA355" s="72"/>
      <c r="AB355" s="72"/>
      <c r="AC355" s="72">
        <f t="shared" si="145"/>
        <v>1</v>
      </c>
      <c r="AD355" s="72">
        <f t="shared" si="146"/>
        <v>1</v>
      </c>
      <c r="AE355" s="109" t="str">
        <f t="shared" si="147"/>
        <v>0-0</v>
      </c>
      <c r="AF355" s="109" t="str">
        <f t="shared" si="148"/>
        <v>Y</v>
      </c>
      <c r="AG355" s="109" t="str">
        <f t="shared" si="149"/>
        <v>B</v>
      </c>
      <c r="AM355" s="109">
        <f t="shared" si="150"/>
        <v>0</v>
      </c>
      <c r="AN355" s="109">
        <f t="shared" si="151"/>
        <v>0</v>
      </c>
      <c r="AO355" s="109" t="str">
        <f t="shared" si="152"/>
        <v/>
      </c>
      <c r="AQ355" s="109" t="str">
        <f t="shared" si="153"/>
        <v/>
      </c>
      <c r="BA355" s="229">
        <f>MOD(SUM(E345:E356),12)</f>
        <v>0</v>
      </c>
    </row>
    <row r="356" spans="1:53" ht="15.75" thickBot="1" x14ac:dyDescent="0.3">
      <c r="A356" s="88"/>
      <c r="B356" s="66" t="s">
        <v>289</v>
      </c>
      <c r="C356" s="67"/>
      <c r="D356" s="102"/>
      <c r="E356" s="32"/>
      <c r="F356" s="32"/>
      <c r="G356" s="68" t="s">
        <v>277</v>
      </c>
      <c r="H356" s="69">
        <f t="shared" si="154"/>
        <v>0</v>
      </c>
      <c r="I356" s="70">
        <f t="shared" si="155"/>
        <v>0</v>
      </c>
      <c r="J356" s="73" t="str">
        <f t="shared" si="156"/>
        <v>--</v>
      </c>
      <c r="K356" s="32"/>
      <c r="L356" s="233"/>
      <c r="M356" s="277"/>
      <c r="N356" s="277"/>
      <c r="O356" s="277"/>
      <c r="P356" s="277"/>
      <c r="Q356" s="277"/>
      <c r="R356" s="277"/>
      <c r="S356" s="277"/>
      <c r="T356" s="277"/>
      <c r="U356" s="278"/>
      <c r="V356" s="103"/>
      <c r="W356" s="84">
        <f>Y356+1</f>
        <v>13</v>
      </c>
      <c r="X356" s="84"/>
      <c r="Y356" s="78">
        <f>SUM(E345:E356)</f>
        <v>12</v>
      </c>
      <c r="Z356" s="72"/>
      <c r="AA356" s="72"/>
      <c r="AB356" s="72"/>
      <c r="AC356" s="72">
        <f t="shared" si="145"/>
        <v>1</v>
      </c>
      <c r="AD356" s="72">
        <f t="shared" si="146"/>
        <v>1</v>
      </c>
      <c r="AE356" s="109" t="str">
        <f t="shared" si="147"/>
        <v>0-0</v>
      </c>
      <c r="AF356" s="109" t="str">
        <f t="shared" si="148"/>
        <v>Y</v>
      </c>
      <c r="AG356" s="109" t="str">
        <f t="shared" si="149"/>
        <v>B</v>
      </c>
      <c r="AM356" s="109">
        <f t="shared" si="150"/>
        <v>0</v>
      </c>
      <c r="AN356" s="109">
        <f t="shared" si="151"/>
        <v>0</v>
      </c>
      <c r="AO356" s="109" t="str">
        <f t="shared" si="152"/>
        <v/>
      </c>
      <c r="AQ356" s="109" t="str">
        <f t="shared" si="153"/>
        <v/>
      </c>
      <c r="BA356" s="229">
        <f>MOD(SUM(E345:E357),12)</f>
        <v>0</v>
      </c>
    </row>
    <row r="357" spans="1:53" ht="15.75" thickBot="1" x14ac:dyDescent="0.3">
      <c r="A357" s="88"/>
      <c r="B357" s="66" t="s">
        <v>290</v>
      </c>
      <c r="C357" s="67"/>
      <c r="D357" s="102"/>
      <c r="E357" s="32"/>
      <c r="F357" s="32"/>
      <c r="G357" s="68" t="s">
        <v>277</v>
      </c>
      <c r="H357" s="69">
        <f t="shared" si="154"/>
        <v>0</v>
      </c>
      <c r="I357" s="70">
        <f t="shared" si="155"/>
        <v>0</v>
      </c>
      <c r="J357" s="73" t="str">
        <f t="shared" si="156"/>
        <v>--</v>
      </c>
      <c r="K357" s="32"/>
      <c r="L357" s="233"/>
      <c r="M357" s="277"/>
      <c r="N357" s="277"/>
      <c r="O357" s="277"/>
      <c r="P357" s="277"/>
      <c r="Q357" s="277"/>
      <c r="R357" s="277"/>
      <c r="S357" s="277"/>
      <c r="T357" s="277"/>
      <c r="U357" s="278"/>
      <c r="V357" s="103"/>
      <c r="W357" s="84">
        <f>Y357+1</f>
        <v>13</v>
      </c>
      <c r="X357" s="84"/>
      <c r="Y357" s="78">
        <f>SUM(E345:E357)</f>
        <v>12</v>
      </c>
      <c r="Z357" s="72" t="str">
        <f t="shared" ref="Z357:Z369" si="159">IF(OR(AND(E$8=216,C356="DBL REV",C357="DBL REV",Y356&lt;=144,Y357&gt;144),AND(E$8=216,C356="TPL REV",C357="TPL REV",Y356&lt;=144,Y357&gt;144),AND(E$8=216,C356="QD REV",C357="QD REV",Y356&lt;=144,Y357&gt;144)),"ERROR","")</f>
        <v/>
      </c>
      <c r="AA357" s="72"/>
      <c r="AB357" s="72"/>
      <c r="AC357" s="72">
        <f t="shared" si="145"/>
        <v>1</v>
      </c>
      <c r="AD357" s="72">
        <f t="shared" si="146"/>
        <v>1</v>
      </c>
      <c r="AE357" s="109" t="str">
        <f t="shared" si="147"/>
        <v>0-0</v>
      </c>
      <c r="AF357" s="109" t="str">
        <f t="shared" si="148"/>
        <v>Y</v>
      </c>
      <c r="AG357" s="109" t="str">
        <f t="shared" si="149"/>
        <v>B</v>
      </c>
      <c r="AM357" s="109">
        <f t="shared" si="150"/>
        <v>0</v>
      </c>
      <c r="AN357" s="109">
        <f t="shared" si="151"/>
        <v>0</v>
      </c>
      <c r="AO357" s="109" t="str">
        <f t="shared" si="152"/>
        <v/>
      </c>
      <c r="AQ357" s="109" t="str">
        <f t="shared" si="153"/>
        <v/>
      </c>
      <c r="BA357" s="229">
        <f>MOD(SUM(E345:E358),12)</f>
        <v>0</v>
      </c>
    </row>
    <row r="358" spans="1:53" ht="15.75" thickBot="1" x14ac:dyDescent="0.3">
      <c r="A358" s="88"/>
      <c r="B358" s="66" t="s">
        <v>291</v>
      </c>
      <c r="C358" s="67"/>
      <c r="D358" s="102"/>
      <c r="E358" s="32"/>
      <c r="F358" s="32"/>
      <c r="G358" s="68" t="s">
        <v>277</v>
      </c>
      <c r="H358" s="69">
        <f t="shared" si="154"/>
        <v>0</v>
      </c>
      <c r="I358" s="70">
        <f t="shared" si="155"/>
        <v>0</v>
      </c>
      <c r="J358" s="73" t="str">
        <f t="shared" si="156"/>
        <v>--</v>
      </c>
      <c r="K358" s="32"/>
      <c r="L358" s="233"/>
      <c r="M358" s="277"/>
      <c r="N358" s="277"/>
      <c r="O358" s="277"/>
      <c r="P358" s="277"/>
      <c r="Q358" s="277"/>
      <c r="R358" s="277"/>
      <c r="S358" s="277"/>
      <c r="T358" s="277"/>
      <c r="U358" s="278"/>
      <c r="V358" s="103"/>
      <c r="W358" s="84">
        <f>Y358+1</f>
        <v>13</v>
      </c>
      <c r="X358" s="84"/>
      <c r="Y358" s="78">
        <f>SUM(E345:E358)</f>
        <v>12</v>
      </c>
      <c r="Z358" s="72" t="str">
        <f t="shared" si="159"/>
        <v/>
      </c>
      <c r="AA358" s="72"/>
      <c r="AB358" s="72"/>
      <c r="AC358" s="72">
        <f t="shared" si="145"/>
        <v>1</v>
      </c>
      <c r="AD358" s="72">
        <f t="shared" si="146"/>
        <v>1</v>
      </c>
      <c r="AE358" s="109" t="str">
        <f t="shared" si="147"/>
        <v>0-0</v>
      </c>
      <c r="AF358" s="109" t="str">
        <f t="shared" si="148"/>
        <v>Y</v>
      </c>
      <c r="AG358" s="109" t="str">
        <f t="shared" si="149"/>
        <v>B</v>
      </c>
      <c r="AM358" s="109">
        <f t="shared" si="150"/>
        <v>0</v>
      </c>
      <c r="AN358" s="109">
        <f t="shared" si="151"/>
        <v>0</v>
      </c>
      <c r="AO358" s="109" t="str">
        <f t="shared" si="152"/>
        <v/>
      </c>
      <c r="AQ358" s="109" t="str">
        <f t="shared" si="153"/>
        <v/>
      </c>
      <c r="BA358" s="229">
        <f>MOD(SUM(E345:E359),12)</f>
        <v>0</v>
      </c>
    </row>
    <row r="359" spans="1:53" ht="15.75" thickBot="1" x14ac:dyDescent="0.3">
      <c r="A359" s="88"/>
      <c r="B359" s="66" t="s">
        <v>292</v>
      </c>
      <c r="C359" s="67"/>
      <c r="D359" s="102"/>
      <c r="E359" s="32"/>
      <c r="F359" s="32"/>
      <c r="G359" s="68" t="s">
        <v>277</v>
      </c>
      <c r="H359" s="69">
        <f t="shared" si="154"/>
        <v>0</v>
      </c>
      <c r="I359" s="70">
        <f t="shared" si="155"/>
        <v>0</v>
      </c>
      <c r="J359" s="73" t="str">
        <f t="shared" si="156"/>
        <v>--</v>
      </c>
      <c r="K359" s="32"/>
      <c r="L359" s="233"/>
      <c r="M359" s="277"/>
      <c r="N359" s="277"/>
      <c r="O359" s="277"/>
      <c r="P359" s="277"/>
      <c r="Q359" s="277"/>
      <c r="R359" s="277"/>
      <c r="S359" s="277"/>
      <c r="T359" s="277"/>
      <c r="U359" s="278"/>
      <c r="V359" s="103"/>
      <c r="W359" s="84">
        <f>Y359+1</f>
        <v>13</v>
      </c>
      <c r="X359" s="84"/>
      <c r="Y359" s="78">
        <f>SUM(E345:E359)</f>
        <v>12</v>
      </c>
      <c r="Z359" s="72" t="str">
        <f t="shared" si="159"/>
        <v/>
      </c>
      <c r="AA359" s="72" t="str">
        <f t="shared" ref="AA359:AA371" si="160">IF(AND(C357&lt;&gt;"Field SPL",W356&lt;=144,Y357&gt;144),"ERROR","")</f>
        <v/>
      </c>
      <c r="AB359" s="72"/>
      <c r="AC359" s="72">
        <f t="shared" si="145"/>
        <v>1</v>
      </c>
      <c r="AD359" s="72">
        <f t="shared" si="146"/>
        <v>1</v>
      </c>
      <c r="AE359" s="109" t="str">
        <f t="shared" si="147"/>
        <v>0-0</v>
      </c>
      <c r="AF359" s="109" t="str">
        <f t="shared" si="148"/>
        <v>Y</v>
      </c>
      <c r="AG359" s="109" t="str">
        <f t="shared" si="149"/>
        <v>B</v>
      </c>
      <c r="AM359" s="109">
        <f t="shared" si="150"/>
        <v>0</v>
      </c>
      <c r="AN359" s="109">
        <f t="shared" si="151"/>
        <v>0</v>
      </c>
      <c r="AO359" s="109" t="str">
        <f t="shared" si="152"/>
        <v/>
      </c>
      <c r="AQ359" s="109" t="str">
        <f t="shared" si="153"/>
        <v/>
      </c>
      <c r="BA359" s="229">
        <f>MOD(SUM(E345:E360),12)</f>
        <v>0</v>
      </c>
    </row>
    <row r="360" spans="1:53" ht="15.75" thickBot="1" x14ac:dyDescent="0.3">
      <c r="A360" s="88"/>
      <c r="B360" s="66" t="s">
        <v>293</v>
      </c>
      <c r="C360" s="67"/>
      <c r="D360" s="102"/>
      <c r="E360" s="32"/>
      <c r="F360" s="32"/>
      <c r="G360" s="68" t="s">
        <v>277</v>
      </c>
      <c r="H360" s="69">
        <f t="shared" si="154"/>
        <v>0</v>
      </c>
      <c r="I360" s="70">
        <f t="shared" si="155"/>
        <v>0</v>
      </c>
      <c r="J360" s="73" t="str">
        <f t="shared" si="156"/>
        <v>--</v>
      </c>
      <c r="K360" s="32"/>
      <c r="L360" s="233"/>
      <c r="M360" s="277"/>
      <c r="N360" s="277"/>
      <c r="O360" s="277"/>
      <c r="P360" s="277"/>
      <c r="Q360" s="277"/>
      <c r="R360" s="277"/>
      <c r="S360" s="277"/>
      <c r="T360" s="277"/>
      <c r="U360" s="278"/>
      <c r="V360" s="103"/>
      <c r="W360" s="84">
        <f t="shared" ref="W360:W368" si="161">Y360+1</f>
        <v>13</v>
      </c>
      <c r="X360" s="84"/>
      <c r="Y360" s="78">
        <f>SUM(E345:E360)</f>
        <v>12</v>
      </c>
      <c r="Z360" s="72" t="str">
        <f t="shared" si="159"/>
        <v/>
      </c>
      <c r="AA360" s="72" t="str">
        <f t="shared" si="160"/>
        <v/>
      </c>
      <c r="AB360" s="72"/>
      <c r="AC360" s="72">
        <f t="shared" si="145"/>
        <v>1</v>
      </c>
      <c r="AD360" s="72">
        <f t="shared" si="146"/>
        <v>1</v>
      </c>
      <c r="AE360" s="109" t="str">
        <f t="shared" si="147"/>
        <v>0-0</v>
      </c>
      <c r="AF360" s="109" t="str">
        <f t="shared" si="148"/>
        <v>Y</v>
      </c>
      <c r="AG360" s="109" t="str">
        <f t="shared" si="149"/>
        <v>B</v>
      </c>
      <c r="AM360" s="109">
        <f t="shared" si="150"/>
        <v>0</v>
      </c>
      <c r="AN360" s="109">
        <f t="shared" si="151"/>
        <v>0</v>
      </c>
      <c r="AO360" s="109" t="str">
        <f t="shared" si="152"/>
        <v/>
      </c>
      <c r="AQ360" s="109" t="str">
        <f t="shared" si="153"/>
        <v/>
      </c>
      <c r="BA360" s="229">
        <f>MOD(SUM(E345:E361),12)</f>
        <v>0</v>
      </c>
    </row>
    <row r="361" spans="1:53" ht="15.75" thickBot="1" x14ac:dyDescent="0.3">
      <c r="A361" s="88"/>
      <c r="B361" s="66" t="s">
        <v>294</v>
      </c>
      <c r="C361" s="67"/>
      <c r="D361" s="102"/>
      <c r="E361" s="32"/>
      <c r="F361" s="32"/>
      <c r="G361" s="68" t="s">
        <v>277</v>
      </c>
      <c r="H361" s="69">
        <f t="shared" si="154"/>
        <v>0</v>
      </c>
      <c r="I361" s="70">
        <f t="shared" si="155"/>
        <v>0</v>
      </c>
      <c r="J361" s="73" t="str">
        <f t="shared" si="156"/>
        <v>--</v>
      </c>
      <c r="K361" s="32"/>
      <c r="L361" s="233"/>
      <c r="M361" s="277"/>
      <c r="N361" s="277"/>
      <c r="O361" s="277"/>
      <c r="P361" s="277"/>
      <c r="Q361" s="277"/>
      <c r="R361" s="277"/>
      <c r="S361" s="277"/>
      <c r="T361" s="277"/>
      <c r="U361" s="278"/>
      <c r="V361" s="103"/>
      <c r="W361" s="84">
        <f t="shared" si="161"/>
        <v>13</v>
      </c>
      <c r="X361" s="84"/>
      <c r="Y361" s="78">
        <f>SUM(E345:E361)</f>
        <v>12</v>
      </c>
      <c r="Z361" s="72" t="str">
        <f t="shared" si="159"/>
        <v/>
      </c>
      <c r="AA361" s="72" t="str">
        <f t="shared" si="160"/>
        <v/>
      </c>
      <c r="AB361" s="72"/>
      <c r="AC361" s="72">
        <f t="shared" si="145"/>
        <v>1</v>
      </c>
      <c r="AD361" s="72">
        <f t="shared" si="146"/>
        <v>1</v>
      </c>
      <c r="AE361" s="109" t="str">
        <f t="shared" si="147"/>
        <v>0-0</v>
      </c>
      <c r="AF361" s="109" t="str">
        <f t="shared" si="148"/>
        <v>Y</v>
      </c>
      <c r="AG361" s="109" t="str">
        <f t="shared" si="149"/>
        <v>B</v>
      </c>
      <c r="AM361" s="109">
        <f t="shared" si="150"/>
        <v>0</v>
      </c>
      <c r="AN361" s="109">
        <f t="shared" si="151"/>
        <v>0</v>
      </c>
      <c r="AO361" s="109" t="str">
        <f t="shared" si="152"/>
        <v/>
      </c>
      <c r="AQ361" s="109" t="str">
        <f t="shared" si="153"/>
        <v/>
      </c>
      <c r="BA361" s="229">
        <f>MOD(SUM(E345:E362),12)</f>
        <v>0</v>
      </c>
    </row>
    <row r="362" spans="1:53" ht="15.75" thickBot="1" x14ac:dyDescent="0.3">
      <c r="A362" s="88"/>
      <c r="B362" s="66" t="s">
        <v>295</v>
      </c>
      <c r="C362" s="67"/>
      <c r="D362" s="102"/>
      <c r="E362" s="32"/>
      <c r="F362" s="32"/>
      <c r="G362" s="68" t="s">
        <v>277</v>
      </c>
      <c r="H362" s="69">
        <f t="shared" si="154"/>
        <v>0</v>
      </c>
      <c r="I362" s="70">
        <f t="shared" si="155"/>
        <v>0</v>
      </c>
      <c r="J362" s="73" t="str">
        <f t="shared" si="156"/>
        <v>--</v>
      </c>
      <c r="K362" s="32"/>
      <c r="L362" s="233"/>
      <c r="M362" s="277"/>
      <c r="N362" s="277"/>
      <c r="O362" s="277"/>
      <c r="P362" s="277"/>
      <c r="Q362" s="277"/>
      <c r="R362" s="277"/>
      <c r="S362" s="277"/>
      <c r="T362" s="277"/>
      <c r="U362" s="278"/>
      <c r="V362" s="103"/>
      <c r="W362" s="84">
        <f t="shared" si="161"/>
        <v>13</v>
      </c>
      <c r="X362" s="84"/>
      <c r="Y362" s="78">
        <f>SUM(E345:E362)</f>
        <v>12</v>
      </c>
      <c r="Z362" s="72" t="str">
        <f t="shared" si="159"/>
        <v/>
      </c>
      <c r="AA362" s="72" t="str">
        <f t="shared" si="160"/>
        <v/>
      </c>
      <c r="AB362" s="72"/>
      <c r="AC362" s="72">
        <f t="shared" si="145"/>
        <v>1</v>
      </c>
      <c r="AD362" s="72">
        <f t="shared" si="146"/>
        <v>1</v>
      </c>
      <c r="AE362" s="109" t="str">
        <f t="shared" si="147"/>
        <v>0-0</v>
      </c>
      <c r="AF362" s="109" t="str">
        <f t="shared" si="148"/>
        <v>Y</v>
      </c>
      <c r="AG362" s="109" t="str">
        <f t="shared" si="149"/>
        <v>B</v>
      </c>
      <c r="AM362" s="109">
        <f t="shared" si="150"/>
        <v>0</v>
      </c>
      <c r="AN362" s="109">
        <f t="shared" si="151"/>
        <v>0</v>
      </c>
      <c r="AO362" s="109" t="str">
        <f t="shared" si="152"/>
        <v/>
      </c>
      <c r="AQ362" s="109" t="str">
        <f t="shared" si="153"/>
        <v/>
      </c>
      <c r="BA362" s="229">
        <f>MOD(SUM(E345:E363),12)</f>
        <v>0</v>
      </c>
    </row>
    <row r="363" spans="1:53" ht="15.75" thickBot="1" x14ac:dyDescent="0.3">
      <c r="A363" s="88"/>
      <c r="B363" s="66" t="s">
        <v>296</v>
      </c>
      <c r="C363" s="67"/>
      <c r="D363" s="102"/>
      <c r="E363" s="32"/>
      <c r="F363" s="32"/>
      <c r="G363" s="68" t="s">
        <v>277</v>
      </c>
      <c r="H363" s="69">
        <f t="shared" si="154"/>
        <v>0</v>
      </c>
      <c r="I363" s="70">
        <f t="shared" si="155"/>
        <v>0</v>
      </c>
      <c r="J363" s="73" t="str">
        <f t="shared" si="156"/>
        <v>--</v>
      </c>
      <c r="K363" s="32"/>
      <c r="L363" s="233"/>
      <c r="M363" s="277"/>
      <c r="N363" s="277"/>
      <c r="O363" s="277"/>
      <c r="P363" s="277"/>
      <c r="Q363" s="277"/>
      <c r="R363" s="277"/>
      <c r="S363" s="277"/>
      <c r="T363" s="277"/>
      <c r="U363" s="278"/>
      <c r="V363" s="103"/>
      <c r="W363" s="84">
        <f t="shared" si="161"/>
        <v>13</v>
      </c>
      <c r="X363" s="84"/>
      <c r="Y363" s="78">
        <f>SUM(E345:E363)</f>
        <v>12</v>
      </c>
      <c r="Z363" s="72" t="str">
        <f t="shared" si="159"/>
        <v/>
      </c>
      <c r="AA363" s="72" t="str">
        <f t="shared" si="160"/>
        <v/>
      </c>
      <c r="AB363" s="72"/>
      <c r="AC363" s="72">
        <f t="shared" si="145"/>
        <v>1</v>
      </c>
      <c r="AD363" s="72">
        <f t="shared" si="146"/>
        <v>1</v>
      </c>
      <c r="AE363" s="109" t="str">
        <f t="shared" si="147"/>
        <v>0-0</v>
      </c>
      <c r="AF363" s="109" t="str">
        <f t="shared" si="148"/>
        <v>Y</v>
      </c>
      <c r="AG363" s="109" t="str">
        <f t="shared" si="149"/>
        <v>B</v>
      </c>
      <c r="AM363" s="109">
        <f t="shared" si="150"/>
        <v>0</v>
      </c>
      <c r="AN363" s="109">
        <f t="shared" si="151"/>
        <v>0</v>
      </c>
      <c r="AO363" s="109" t="str">
        <f t="shared" si="152"/>
        <v/>
      </c>
      <c r="AQ363" s="109" t="str">
        <f t="shared" si="153"/>
        <v/>
      </c>
      <c r="BA363" s="229">
        <f>MOD(SUM(E345:E364),12)</f>
        <v>0</v>
      </c>
    </row>
    <row r="364" spans="1:53" ht="15.75" thickBot="1" x14ac:dyDescent="0.3">
      <c r="A364" s="88"/>
      <c r="B364" s="66" t="s">
        <v>297</v>
      </c>
      <c r="C364" s="67"/>
      <c r="D364" s="102"/>
      <c r="E364" s="32"/>
      <c r="F364" s="32"/>
      <c r="G364" s="68" t="s">
        <v>277</v>
      </c>
      <c r="H364" s="69">
        <f t="shared" si="154"/>
        <v>0</v>
      </c>
      <c r="I364" s="70">
        <f t="shared" si="155"/>
        <v>0</v>
      </c>
      <c r="J364" s="73" t="str">
        <f t="shared" si="156"/>
        <v>--</v>
      </c>
      <c r="K364" s="32"/>
      <c r="L364" s="233"/>
      <c r="M364" s="277"/>
      <c r="N364" s="277"/>
      <c r="O364" s="277"/>
      <c r="P364" s="277"/>
      <c r="Q364" s="277"/>
      <c r="R364" s="277"/>
      <c r="S364" s="277"/>
      <c r="T364" s="277"/>
      <c r="U364" s="278"/>
      <c r="V364" s="103"/>
      <c r="W364" s="84">
        <f t="shared" si="161"/>
        <v>13</v>
      </c>
      <c r="X364" s="84"/>
      <c r="Y364" s="78">
        <f>SUM(E345:E364)</f>
        <v>12</v>
      </c>
      <c r="Z364" s="72" t="str">
        <f t="shared" si="159"/>
        <v/>
      </c>
      <c r="AA364" s="72" t="str">
        <f t="shared" si="160"/>
        <v/>
      </c>
      <c r="AB364" s="72"/>
      <c r="AC364" s="72">
        <f t="shared" si="145"/>
        <v>1</v>
      </c>
      <c r="AD364" s="72">
        <f t="shared" si="146"/>
        <v>1</v>
      </c>
      <c r="AE364" s="109" t="str">
        <f t="shared" si="147"/>
        <v>0-0</v>
      </c>
      <c r="AF364" s="109" t="str">
        <f t="shared" si="148"/>
        <v>Y</v>
      </c>
      <c r="AG364" s="109" t="str">
        <f t="shared" si="149"/>
        <v>B</v>
      </c>
      <c r="AM364" s="109">
        <f t="shared" si="150"/>
        <v>0</v>
      </c>
      <c r="AN364" s="109">
        <f t="shared" si="151"/>
        <v>0</v>
      </c>
      <c r="AO364" s="109" t="str">
        <f t="shared" si="152"/>
        <v/>
      </c>
      <c r="AQ364" s="109" t="str">
        <f t="shared" si="153"/>
        <v/>
      </c>
      <c r="BA364" s="229">
        <f>MOD(SUM(E345:E365),12)</f>
        <v>0</v>
      </c>
    </row>
    <row r="365" spans="1:53" ht="15.75" thickBot="1" x14ac:dyDescent="0.3">
      <c r="A365" s="88"/>
      <c r="B365" s="66" t="s">
        <v>298</v>
      </c>
      <c r="C365" s="67"/>
      <c r="D365" s="102"/>
      <c r="E365" s="32"/>
      <c r="F365" s="32"/>
      <c r="G365" s="68" t="s">
        <v>277</v>
      </c>
      <c r="H365" s="69">
        <f t="shared" si="154"/>
        <v>0</v>
      </c>
      <c r="I365" s="70">
        <f t="shared" si="155"/>
        <v>0</v>
      </c>
      <c r="J365" s="73" t="str">
        <f t="shared" si="156"/>
        <v>--</v>
      </c>
      <c r="K365" s="32"/>
      <c r="L365" s="233"/>
      <c r="M365" s="277"/>
      <c r="N365" s="277"/>
      <c r="O365" s="277"/>
      <c r="P365" s="277"/>
      <c r="Q365" s="277"/>
      <c r="R365" s="277"/>
      <c r="S365" s="277"/>
      <c r="T365" s="277"/>
      <c r="U365" s="278"/>
      <c r="V365" s="103"/>
      <c r="W365" s="84">
        <f t="shared" si="161"/>
        <v>13</v>
      </c>
      <c r="X365" s="84"/>
      <c r="Y365" s="78">
        <f>SUM(E345:E365)</f>
        <v>12</v>
      </c>
      <c r="Z365" s="72" t="str">
        <f t="shared" si="159"/>
        <v/>
      </c>
      <c r="AA365" s="72" t="str">
        <f t="shared" si="160"/>
        <v/>
      </c>
      <c r="AB365" s="72"/>
      <c r="AC365" s="72">
        <f t="shared" si="145"/>
        <v>1</v>
      </c>
      <c r="AD365" s="72">
        <f t="shared" si="146"/>
        <v>1</v>
      </c>
      <c r="AE365" s="109" t="str">
        <f t="shared" si="147"/>
        <v>0-0</v>
      </c>
      <c r="AF365" s="109" t="str">
        <f t="shared" si="148"/>
        <v>Y</v>
      </c>
      <c r="AG365" s="109" t="str">
        <f t="shared" si="149"/>
        <v>B</v>
      </c>
      <c r="AM365" s="109">
        <f t="shared" si="150"/>
        <v>0</v>
      </c>
      <c r="AN365" s="109">
        <f t="shared" si="151"/>
        <v>0</v>
      </c>
      <c r="AO365" s="109" t="str">
        <f t="shared" si="152"/>
        <v/>
      </c>
      <c r="AQ365" s="109" t="str">
        <f t="shared" si="153"/>
        <v/>
      </c>
      <c r="BA365" s="229">
        <f>MOD(SUM(E345:E366),12)</f>
        <v>0</v>
      </c>
    </row>
    <row r="366" spans="1:53" ht="15.75" thickBot="1" x14ac:dyDescent="0.3">
      <c r="A366" s="88"/>
      <c r="B366" s="66" t="s">
        <v>299</v>
      </c>
      <c r="C366" s="67"/>
      <c r="D366" s="102"/>
      <c r="E366" s="32"/>
      <c r="F366" s="32"/>
      <c r="G366" s="68" t="s">
        <v>277</v>
      </c>
      <c r="H366" s="69">
        <f t="shared" si="154"/>
        <v>0</v>
      </c>
      <c r="I366" s="70">
        <f t="shared" si="155"/>
        <v>0</v>
      </c>
      <c r="J366" s="73" t="str">
        <f t="shared" si="156"/>
        <v>--</v>
      </c>
      <c r="K366" s="32"/>
      <c r="L366" s="233"/>
      <c r="M366" s="277"/>
      <c r="N366" s="277"/>
      <c r="O366" s="277"/>
      <c r="P366" s="277"/>
      <c r="Q366" s="277"/>
      <c r="R366" s="277"/>
      <c r="S366" s="277"/>
      <c r="T366" s="277"/>
      <c r="U366" s="278"/>
      <c r="V366" s="103"/>
      <c r="W366" s="84">
        <f t="shared" si="161"/>
        <v>13</v>
      </c>
      <c r="X366" s="84"/>
      <c r="Y366" s="78">
        <f>SUM(E345:E366)</f>
        <v>12</v>
      </c>
      <c r="Z366" s="72" t="str">
        <f t="shared" si="159"/>
        <v/>
      </c>
      <c r="AA366" s="72" t="str">
        <f t="shared" si="160"/>
        <v/>
      </c>
      <c r="AB366" s="72"/>
      <c r="AC366" s="72">
        <f t="shared" si="145"/>
        <v>1</v>
      </c>
      <c r="AD366" s="72">
        <f t="shared" si="146"/>
        <v>1</v>
      </c>
      <c r="AE366" s="109" t="str">
        <f t="shared" si="147"/>
        <v>0-0</v>
      </c>
      <c r="AF366" s="109" t="str">
        <f t="shared" si="148"/>
        <v>Y</v>
      </c>
      <c r="AG366" s="109" t="str">
        <f t="shared" si="149"/>
        <v>B</v>
      </c>
      <c r="AM366" s="109">
        <f t="shared" si="150"/>
        <v>0</v>
      </c>
      <c r="AN366" s="109">
        <f t="shared" si="151"/>
        <v>0</v>
      </c>
      <c r="AO366" s="109" t="str">
        <f t="shared" si="152"/>
        <v/>
      </c>
      <c r="AQ366" s="109" t="str">
        <f t="shared" si="153"/>
        <v/>
      </c>
      <c r="BA366" s="229">
        <f>MOD(SUM(E345:E367),12)</f>
        <v>0</v>
      </c>
    </row>
    <row r="367" spans="1:53" ht="15.75" thickBot="1" x14ac:dyDescent="0.3">
      <c r="A367" s="88"/>
      <c r="B367" s="66" t="s">
        <v>300</v>
      </c>
      <c r="C367" s="67"/>
      <c r="D367" s="102"/>
      <c r="E367" s="32"/>
      <c r="F367" s="32"/>
      <c r="G367" s="68" t="s">
        <v>277</v>
      </c>
      <c r="H367" s="69">
        <f t="shared" si="154"/>
        <v>0</v>
      </c>
      <c r="I367" s="70">
        <f t="shared" si="155"/>
        <v>0</v>
      </c>
      <c r="J367" s="73" t="str">
        <f t="shared" si="156"/>
        <v>--</v>
      </c>
      <c r="K367" s="32"/>
      <c r="L367" s="233"/>
      <c r="M367" s="277"/>
      <c r="N367" s="277"/>
      <c r="O367" s="277"/>
      <c r="P367" s="277"/>
      <c r="Q367" s="277"/>
      <c r="R367" s="277"/>
      <c r="S367" s="277"/>
      <c r="T367" s="277"/>
      <c r="U367" s="278"/>
      <c r="V367" s="103"/>
      <c r="W367" s="84">
        <f t="shared" si="161"/>
        <v>13</v>
      </c>
      <c r="X367" s="84"/>
      <c r="Y367" s="78">
        <f>SUM(E345:E367)</f>
        <v>12</v>
      </c>
      <c r="Z367" s="72" t="str">
        <f t="shared" si="159"/>
        <v/>
      </c>
      <c r="AA367" s="72" t="str">
        <f t="shared" si="160"/>
        <v/>
      </c>
      <c r="AB367" s="72"/>
      <c r="AC367" s="72">
        <f t="shared" si="145"/>
        <v>1</v>
      </c>
      <c r="AD367" s="72">
        <f t="shared" si="146"/>
        <v>1</v>
      </c>
      <c r="AE367" s="109" t="str">
        <f t="shared" si="147"/>
        <v>0-0</v>
      </c>
      <c r="AF367" s="109" t="str">
        <f t="shared" si="148"/>
        <v>Y</v>
      </c>
      <c r="AG367" s="109" t="str">
        <f t="shared" si="149"/>
        <v>B</v>
      </c>
      <c r="AM367" s="109">
        <f t="shared" si="150"/>
        <v>0</v>
      </c>
      <c r="AN367" s="109">
        <f t="shared" si="151"/>
        <v>0</v>
      </c>
      <c r="AO367" s="109" t="str">
        <f t="shared" si="152"/>
        <v/>
      </c>
      <c r="AQ367" s="109" t="str">
        <f t="shared" si="153"/>
        <v/>
      </c>
      <c r="BA367" s="229">
        <f>MOD(SUM(E345:E368),12)</f>
        <v>0</v>
      </c>
    </row>
    <row r="368" spans="1:53" ht="15.75" thickBot="1" x14ac:dyDescent="0.3">
      <c r="A368" s="88"/>
      <c r="B368" s="66" t="s">
        <v>301</v>
      </c>
      <c r="C368" s="67"/>
      <c r="D368" s="102"/>
      <c r="E368" s="32"/>
      <c r="F368" s="32"/>
      <c r="G368" s="68" t="s">
        <v>277</v>
      </c>
      <c r="H368" s="69">
        <f t="shared" si="154"/>
        <v>0</v>
      </c>
      <c r="I368" s="70">
        <f t="shared" si="155"/>
        <v>0</v>
      </c>
      <c r="J368" s="73" t="str">
        <f t="shared" si="156"/>
        <v>--</v>
      </c>
      <c r="K368" s="32"/>
      <c r="L368" s="233"/>
      <c r="M368" s="277"/>
      <c r="N368" s="277"/>
      <c r="O368" s="277"/>
      <c r="P368" s="277"/>
      <c r="Q368" s="277"/>
      <c r="R368" s="277"/>
      <c r="S368" s="277"/>
      <c r="T368" s="277"/>
      <c r="U368" s="278"/>
      <c r="V368" s="103"/>
      <c r="W368" s="84">
        <f t="shared" si="161"/>
        <v>13</v>
      </c>
      <c r="X368" s="84"/>
      <c r="Y368" s="78">
        <f>SUM(E345:E368)</f>
        <v>12</v>
      </c>
      <c r="Z368" s="72" t="str">
        <f t="shared" si="159"/>
        <v/>
      </c>
      <c r="AA368" s="72" t="str">
        <f t="shared" si="160"/>
        <v/>
      </c>
      <c r="AB368" s="72"/>
      <c r="AC368" s="72">
        <f t="shared" si="145"/>
        <v>1</v>
      </c>
      <c r="AD368" s="72">
        <f t="shared" si="146"/>
        <v>1</v>
      </c>
      <c r="AE368" s="109" t="str">
        <f t="shared" si="147"/>
        <v>0-0</v>
      </c>
      <c r="AF368" s="109" t="str">
        <f t="shared" si="148"/>
        <v>Y</v>
      </c>
      <c r="AG368" s="109" t="str">
        <f t="shared" si="149"/>
        <v>B</v>
      </c>
      <c r="AM368" s="109">
        <f t="shared" si="150"/>
        <v>0</v>
      </c>
      <c r="AN368" s="109">
        <f t="shared" si="151"/>
        <v>0</v>
      </c>
      <c r="AO368" s="109" t="str">
        <f t="shared" si="152"/>
        <v/>
      </c>
      <c r="AQ368" s="109" t="str">
        <f t="shared" si="153"/>
        <v/>
      </c>
      <c r="BA368" s="229">
        <f>MOD(SUM(E345:E369),12)</f>
        <v>0</v>
      </c>
    </row>
    <row r="369" spans="1:53" ht="15.75" thickBot="1" x14ac:dyDescent="0.3">
      <c r="A369" s="88"/>
      <c r="B369" s="66" t="s">
        <v>302</v>
      </c>
      <c r="C369" s="67"/>
      <c r="D369" s="102"/>
      <c r="E369" s="32"/>
      <c r="F369" s="32"/>
      <c r="G369" s="68" t="s">
        <v>277</v>
      </c>
      <c r="H369" s="69">
        <f t="shared" si="154"/>
        <v>0</v>
      </c>
      <c r="I369" s="70">
        <f t="shared" si="155"/>
        <v>0</v>
      </c>
      <c r="J369" s="73" t="str">
        <f t="shared" si="156"/>
        <v>--</v>
      </c>
      <c r="K369" s="32"/>
      <c r="L369" s="234"/>
      <c r="M369" s="277"/>
      <c r="N369" s="277"/>
      <c r="O369" s="277"/>
      <c r="P369" s="277"/>
      <c r="Q369" s="277"/>
      <c r="R369" s="277"/>
      <c r="S369" s="277"/>
      <c r="T369" s="277"/>
      <c r="U369" s="278"/>
      <c r="V369" s="103"/>
      <c r="W369" s="72"/>
      <c r="X369" s="72"/>
      <c r="Y369" s="78">
        <f>SUM(E345:E369)</f>
        <v>12</v>
      </c>
      <c r="Z369" s="72" t="str">
        <f t="shared" si="159"/>
        <v/>
      </c>
      <c r="AA369" s="72" t="str">
        <f t="shared" si="160"/>
        <v/>
      </c>
      <c r="AB369" s="72"/>
      <c r="AC369" s="72">
        <f t="shared" si="145"/>
        <v>1</v>
      </c>
      <c r="AD369" s="72">
        <f t="shared" si="146"/>
        <v>1</v>
      </c>
      <c r="AE369" s="109" t="str">
        <f t="shared" si="147"/>
        <v>0-0</v>
      </c>
      <c r="AF369" s="109" t="str">
        <f t="shared" si="148"/>
        <v>Y</v>
      </c>
      <c r="AG369" s="109" t="str">
        <f t="shared" si="149"/>
        <v>B</v>
      </c>
      <c r="AM369" s="109">
        <f t="shared" si="150"/>
        <v>0</v>
      </c>
      <c r="AN369" s="109">
        <f t="shared" si="151"/>
        <v>0</v>
      </c>
      <c r="AO369" s="109" t="str">
        <f t="shared" si="152"/>
        <v/>
      </c>
      <c r="AQ369" s="109" t="str">
        <f t="shared" si="153"/>
        <v/>
      </c>
      <c r="BA369" s="228"/>
    </row>
    <row r="370" spans="1:53" ht="16.5" thickBot="1" x14ac:dyDescent="0.3">
      <c r="A370" s="88"/>
      <c r="B370" s="319" t="s">
        <v>321</v>
      </c>
      <c r="C370" s="320"/>
      <c r="D370" s="79"/>
      <c r="E370" s="80"/>
      <c r="F370" s="80"/>
      <c r="G370" s="81"/>
      <c r="H370" s="192"/>
      <c r="I370" s="192"/>
      <c r="J370" s="192"/>
      <c r="K370" s="82"/>
      <c r="L370" s="319" t="s">
        <v>306</v>
      </c>
      <c r="M370" s="330"/>
      <c r="N370" s="330"/>
      <c r="O370" s="330"/>
      <c r="P370" s="330"/>
      <c r="Q370" s="330"/>
      <c r="R370" s="330"/>
      <c r="S370" s="330"/>
      <c r="T370" s="330"/>
      <c r="U370" s="320"/>
      <c r="V370" s="104"/>
      <c r="W370" s="72"/>
      <c r="X370" s="72"/>
      <c r="Y370" s="72"/>
      <c r="Z370" s="72"/>
      <c r="AA370" s="72" t="str">
        <f t="shared" si="160"/>
        <v/>
      </c>
      <c r="AB370" s="72"/>
      <c r="AC370" s="72">
        <f>SUM(AC345:AC369)</f>
        <v>25</v>
      </c>
      <c r="AD370" s="72">
        <f>SUM(AD345:AD369)</f>
        <v>23</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319" t="s">
        <v>307</v>
      </c>
      <c r="C371" s="320"/>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60"/>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312" t="s">
        <v>222</v>
      </c>
      <c r="C375" s="313"/>
      <c r="D375" s="314" t="s">
        <v>223</v>
      </c>
      <c r="E375" s="305"/>
      <c r="F375" s="88"/>
      <c r="G375" s="315" t="s">
        <v>224</v>
      </c>
      <c r="H375" s="316"/>
      <c r="I375" s="28">
        <f>SUM(E386:E410)</f>
        <v>120</v>
      </c>
      <c r="J375" s="317" t="s">
        <v>225</v>
      </c>
      <c r="K375" s="318"/>
      <c r="L375" s="305"/>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5" t="s">
        <v>226</v>
      </c>
      <c r="AA375" s="296"/>
      <c r="AB375" s="297"/>
      <c r="AC375" s="25"/>
      <c r="AD375" s="25"/>
      <c r="AH375" s="109">
        <v>2</v>
      </c>
      <c r="AI375" s="109" t="str">
        <f>IF($E376="SS",COUNTIFS($C386:$C410,"FST",$E386:$E410,"2"),"0")</f>
        <v>0</v>
      </c>
      <c r="AJ375" s="109" t="str">
        <f>IF($E376="RPX",COUNTIFS($C386:$C410,"FST",$E386:$E410,"2"),"0")</f>
        <v>0</v>
      </c>
      <c r="AK375" s="109">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EUC</v>
      </c>
      <c r="F376" s="88"/>
      <c r="G376" s="304" t="s">
        <v>230</v>
      </c>
      <c r="H376" s="305"/>
      <c r="I376" s="33">
        <f>E377-I375</f>
        <v>24</v>
      </c>
      <c r="J376" s="289" t="s">
        <v>231</v>
      </c>
      <c r="K376" s="290"/>
      <c r="L376" s="34">
        <f>I380</f>
        <v>601</v>
      </c>
      <c r="M376" s="196">
        <v>4</v>
      </c>
      <c r="N376" s="35">
        <f>SUM(AI376,AI387)</f>
        <v>0</v>
      </c>
      <c r="O376" s="35">
        <v>0</v>
      </c>
      <c r="P376" s="35">
        <f>SUM(AJ376,AJ387)</f>
        <v>0</v>
      </c>
      <c r="Q376" s="35">
        <v>0</v>
      </c>
      <c r="R376" s="35">
        <f>COUNTIFS($E386:$E410,"4",$F386:$F410,"Pole",$C386:$C410,"FST")</f>
        <v>0</v>
      </c>
      <c r="S376" s="35">
        <f>SUM(AL376,AK387)</f>
        <v>0</v>
      </c>
      <c r="T376" s="35">
        <v>0</v>
      </c>
      <c r="U376" s="35">
        <f>SUM(AK376,AL387)</f>
        <v>6</v>
      </c>
      <c r="V376" s="35">
        <v>0</v>
      </c>
      <c r="W376" s="34">
        <f>COUNTIFS($E386:$E410,"4",$F386:$F410,"HH",$C386:$C410,"FST")</f>
        <v>6</v>
      </c>
      <c r="X376" s="35">
        <f>COUNTIFS($E386:$E410,"4",$F386:$F410,"Ped",$C386:$C410,"FST")</f>
        <v>0</v>
      </c>
      <c r="Y376" s="25"/>
      <c r="Z376" s="298" t="s">
        <v>232</v>
      </c>
      <c r="AA376" s="300" t="s">
        <v>233</v>
      </c>
      <c r="AB376" s="301"/>
      <c r="AC376" s="25"/>
      <c r="AD376" s="25"/>
      <c r="AH376" s="109">
        <v>4</v>
      </c>
      <c r="AI376" s="109" t="str">
        <f>IF($E376="SS",COUNTIFS($C386:$C410,"FST",$E386:$E410,"4"),"0")</f>
        <v>0</v>
      </c>
      <c r="AJ376" s="109" t="str">
        <f>IF($E376="RPX",COUNTIFS($C386:$C410,"FST",$E386:$E410,"4"),"0")</f>
        <v>0</v>
      </c>
      <c r="AK376" s="109">
        <f>IF($E376="EUC",COUNTIFS($C386:$C410,"FST",$E386:$E410,"4"),"0")</f>
        <v>6</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144</v>
      </c>
      <c r="F377" s="88"/>
      <c r="G377" s="291" t="s">
        <v>237</v>
      </c>
      <c r="H377" s="292"/>
      <c r="I377" s="35">
        <f>IF(E377=0,0,12-(MOD(I375,12)))</f>
        <v>12</v>
      </c>
      <c r="J377" s="289" t="s">
        <v>238</v>
      </c>
      <c r="K377" s="290"/>
      <c r="L377" s="39">
        <f>I381-I375</f>
        <v>600</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299"/>
      <c r="AA377" s="302"/>
      <c r="AB377" s="303"/>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24</v>
      </c>
      <c r="F378" s="88"/>
      <c r="G378" s="321" t="s">
        <v>242</v>
      </c>
      <c r="H378" s="43" t="s">
        <v>243</v>
      </c>
      <c r="I378" s="35">
        <f>IF(E378&lt;&gt;0,1,0)</f>
        <v>1</v>
      </c>
      <c r="J378" s="291" t="s">
        <v>244</v>
      </c>
      <c r="K378" s="292"/>
      <c r="L378" s="44">
        <f>'Cable Calculator'!AW3</f>
        <v>1941</v>
      </c>
      <c r="M378" s="196">
        <v>8</v>
      </c>
      <c r="N378" s="35">
        <f>SUM(AI378,AI389)</f>
        <v>0</v>
      </c>
      <c r="O378" s="35">
        <v>0</v>
      </c>
      <c r="P378" s="35">
        <f>SUM(AJ378,AJ389)</f>
        <v>0</v>
      </c>
      <c r="Q378" s="35">
        <v>0</v>
      </c>
      <c r="R378" s="35">
        <f>COUNTIFS($E386:$E410,"8",$F386:$F410,"Pole",$C386:$C410,"FST")</f>
        <v>0</v>
      </c>
      <c r="S378" s="35">
        <f>SUM(AL378,AK389)</f>
        <v>0</v>
      </c>
      <c r="T378" s="35">
        <v>0</v>
      </c>
      <c r="U378" s="35">
        <f>SUM(AK378,AL389)</f>
        <v>3</v>
      </c>
      <c r="V378" s="35">
        <v>0</v>
      </c>
      <c r="W378" s="34">
        <f>COUNTIFS($E386:$E410,"8",$F386:$F410,"HH",$C386:$C410,"FST")</f>
        <v>3</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3</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601</v>
      </c>
      <c r="F379" s="88"/>
      <c r="G379" s="322"/>
      <c r="H379" s="47" t="s">
        <v>248</v>
      </c>
      <c r="I379" s="35">
        <f>IF(E378&lt;&gt;0,E378,0)</f>
        <v>24</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f>IF($E376="EUC",SUM(AK379,AL390,AM411,AO411,AQ411),"0")</f>
        <v>0</v>
      </c>
      <c r="V379" s="35">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12</v>
      </c>
      <c r="F380" s="88"/>
      <c r="G380" s="321" t="s">
        <v>251</v>
      </c>
      <c r="H380" s="51" t="s">
        <v>252</v>
      </c>
      <c r="I380" s="112">
        <f>E379</f>
        <v>601</v>
      </c>
      <c r="J380" s="323" t="s">
        <v>253</v>
      </c>
      <c r="K380" s="324"/>
      <c r="L380" s="325"/>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N</v>
      </c>
      <c r="F381" s="88"/>
      <c r="G381" s="322"/>
      <c r="H381" s="47" t="s">
        <v>257</v>
      </c>
      <c r="I381" s="35">
        <f>IF(E379="","0",IF(AND(E376="EUC",E377=432), I380+(203-E378),IF(E379=0,0,(E379+(E377-E378)-1))))</f>
        <v>720</v>
      </c>
      <c r="J381" s="285" t="str">
        <f>IFERROR(IF(OR(E376="EUC",E376="SS"),"---",IF(OR(P375,S375),"NO 2F Tethers for RPX!",IF(OR(P377,S377),"NO 6F Tethers for RPX!","---"))),"---")</f>
        <v>---</v>
      </c>
      <c r="K381" s="286"/>
      <c r="L381" s="287"/>
      <c r="M381" s="285" t="str">
        <f>IF(E378&gt;60,"Dead Count &gt;60: Consider Downsize","---")</f>
        <v>---</v>
      </c>
      <c r="N381" s="286"/>
      <c r="O381" s="286"/>
      <c r="P381" s="286"/>
      <c r="Q381" s="286"/>
      <c r="R381" s="286"/>
      <c r="S381" s="286"/>
      <c r="T381" s="286"/>
      <c r="U381" s="287"/>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120</v>
      </c>
      <c r="D382" s="31" t="s">
        <v>259</v>
      </c>
      <c r="E382" s="101" t="str">
        <f>IF(AS376="Y","DBL",IF(AS377="Y","TRPL",IF(AS378="Y","QUAD","")))</f>
        <v/>
      </c>
      <c r="F382" s="88"/>
      <c r="G382" s="192"/>
      <c r="H382" s="57"/>
      <c r="I382" s="192"/>
      <c r="J382" s="285"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86"/>
      <c r="L382" s="287"/>
      <c r="M382" s="285" t="str">
        <f>IF(AND(OR(E376="SS",E376="RPX",E376="EUC",E376="RPX-T"),(OR(C386="",C386="Field SPL"))),"Cannot have FlexNap cables without tethers","---")</f>
        <v>---</v>
      </c>
      <c r="N382" s="286"/>
      <c r="O382" s="286"/>
      <c r="P382" s="286"/>
      <c r="Q382" s="286"/>
      <c r="R382" s="286"/>
      <c r="S382" s="286"/>
      <c r="T382" s="286"/>
      <c r="U382" s="287"/>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85" t="str">
        <f>IF(AND(OR(E376="RPX", E376="RPX-T", E376="SS"),E377=216),"NO 216 For RPX, RPX-T, OR SS CABLE","---")</f>
        <v>---</v>
      </c>
      <c r="K383" s="286"/>
      <c r="L383" s="287"/>
      <c r="M383" s="285" t="str" cm="1">
        <f t="array" ref="M383">IF(AND(E376="",OR(C386:C410="FST",C386:C410="REV T",C386:C410="DBL REV",C386:C410="TPL REV", C386:C410="QD REV")),"Non-FlexNap cables cannot have tethers","---")</f>
        <v>---</v>
      </c>
      <c r="N383" s="286"/>
      <c r="O383" s="286"/>
      <c r="P383" s="286"/>
      <c r="Q383" s="286"/>
      <c r="R383" s="286"/>
      <c r="S383" s="286"/>
      <c r="T383" s="286"/>
      <c r="U383" s="287"/>
      <c r="V383" s="25"/>
      <c r="W383" s="58"/>
      <c r="X383" s="58"/>
      <c r="Y383" s="25"/>
      <c r="Z383" s="45">
        <v>6</v>
      </c>
      <c r="AA383" s="65">
        <v>61</v>
      </c>
      <c r="AB383" s="65">
        <v>72</v>
      </c>
      <c r="AC383" s="25"/>
      <c r="AD383" s="25"/>
      <c r="BA383" s="226"/>
    </row>
    <row r="384" spans="1:53" ht="15.75" customHeight="1" thickBot="1" x14ac:dyDescent="0.3">
      <c r="A384" s="88"/>
      <c r="B384" s="321" t="s">
        <v>260</v>
      </c>
      <c r="C384" s="293" t="s">
        <v>261</v>
      </c>
      <c r="D384" s="293" t="s">
        <v>262</v>
      </c>
      <c r="E384" s="306" t="s">
        <v>263</v>
      </c>
      <c r="F384" s="293" t="s">
        <v>264</v>
      </c>
      <c r="G384" s="308" t="s">
        <v>265</v>
      </c>
      <c r="H384" s="308" t="s">
        <v>266</v>
      </c>
      <c r="I384" s="308" t="s">
        <v>267</v>
      </c>
      <c r="J384" s="310" t="s">
        <v>268</v>
      </c>
      <c r="K384" s="293" t="s">
        <v>269</v>
      </c>
      <c r="L384" s="279" t="s">
        <v>270</v>
      </c>
      <c r="M384" s="281" t="s">
        <v>271</v>
      </c>
      <c r="N384" s="281"/>
      <c r="O384" s="281"/>
      <c r="P384" s="281"/>
      <c r="Q384" s="281"/>
      <c r="R384" s="281"/>
      <c r="S384" s="281"/>
      <c r="T384" s="281"/>
      <c r="U384" s="282"/>
      <c r="V384" s="107"/>
      <c r="W384" s="72"/>
      <c r="X384" s="72"/>
      <c r="Y384" s="72"/>
      <c r="Z384" s="45">
        <v>7</v>
      </c>
      <c r="AA384" s="65">
        <v>73</v>
      </c>
      <c r="AB384" s="65">
        <v>84</v>
      </c>
      <c r="AC384" s="25"/>
      <c r="AD384" s="25"/>
      <c r="BA384" s="228"/>
    </row>
    <row r="385" spans="1:53" ht="15.75" thickBot="1" x14ac:dyDescent="0.3">
      <c r="A385" s="88"/>
      <c r="B385" s="322"/>
      <c r="C385" s="294"/>
      <c r="D385" s="294"/>
      <c r="E385" s="307"/>
      <c r="F385" s="294"/>
      <c r="G385" s="309"/>
      <c r="H385" s="309"/>
      <c r="I385" s="309"/>
      <c r="J385" s="311"/>
      <c r="K385" s="294"/>
      <c r="L385" s="280"/>
      <c r="M385" s="283"/>
      <c r="N385" s="283"/>
      <c r="O385" s="283"/>
      <c r="P385" s="283"/>
      <c r="Q385" s="283"/>
      <c r="R385" s="283"/>
      <c r="S385" s="283"/>
      <c r="T385" s="283"/>
      <c r="U385" s="284"/>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756</v>
      </c>
      <c r="E386" s="32">
        <v>4</v>
      </c>
      <c r="F386" s="32" t="s">
        <v>488</v>
      </c>
      <c r="G386" s="68" t="s">
        <v>277</v>
      </c>
      <c r="H386" s="69">
        <f>IF(I386=0,0,I386-(E386-1))</f>
        <v>717</v>
      </c>
      <c r="I386" s="70">
        <f>IF(E386=0,0,I381)</f>
        <v>720</v>
      </c>
      <c r="J386" s="71" t="s">
        <v>278</v>
      </c>
      <c r="K386" s="32"/>
      <c r="L386" s="233"/>
      <c r="M386" s="277"/>
      <c r="N386" s="277"/>
      <c r="O386" s="277"/>
      <c r="P386" s="277"/>
      <c r="Q386" s="277"/>
      <c r="R386" s="277"/>
      <c r="S386" s="277"/>
      <c r="T386" s="277"/>
      <c r="U386" s="278"/>
      <c r="V386" s="103"/>
      <c r="W386" s="72"/>
      <c r="X386" s="72"/>
      <c r="Y386" s="72"/>
      <c r="Z386" s="45">
        <v>9</v>
      </c>
      <c r="AA386" s="46">
        <v>97</v>
      </c>
      <c r="AB386" s="46">
        <v>108</v>
      </c>
      <c r="AC386" s="72">
        <f t="shared" ref="AC386:AC410" si="162">IF(B386&lt;&gt;"FST",1,0)</f>
        <v>1</v>
      </c>
      <c r="AD386" s="72">
        <f t="shared" ref="AD386:AD410" si="163">IF(C386&lt;&gt;"FST",1,0)</f>
        <v>0</v>
      </c>
      <c r="AE386" s="109" t="str">
        <f t="shared" ref="AE386:AE410" si="164">CONCATENATE(H386,"-",I386)</f>
        <v>717-720</v>
      </c>
      <c r="AF386" s="109" t="str">
        <f t="shared" ref="AF386:AF410" si="165">IF(C386="Field SPL","N","Y")</f>
        <v>Y</v>
      </c>
      <c r="AG386" s="109" t="str">
        <f t="shared" ref="AG386:AG410" si="166">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67">VALUE(IF(C386="FST","0",IF(C386="REV T","1",IF(C386="DBL REV",".5","0"))))</f>
        <v>0</v>
      </c>
      <c r="AN386" s="109">
        <f t="shared" ref="AN386:AN410" si="168">VALUE(IF(C386="FST","0",IF(C386="REV T","0",IF(C386="DBL REV",".5","0"))))</f>
        <v>0</v>
      </c>
      <c r="AO386" s="109" t="str">
        <f t="shared" ref="AO386:AO410" si="169">IF(C386="TPL REV","Y","")</f>
        <v/>
      </c>
      <c r="AQ386" s="109" t="str">
        <f t="shared" ref="AQ386:AQ410" si="170">IF(C386="QD REV","Y","")</f>
        <v/>
      </c>
      <c r="BA386" s="229">
        <f>MOD(E386,12)</f>
        <v>4</v>
      </c>
    </row>
    <row r="387" spans="1:53" ht="15.75" thickBot="1" x14ac:dyDescent="0.3">
      <c r="A387" s="88"/>
      <c r="B387" s="66" t="s">
        <v>279</v>
      </c>
      <c r="C387" s="67" t="s">
        <v>484</v>
      </c>
      <c r="D387" s="102" t="s">
        <v>757</v>
      </c>
      <c r="E387" s="32">
        <v>4</v>
      </c>
      <c r="F387" s="32" t="s">
        <v>488</v>
      </c>
      <c r="G387" s="68" t="s">
        <v>277</v>
      </c>
      <c r="H387" s="69">
        <f t="shared" ref="H387:H410" si="171">IF(E387=0,0,I387-(E387-1))</f>
        <v>713</v>
      </c>
      <c r="I387" s="70">
        <f t="shared" ref="I387:I410" si="172">IF(E387=0,0,H386-1)</f>
        <v>716</v>
      </c>
      <c r="J387" s="73" t="str">
        <f>IF(C387="","--",IF(AND(C387&lt;&gt;"FST",C387&lt;&gt;"TCF",BA386&lt;&gt;0),BA386,"--"))</f>
        <v>--</v>
      </c>
      <c r="K387" s="32"/>
      <c r="L387" s="233"/>
      <c r="M387" s="277"/>
      <c r="N387" s="277"/>
      <c r="O387" s="277"/>
      <c r="P387" s="277"/>
      <c r="Q387" s="277"/>
      <c r="R387" s="277"/>
      <c r="S387" s="277"/>
      <c r="T387" s="277"/>
      <c r="U387" s="278"/>
      <c r="V387" s="103"/>
      <c r="W387" s="72"/>
      <c r="X387" s="72"/>
      <c r="Y387" s="72"/>
      <c r="Z387" s="45">
        <v>10</v>
      </c>
      <c r="AA387" s="46">
        <v>109</v>
      </c>
      <c r="AB387" s="46">
        <v>120</v>
      </c>
      <c r="AC387" s="72">
        <f t="shared" si="162"/>
        <v>1</v>
      </c>
      <c r="AD387" s="72">
        <f t="shared" si="163"/>
        <v>0</v>
      </c>
      <c r="AE387" s="109" t="str">
        <f t="shared" si="164"/>
        <v>713-716</v>
      </c>
      <c r="AF387" s="109" t="str">
        <f t="shared" si="165"/>
        <v>Y</v>
      </c>
      <c r="AG387" s="109" t="str">
        <f t="shared" si="166"/>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67"/>
        <v>0</v>
      </c>
      <c r="AN387" s="109">
        <f t="shared" si="168"/>
        <v>0</v>
      </c>
      <c r="AO387" s="109" t="str">
        <f t="shared" si="169"/>
        <v/>
      </c>
      <c r="AQ387" s="109" t="str">
        <f t="shared" si="170"/>
        <v/>
      </c>
      <c r="BA387" s="229">
        <f>MOD(SUM(E386:E387),12)</f>
        <v>8</v>
      </c>
    </row>
    <row r="388" spans="1:53" ht="15.75" thickBot="1" x14ac:dyDescent="0.3">
      <c r="A388" s="88"/>
      <c r="B388" s="74" t="s">
        <v>280</v>
      </c>
      <c r="C388" s="67" t="s">
        <v>484</v>
      </c>
      <c r="D388" s="102" t="s">
        <v>810</v>
      </c>
      <c r="E388" s="32">
        <v>8</v>
      </c>
      <c r="F388" s="32" t="s">
        <v>488</v>
      </c>
      <c r="G388" s="75" t="s">
        <v>277</v>
      </c>
      <c r="H388" s="69">
        <f t="shared" si="171"/>
        <v>705</v>
      </c>
      <c r="I388" s="70">
        <f t="shared" si="172"/>
        <v>712</v>
      </c>
      <c r="J388" s="73" t="str">
        <f t="shared" ref="J388:J410" si="173">IF(C388="","--",IF(AND(C388&lt;&gt;"FST",C388&lt;&gt;"TCF",BA387&lt;&gt;0),BA387,"--"))</f>
        <v>--</v>
      </c>
      <c r="K388" s="32"/>
      <c r="L388" s="233"/>
      <c r="M388" s="277"/>
      <c r="N388" s="277"/>
      <c r="O388" s="277"/>
      <c r="P388" s="277"/>
      <c r="Q388" s="277"/>
      <c r="R388" s="277"/>
      <c r="S388" s="277"/>
      <c r="T388" s="277"/>
      <c r="U388" s="278"/>
      <c r="V388" s="103"/>
      <c r="W388" s="72"/>
      <c r="X388" s="72"/>
      <c r="Y388" s="72"/>
      <c r="Z388" s="45">
        <v>11</v>
      </c>
      <c r="AA388" s="46">
        <v>121</v>
      </c>
      <c r="AB388" s="46">
        <v>132</v>
      </c>
      <c r="AC388" s="72">
        <f t="shared" si="162"/>
        <v>1</v>
      </c>
      <c r="AD388" s="72">
        <f t="shared" si="163"/>
        <v>0</v>
      </c>
      <c r="AE388" s="109" t="str">
        <f t="shared" si="164"/>
        <v>705-712</v>
      </c>
      <c r="AF388" s="109" t="str">
        <f t="shared" si="165"/>
        <v>Y</v>
      </c>
      <c r="AG388" s="109" t="str">
        <f t="shared" si="166"/>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67"/>
        <v>0</v>
      </c>
      <c r="AN388" s="109">
        <f t="shared" si="168"/>
        <v>0</v>
      </c>
      <c r="AO388" s="109" t="str">
        <f t="shared" si="169"/>
        <v/>
      </c>
      <c r="AQ388" s="109" t="str">
        <f t="shared" si="170"/>
        <v/>
      </c>
      <c r="BA388" s="229">
        <f>MOD(SUM(E386:E389),12)</f>
        <v>8</v>
      </c>
    </row>
    <row r="389" spans="1:53" ht="15.75" thickBot="1" x14ac:dyDescent="0.3">
      <c r="A389" s="88"/>
      <c r="B389" s="66" t="s">
        <v>281</v>
      </c>
      <c r="C389" s="67" t="s">
        <v>484</v>
      </c>
      <c r="D389" s="102" t="s">
        <v>758</v>
      </c>
      <c r="E389" s="32">
        <v>4</v>
      </c>
      <c r="F389" s="32" t="s">
        <v>488</v>
      </c>
      <c r="G389" s="68" t="s">
        <v>277</v>
      </c>
      <c r="H389" s="69">
        <f t="shared" si="171"/>
        <v>701</v>
      </c>
      <c r="I389" s="70">
        <f t="shared" si="172"/>
        <v>704</v>
      </c>
      <c r="J389" s="73" t="str">
        <f t="shared" si="173"/>
        <v>--</v>
      </c>
      <c r="K389" s="32"/>
      <c r="L389" s="233"/>
      <c r="M389" s="277"/>
      <c r="N389" s="277"/>
      <c r="O389" s="277"/>
      <c r="P389" s="277"/>
      <c r="Q389" s="277"/>
      <c r="R389" s="277"/>
      <c r="S389" s="277"/>
      <c r="T389" s="277"/>
      <c r="U389" s="278"/>
      <c r="V389" s="103"/>
      <c r="W389" s="72"/>
      <c r="X389" s="72"/>
      <c r="Y389" s="72"/>
      <c r="Z389" s="45">
        <v>12</v>
      </c>
      <c r="AA389" s="76">
        <v>133</v>
      </c>
      <c r="AB389" s="76">
        <v>144</v>
      </c>
      <c r="AC389" s="72">
        <f t="shared" si="162"/>
        <v>1</v>
      </c>
      <c r="AD389" s="72">
        <f t="shared" si="163"/>
        <v>0</v>
      </c>
      <c r="AE389" s="109" t="str">
        <f t="shared" si="164"/>
        <v>701-704</v>
      </c>
      <c r="AF389" s="109" t="str">
        <f t="shared" si="165"/>
        <v>Y</v>
      </c>
      <c r="AG389" s="109" t="str">
        <f t="shared" si="166"/>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67"/>
        <v>0</v>
      </c>
      <c r="AN389" s="109">
        <f t="shared" si="168"/>
        <v>0</v>
      </c>
      <c r="AO389" s="109" t="str">
        <f t="shared" si="169"/>
        <v/>
      </c>
      <c r="AQ389" s="109" t="str">
        <f t="shared" si="170"/>
        <v/>
      </c>
      <c r="BA389" s="229">
        <f>MOD(SUM(E386:E390),12)</f>
        <v>4</v>
      </c>
    </row>
    <row r="390" spans="1:53" ht="15.75" thickBot="1" x14ac:dyDescent="0.3">
      <c r="A390" s="88"/>
      <c r="B390" s="66" t="s">
        <v>282</v>
      </c>
      <c r="C390" s="67" t="s">
        <v>484</v>
      </c>
      <c r="D390" s="102" t="s">
        <v>759</v>
      </c>
      <c r="E390" s="32">
        <v>8</v>
      </c>
      <c r="F390" s="32" t="s">
        <v>488</v>
      </c>
      <c r="G390" s="68" t="s">
        <v>277</v>
      </c>
      <c r="H390" s="69">
        <f t="shared" si="171"/>
        <v>693</v>
      </c>
      <c r="I390" s="70">
        <f t="shared" si="172"/>
        <v>700</v>
      </c>
      <c r="J390" s="73" t="str">
        <f t="shared" si="173"/>
        <v>--</v>
      </c>
      <c r="K390" s="32"/>
      <c r="L390" s="233"/>
      <c r="M390" s="277"/>
      <c r="N390" s="277"/>
      <c r="O390" s="277"/>
      <c r="P390" s="277"/>
      <c r="Q390" s="277"/>
      <c r="R390" s="277"/>
      <c r="S390" s="277"/>
      <c r="T390" s="277"/>
      <c r="U390" s="278"/>
      <c r="V390" s="103"/>
      <c r="W390" s="72"/>
      <c r="X390" s="72"/>
      <c r="Y390" s="72"/>
      <c r="Z390" s="45">
        <v>13</v>
      </c>
      <c r="AA390" s="77">
        <f t="shared" ref="AA390:AA395" si="174">AB389+1</f>
        <v>145</v>
      </c>
      <c r="AB390" s="77">
        <f t="shared" ref="AB390:AB395" si="175">AB389+12</f>
        <v>156</v>
      </c>
      <c r="AC390" s="72">
        <f t="shared" si="162"/>
        <v>1</v>
      </c>
      <c r="AD390" s="72">
        <f t="shared" si="163"/>
        <v>0</v>
      </c>
      <c r="AE390" s="109" t="str">
        <f t="shared" si="164"/>
        <v>693-700</v>
      </c>
      <c r="AF390" s="109" t="str">
        <f t="shared" si="165"/>
        <v>Y</v>
      </c>
      <c r="AG390" s="109" t="str">
        <f t="shared" si="166"/>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67"/>
        <v>0</v>
      </c>
      <c r="AN390" s="109">
        <f t="shared" si="168"/>
        <v>0</v>
      </c>
      <c r="AO390" s="109" t="str">
        <f t="shared" si="169"/>
        <v/>
      </c>
      <c r="AQ390" s="109" t="str">
        <f t="shared" si="170"/>
        <v/>
      </c>
      <c r="BA390" s="229">
        <f>MOD(SUM(E386:E391),12)</f>
        <v>8</v>
      </c>
    </row>
    <row r="391" spans="1:53" ht="15.75" thickBot="1" x14ac:dyDescent="0.3">
      <c r="A391" s="88"/>
      <c r="B391" s="66" t="s">
        <v>283</v>
      </c>
      <c r="C391" s="67" t="s">
        <v>484</v>
      </c>
      <c r="D391" s="102" t="s">
        <v>805</v>
      </c>
      <c r="E391" s="32">
        <v>4</v>
      </c>
      <c r="F391" s="32" t="s">
        <v>488</v>
      </c>
      <c r="G391" s="68" t="s">
        <v>277</v>
      </c>
      <c r="H391" s="69">
        <f t="shared" si="171"/>
        <v>689</v>
      </c>
      <c r="I391" s="70">
        <f t="shared" si="172"/>
        <v>692</v>
      </c>
      <c r="J391" s="73" t="str">
        <f t="shared" si="173"/>
        <v>--</v>
      </c>
      <c r="K391" s="32"/>
      <c r="L391" s="233"/>
      <c r="M391" s="277"/>
      <c r="N391" s="277"/>
      <c r="O391" s="277"/>
      <c r="P391" s="277"/>
      <c r="Q391" s="277"/>
      <c r="R391" s="277"/>
      <c r="S391" s="277"/>
      <c r="T391" s="277"/>
      <c r="U391" s="278"/>
      <c r="V391" s="103"/>
      <c r="W391" s="72"/>
      <c r="X391" s="72"/>
      <c r="Y391" s="72"/>
      <c r="Z391" s="45">
        <v>14</v>
      </c>
      <c r="AA391" s="77">
        <f t="shared" si="174"/>
        <v>157</v>
      </c>
      <c r="AB391" s="77">
        <f t="shared" si="175"/>
        <v>168</v>
      </c>
      <c r="AC391" s="72">
        <f t="shared" si="162"/>
        <v>1</v>
      </c>
      <c r="AD391" s="72">
        <f t="shared" si="163"/>
        <v>0</v>
      </c>
      <c r="AE391" s="109" t="str">
        <f t="shared" si="164"/>
        <v>689-692</v>
      </c>
      <c r="AF391" s="109" t="str">
        <f t="shared" si="165"/>
        <v>Y</v>
      </c>
      <c r="AG391" s="109" t="str">
        <f t="shared" si="166"/>
        <v>B</v>
      </c>
      <c r="AM391" s="109">
        <f t="shared" si="167"/>
        <v>0</v>
      </c>
      <c r="AN391" s="109">
        <f t="shared" si="168"/>
        <v>0</v>
      </c>
      <c r="AO391" s="109" t="str">
        <f t="shared" si="169"/>
        <v/>
      </c>
      <c r="AQ391" s="109" t="str">
        <f t="shared" si="170"/>
        <v/>
      </c>
      <c r="BA391" s="229">
        <f>MOD(SUM(E386:E392),12)</f>
        <v>0</v>
      </c>
    </row>
    <row r="392" spans="1:53" ht="15.75" thickBot="1" x14ac:dyDescent="0.3">
      <c r="A392" s="88"/>
      <c r="B392" s="66" t="s">
        <v>284</v>
      </c>
      <c r="C392" s="67" t="s">
        <v>484</v>
      </c>
      <c r="D392" s="102" t="s">
        <v>806</v>
      </c>
      <c r="E392" s="32">
        <v>4</v>
      </c>
      <c r="F392" s="32" t="s">
        <v>488</v>
      </c>
      <c r="G392" s="68" t="s">
        <v>277</v>
      </c>
      <c r="H392" s="69">
        <f t="shared" si="171"/>
        <v>685</v>
      </c>
      <c r="I392" s="70">
        <f t="shared" si="172"/>
        <v>688</v>
      </c>
      <c r="J392" s="73" t="str">
        <f t="shared" si="173"/>
        <v>--</v>
      </c>
      <c r="K392" s="32"/>
      <c r="L392" s="233"/>
      <c r="M392" s="277"/>
      <c r="N392" s="277"/>
      <c r="O392" s="277"/>
      <c r="P392" s="277"/>
      <c r="Q392" s="277"/>
      <c r="R392" s="277"/>
      <c r="S392" s="277"/>
      <c r="T392" s="277"/>
      <c r="U392" s="278"/>
      <c r="V392" s="103"/>
      <c r="W392" s="72"/>
      <c r="X392" s="72"/>
      <c r="Y392" s="72"/>
      <c r="Z392" s="45">
        <v>15</v>
      </c>
      <c r="AA392" s="77">
        <f t="shared" si="174"/>
        <v>169</v>
      </c>
      <c r="AB392" s="77">
        <f t="shared" si="175"/>
        <v>180</v>
      </c>
      <c r="AC392" s="72">
        <f t="shared" si="162"/>
        <v>1</v>
      </c>
      <c r="AD392" s="72">
        <f t="shared" si="163"/>
        <v>0</v>
      </c>
      <c r="AE392" s="109" t="str">
        <f t="shared" si="164"/>
        <v>685-688</v>
      </c>
      <c r="AF392" s="109" t="str">
        <f t="shared" si="165"/>
        <v>Y</v>
      </c>
      <c r="AG392" s="109" t="str">
        <f t="shared" si="166"/>
        <v>B</v>
      </c>
      <c r="AM392" s="109">
        <f t="shared" si="167"/>
        <v>0</v>
      </c>
      <c r="AN392" s="109">
        <f t="shared" si="168"/>
        <v>0</v>
      </c>
      <c r="AO392" s="109" t="str">
        <f t="shared" si="169"/>
        <v/>
      </c>
      <c r="AQ392" s="109" t="str">
        <f t="shared" si="170"/>
        <v/>
      </c>
      <c r="BA392" s="229">
        <f>MOD(SUM(E386:E393),12)</f>
        <v>4</v>
      </c>
    </row>
    <row r="393" spans="1:53" ht="15.75" thickBot="1" x14ac:dyDescent="0.3">
      <c r="A393" s="88"/>
      <c r="B393" s="66" t="s">
        <v>285</v>
      </c>
      <c r="C393" s="67" t="s">
        <v>484</v>
      </c>
      <c r="D393" s="102" t="s">
        <v>809</v>
      </c>
      <c r="E393" s="32">
        <v>4</v>
      </c>
      <c r="F393" s="32" t="s">
        <v>488</v>
      </c>
      <c r="G393" s="68" t="s">
        <v>277</v>
      </c>
      <c r="H393" s="69">
        <f t="shared" si="171"/>
        <v>681</v>
      </c>
      <c r="I393" s="70">
        <f t="shared" si="172"/>
        <v>684</v>
      </c>
      <c r="J393" s="73" t="str">
        <f t="shared" si="173"/>
        <v>--</v>
      </c>
      <c r="K393" s="32"/>
      <c r="L393" s="233"/>
      <c r="M393" s="277"/>
      <c r="N393" s="277"/>
      <c r="O393" s="277"/>
      <c r="P393" s="277"/>
      <c r="Q393" s="277"/>
      <c r="R393" s="277"/>
      <c r="S393" s="277"/>
      <c r="T393" s="277"/>
      <c r="U393" s="278"/>
      <c r="V393" s="103"/>
      <c r="W393" s="72"/>
      <c r="X393" s="72"/>
      <c r="Y393" s="72"/>
      <c r="Z393" s="45">
        <f>Z392+1</f>
        <v>16</v>
      </c>
      <c r="AA393" s="77">
        <f t="shared" si="174"/>
        <v>181</v>
      </c>
      <c r="AB393" s="77">
        <f t="shared" si="175"/>
        <v>192</v>
      </c>
      <c r="AC393" s="72">
        <f t="shared" si="162"/>
        <v>1</v>
      </c>
      <c r="AD393" s="72">
        <f t="shared" si="163"/>
        <v>0</v>
      </c>
      <c r="AE393" s="109" t="str">
        <f t="shared" si="164"/>
        <v>681-684</v>
      </c>
      <c r="AF393" s="109" t="str">
        <f t="shared" si="165"/>
        <v>Y</v>
      </c>
      <c r="AG393" s="109" t="str">
        <f t="shared" si="166"/>
        <v>B</v>
      </c>
      <c r="AM393" s="109">
        <f t="shared" si="167"/>
        <v>0</v>
      </c>
      <c r="AN393" s="109">
        <f t="shared" si="168"/>
        <v>0</v>
      </c>
      <c r="AO393" s="109" t="str">
        <f t="shared" si="169"/>
        <v/>
      </c>
      <c r="AQ393" s="109" t="str">
        <f t="shared" si="170"/>
        <v/>
      </c>
      <c r="BA393" s="229">
        <f>MOD(SUM(E386:E394),12)</f>
        <v>0</v>
      </c>
    </row>
    <row r="394" spans="1:53" ht="15.75" thickBot="1" x14ac:dyDescent="0.3">
      <c r="A394" s="88"/>
      <c r="B394" s="66" t="s">
        <v>286</v>
      </c>
      <c r="C394" s="67" t="s">
        <v>484</v>
      </c>
      <c r="D394" s="102" t="s">
        <v>808</v>
      </c>
      <c r="E394" s="32">
        <v>8</v>
      </c>
      <c r="F394" s="32" t="s">
        <v>488</v>
      </c>
      <c r="G394" s="68" t="s">
        <v>277</v>
      </c>
      <c r="H394" s="69">
        <f t="shared" si="171"/>
        <v>673</v>
      </c>
      <c r="I394" s="70">
        <f t="shared" si="172"/>
        <v>680</v>
      </c>
      <c r="J394" s="73" t="str">
        <f t="shared" si="173"/>
        <v>--</v>
      </c>
      <c r="K394" s="32"/>
      <c r="L394" s="233"/>
      <c r="M394" s="277"/>
      <c r="N394" s="277"/>
      <c r="O394" s="277"/>
      <c r="P394" s="277"/>
      <c r="Q394" s="277"/>
      <c r="R394" s="277"/>
      <c r="S394" s="277"/>
      <c r="T394" s="277"/>
      <c r="U394" s="278"/>
      <c r="V394" s="103"/>
      <c r="W394" s="72"/>
      <c r="X394" s="72"/>
      <c r="Y394" s="72"/>
      <c r="Z394" s="45">
        <f>Z393+1</f>
        <v>17</v>
      </c>
      <c r="AA394" s="77">
        <f t="shared" si="174"/>
        <v>193</v>
      </c>
      <c r="AB394" s="77">
        <f t="shared" si="175"/>
        <v>204</v>
      </c>
      <c r="AC394" s="72">
        <f t="shared" si="162"/>
        <v>1</v>
      </c>
      <c r="AD394" s="72">
        <f t="shared" si="163"/>
        <v>0</v>
      </c>
      <c r="AE394" s="109" t="str">
        <f t="shared" si="164"/>
        <v>673-680</v>
      </c>
      <c r="AF394" s="109" t="str">
        <f t="shared" si="165"/>
        <v>Y</v>
      </c>
      <c r="AG394" s="109" t="str">
        <f t="shared" si="166"/>
        <v>B</v>
      </c>
      <c r="AM394" s="109">
        <f t="shared" si="167"/>
        <v>0</v>
      </c>
      <c r="AN394" s="109">
        <f t="shared" si="168"/>
        <v>0</v>
      </c>
      <c r="AO394" s="109" t="str">
        <f t="shared" si="169"/>
        <v/>
      </c>
      <c r="AQ394" s="109" t="str">
        <f t="shared" si="170"/>
        <v/>
      </c>
      <c r="BA394" s="229">
        <f>MOD(SUM(E386:E395),12)</f>
        <v>0</v>
      </c>
    </row>
    <row r="395" spans="1:53" ht="15.75" thickBot="1" x14ac:dyDescent="0.3">
      <c r="A395" s="88"/>
      <c r="B395" s="66" t="s">
        <v>287</v>
      </c>
      <c r="C395" s="67" t="s">
        <v>502</v>
      </c>
      <c r="D395" s="102"/>
      <c r="E395" s="32">
        <v>12</v>
      </c>
      <c r="F395" s="32"/>
      <c r="G395" s="68" t="s">
        <v>277</v>
      </c>
      <c r="H395" s="69">
        <f t="shared" si="171"/>
        <v>661</v>
      </c>
      <c r="I395" s="70">
        <f t="shared" si="172"/>
        <v>672</v>
      </c>
      <c r="J395" s="73" t="str">
        <f t="shared" si="173"/>
        <v>--</v>
      </c>
      <c r="K395" s="32"/>
      <c r="L395" s="233"/>
      <c r="M395" s="277" t="s">
        <v>413</v>
      </c>
      <c r="N395" s="277"/>
      <c r="O395" s="277"/>
      <c r="P395" s="277"/>
      <c r="Q395" s="277"/>
      <c r="R395" s="277"/>
      <c r="S395" s="277"/>
      <c r="T395" s="277"/>
      <c r="U395" s="278"/>
      <c r="V395" s="103"/>
      <c r="W395" s="72"/>
      <c r="X395" s="72"/>
      <c r="Y395" s="72"/>
      <c r="Z395" s="45">
        <f>Z394+1</f>
        <v>18</v>
      </c>
      <c r="AA395" s="77">
        <f t="shared" si="174"/>
        <v>205</v>
      </c>
      <c r="AB395" s="77">
        <f t="shared" si="175"/>
        <v>216</v>
      </c>
      <c r="AC395" s="72">
        <f t="shared" si="162"/>
        <v>1</v>
      </c>
      <c r="AD395" s="72">
        <f t="shared" si="163"/>
        <v>1</v>
      </c>
      <c r="AE395" s="109" t="str">
        <f t="shared" si="164"/>
        <v>661-672</v>
      </c>
      <c r="AF395" s="109" t="str">
        <f t="shared" si="165"/>
        <v>N</v>
      </c>
      <c r="AG395" s="109" t="str">
        <f t="shared" si="166"/>
        <v>B</v>
      </c>
      <c r="AM395" s="109">
        <f t="shared" si="167"/>
        <v>0</v>
      </c>
      <c r="AN395" s="109">
        <f t="shared" si="168"/>
        <v>0</v>
      </c>
      <c r="AO395" s="109" t="str">
        <f t="shared" si="169"/>
        <v/>
      </c>
      <c r="AQ395" s="109" t="str">
        <f t="shared" si="170"/>
        <v/>
      </c>
      <c r="BA395" s="229">
        <f>MOD(SUM(E386:E396),12)</f>
        <v>0</v>
      </c>
    </row>
    <row r="396" spans="1:53" ht="15.75" thickBot="1" x14ac:dyDescent="0.3">
      <c r="A396" s="88"/>
      <c r="B396" s="66" t="s">
        <v>288</v>
      </c>
      <c r="C396" s="67" t="s">
        <v>502</v>
      </c>
      <c r="D396" s="102"/>
      <c r="E396" s="32">
        <v>60</v>
      </c>
      <c r="F396" s="32"/>
      <c r="G396" s="68" t="s">
        <v>277</v>
      </c>
      <c r="H396" s="69">
        <f t="shared" si="171"/>
        <v>601</v>
      </c>
      <c r="I396" s="70">
        <f t="shared" si="172"/>
        <v>660</v>
      </c>
      <c r="J396" s="73" t="str">
        <f t="shared" si="173"/>
        <v>--</v>
      </c>
      <c r="K396" s="32"/>
      <c r="L396" s="233"/>
      <c r="M396" s="277" t="s">
        <v>414</v>
      </c>
      <c r="N396" s="277"/>
      <c r="O396" s="277"/>
      <c r="P396" s="277"/>
      <c r="Q396" s="277"/>
      <c r="R396" s="277"/>
      <c r="S396" s="277"/>
      <c r="T396" s="277"/>
      <c r="U396" s="278"/>
      <c r="V396" s="103"/>
      <c r="W396" s="84"/>
      <c r="X396" s="84"/>
      <c r="Y396" s="72"/>
      <c r="Z396" s="72"/>
      <c r="AA396" s="72"/>
      <c r="AB396" s="72"/>
      <c r="AC396" s="72">
        <f t="shared" si="162"/>
        <v>1</v>
      </c>
      <c r="AD396" s="72">
        <f t="shared" si="163"/>
        <v>1</v>
      </c>
      <c r="AE396" s="109" t="str">
        <f t="shared" si="164"/>
        <v>601-660</v>
      </c>
      <c r="AF396" s="109" t="str">
        <f t="shared" si="165"/>
        <v>N</v>
      </c>
      <c r="AG396" s="109" t="str">
        <f t="shared" si="166"/>
        <v>B</v>
      </c>
      <c r="AM396" s="109">
        <f t="shared" si="167"/>
        <v>0</v>
      </c>
      <c r="AN396" s="109">
        <f t="shared" si="168"/>
        <v>0</v>
      </c>
      <c r="AO396" s="109" t="str">
        <f t="shared" si="169"/>
        <v/>
      </c>
      <c r="AQ396" s="109" t="str">
        <f t="shared" si="170"/>
        <v/>
      </c>
      <c r="BA396" s="229">
        <f>MOD(SUM(E386:E397),12)</f>
        <v>0</v>
      </c>
    </row>
    <row r="397" spans="1:53" ht="15.75" thickBot="1" x14ac:dyDescent="0.3">
      <c r="A397" s="88"/>
      <c r="B397" s="66" t="s">
        <v>289</v>
      </c>
      <c r="C397" s="67"/>
      <c r="D397" s="102"/>
      <c r="E397" s="32"/>
      <c r="F397" s="32"/>
      <c r="G397" s="68" t="s">
        <v>277</v>
      </c>
      <c r="H397" s="69">
        <f t="shared" si="171"/>
        <v>0</v>
      </c>
      <c r="I397" s="70">
        <f t="shared" si="172"/>
        <v>0</v>
      </c>
      <c r="J397" s="73" t="str">
        <f t="shared" si="173"/>
        <v>--</v>
      </c>
      <c r="K397" s="32"/>
      <c r="L397" s="233"/>
      <c r="M397" s="277"/>
      <c r="N397" s="277"/>
      <c r="O397" s="277"/>
      <c r="P397" s="277"/>
      <c r="Q397" s="277"/>
      <c r="R397" s="277"/>
      <c r="S397" s="277"/>
      <c r="T397" s="277"/>
      <c r="U397" s="278"/>
      <c r="V397" s="103"/>
      <c r="W397" s="84">
        <f>Y397+1</f>
        <v>121</v>
      </c>
      <c r="X397" s="84"/>
      <c r="Y397" s="78">
        <f>SUM(E386:E397)</f>
        <v>120</v>
      </c>
      <c r="Z397" s="72"/>
      <c r="AA397" s="72"/>
      <c r="AB397" s="72"/>
      <c r="AC397" s="72">
        <f t="shared" si="162"/>
        <v>1</v>
      </c>
      <c r="AD397" s="72">
        <f t="shared" si="163"/>
        <v>1</v>
      </c>
      <c r="AE397" s="109" t="str">
        <f t="shared" si="164"/>
        <v>0-0</v>
      </c>
      <c r="AF397" s="109" t="str">
        <f t="shared" si="165"/>
        <v>Y</v>
      </c>
      <c r="AG397" s="109" t="str">
        <f t="shared" si="166"/>
        <v>B</v>
      </c>
      <c r="AM397" s="109">
        <f t="shared" si="167"/>
        <v>0</v>
      </c>
      <c r="AN397" s="109">
        <f t="shared" si="168"/>
        <v>0</v>
      </c>
      <c r="AO397" s="109" t="str">
        <f t="shared" si="169"/>
        <v/>
      </c>
      <c r="AQ397" s="109" t="str">
        <f t="shared" si="170"/>
        <v/>
      </c>
      <c r="BA397" s="229">
        <f>MOD(SUM(E386:E398),12)</f>
        <v>0</v>
      </c>
    </row>
    <row r="398" spans="1:53" ht="15.75" thickBot="1" x14ac:dyDescent="0.3">
      <c r="A398" s="88"/>
      <c r="B398" s="66" t="s">
        <v>290</v>
      </c>
      <c r="C398" s="67"/>
      <c r="D398" s="102"/>
      <c r="E398" s="32"/>
      <c r="F398" s="32"/>
      <c r="G398" s="68" t="s">
        <v>277</v>
      </c>
      <c r="H398" s="69">
        <f t="shared" si="171"/>
        <v>0</v>
      </c>
      <c r="I398" s="70">
        <f t="shared" si="172"/>
        <v>0</v>
      </c>
      <c r="J398" s="73" t="str">
        <f t="shared" si="173"/>
        <v>--</v>
      </c>
      <c r="K398" s="32"/>
      <c r="L398" s="233"/>
      <c r="M398" s="277"/>
      <c r="N398" s="277"/>
      <c r="O398" s="277"/>
      <c r="P398" s="277"/>
      <c r="Q398" s="277"/>
      <c r="R398" s="277"/>
      <c r="S398" s="277"/>
      <c r="T398" s="277"/>
      <c r="U398" s="278"/>
      <c r="V398" s="103"/>
      <c r="W398" s="84">
        <f>Y398+1</f>
        <v>121</v>
      </c>
      <c r="X398" s="84"/>
      <c r="Y398" s="78">
        <f>SUM(E386:E398)</f>
        <v>120</v>
      </c>
      <c r="Z398" s="72" t="str">
        <f t="shared" ref="Z398:Z410" si="176">IF(OR(AND(E$8=216,C397="DBL REV",C398="DBL REV",Y397&lt;=144,Y398&gt;144),AND(E$8=216,C397="TPL REV",C398="TPL REV",Y397&lt;=144,Y398&gt;144),AND(E$8=216,C397="QD REV",C398="QD REV",Y397&lt;=144,Y398&gt;144)),"ERROR","")</f>
        <v/>
      </c>
      <c r="AA398" s="72"/>
      <c r="AB398" s="72"/>
      <c r="AC398" s="72">
        <f t="shared" si="162"/>
        <v>1</v>
      </c>
      <c r="AD398" s="72">
        <f t="shared" si="163"/>
        <v>1</v>
      </c>
      <c r="AE398" s="109" t="str">
        <f t="shared" si="164"/>
        <v>0-0</v>
      </c>
      <c r="AF398" s="109" t="str">
        <f t="shared" si="165"/>
        <v>Y</v>
      </c>
      <c r="AG398" s="109" t="str">
        <f t="shared" si="166"/>
        <v>B</v>
      </c>
      <c r="AM398" s="109">
        <f t="shared" si="167"/>
        <v>0</v>
      </c>
      <c r="AN398" s="109">
        <f t="shared" si="168"/>
        <v>0</v>
      </c>
      <c r="AO398" s="109" t="str">
        <f t="shared" si="169"/>
        <v/>
      </c>
      <c r="AQ398" s="109" t="str">
        <f t="shared" si="170"/>
        <v/>
      </c>
      <c r="BA398" s="229">
        <f>MOD(SUM(E386:E399),12)</f>
        <v>0</v>
      </c>
    </row>
    <row r="399" spans="1:53" ht="15.75" thickBot="1" x14ac:dyDescent="0.3">
      <c r="A399" s="88"/>
      <c r="B399" s="66" t="s">
        <v>291</v>
      </c>
      <c r="C399" s="67"/>
      <c r="D399" s="102"/>
      <c r="E399" s="32"/>
      <c r="F399" s="32"/>
      <c r="G399" s="68" t="s">
        <v>277</v>
      </c>
      <c r="H399" s="69">
        <f t="shared" si="171"/>
        <v>0</v>
      </c>
      <c r="I399" s="70">
        <f t="shared" si="172"/>
        <v>0</v>
      </c>
      <c r="J399" s="73" t="str">
        <f t="shared" si="173"/>
        <v>--</v>
      </c>
      <c r="K399" s="32"/>
      <c r="L399" s="233"/>
      <c r="M399" s="277"/>
      <c r="N399" s="277"/>
      <c r="O399" s="277"/>
      <c r="P399" s="277"/>
      <c r="Q399" s="277"/>
      <c r="R399" s="277"/>
      <c r="S399" s="277"/>
      <c r="T399" s="277"/>
      <c r="U399" s="278"/>
      <c r="V399" s="103"/>
      <c r="W399" s="84">
        <f>Y399+1</f>
        <v>121</v>
      </c>
      <c r="X399" s="84"/>
      <c r="Y399" s="78">
        <f>SUM(E386:E399)</f>
        <v>120</v>
      </c>
      <c r="Z399" s="72" t="str">
        <f t="shared" si="176"/>
        <v/>
      </c>
      <c r="AA399" s="72"/>
      <c r="AB399" s="72"/>
      <c r="AC399" s="72">
        <f t="shared" si="162"/>
        <v>1</v>
      </c>
      <c r="AD399" s="72">
        <f t="shared" si="163"/>
        <v>1</v>
      </c>
      <c r="AE399" s="109" t="str">
        <f t="shared" si="164"/>
        <v>0-0</v>
      </c>
      <c r="AF399" s="109" t="str">
        <f t="shared" si="165"/>
        <v>Y</v>
      </c>
      <c r="AG399" s="109" t="str">
        <f t="shared" si="166"/>
        <v>B</v>
      </c>
      <c r="AM399" s="109">
        <f t="shared" si="167"/>
        <v>0</v>
      </c>
      <c r="AN399" s="109">
        <f t="shared" si="168"/>
        <v>0</v>
      </c>
      <c r="AO399" s="109" t="str">
        <f t="shared" si="169"/>
        <v/>
      </c>
      <c r="AQ399" s="109" t="str">
        <f t="shared" si="170"/>
        <v/>
      </c>
      <c r="BA399" s="229">
        <f>MOD(SUM(E386:E400),12)</f>
        <v>0</v>
      </c>
    </row>
    <row r="400" spans="1:53" ht="15.75" thickBot="1" x14ac:dyDescent="0.3">
      <c r="A400" s="88"/>
      <c r="B400" s="66" t="s">
        <v>292</v>
      </c>
      <c r="C400" s="67"/>
      <c r="D400" s="102"/>
      <c r="E400" s="32"/>
      <c r="F400" s="32"/>
      <c r="G400" s="68" t="s">
        <v>277</v>
      </c>
      <c r="H400" s="69">
        <f t="shared" si="171"/>
        <v>0</v>
      </c>
      <c r="I400" s="70">
        <f t="shared" si="172"/>
        <v>0</v>
      </c>
      <c r="J400" s="73" t="str">
        <f t="shared" si="173"/>
        <v>--</v>
      </c>
      <c r="K400" s="32"/>
      <c r="L400" s="233"/>
      <c r="M400" s="277"/>
      <c r="N400" s="277"/>
      <c r="O400" s="277"/>
      <c r="P400" s="277"/>
      <c r="Q400" s="277"/>
      <c r="R400" s="277"/>
      <c r="S400" s="277"/>
      <c r="T400" s="277"/>
      <c r="U400" s="278"/>
      <c r="V400" s="103"/>
      <c r="W400" s="84">
        <f>Y400+1</f>
        <v>121</v>
      </c>
      <c r="X400" s="84"/>
      <c r="Y400" s="78">
        <f>SUM(E386:E400)</f>
        <v>120</v>
      </c>
      <c r="Z400" s="72" t="str">
        <f t="shared" si="176"/>
        <v/>
      </c>
      <c r="AA400" s="72" t="str">
        <f t="shared" ref="AA400:AA412" si="177">IF(AND(C398&lt;&gt;"Field SPL",W397&lt;=144,Y398&gt;144),"ERROR","")</f>
        <v/>
      </c>
      <c r="AB400" s="72"/>
      <c r="AC400" s="72">
        <f t="shared" si="162"/>
        <v>1</v>
      </c>
      <c r="AD400" s="72">
        <f t="shared" si="163"/>
        <v>1</v>
      </c>
      <c r="AE400" s="109" t="str">
        <f t="shared" si="164"/>
        <v>0-0</v>
      </c>
      <c r="AF400" s="109" t="str">
        <f t="shared" si="165"/>
        <v>Y</v>
      </c>
      <c r="AG400" s="109" t="str">
        <f t="shared" si="166"/>
        <v>B</v>
      </c>
      <c r="AM400" s="109">
        <f t="shared" si="167"/>
        <v>0</v>
      </c>
      <c r="AN400" s="109">
        <f t="shared" si="168"/>
        <v>0</v>
      </c>
      <c r="AO400" s="109" t="str">
        <f t="shared" si="169"/>
        <v/>
      </c>
      <c r="AQ400" s="109" t="str">
        <f t="shared" si="170"/>
        <v/>
      </c>
      <c r="BA400" s="229">
        <f>MOD(SUM(E386:E401),12)</f>
        <v>0</v>
      </c>
    </row>
    <row r="401" spans="1:53" ht="15.75" thickBot="1" x14ac:dyDescent="0.3">
      <c r="A401" s="88"/>
      <c r="B401" s="66" t="s">
        <v>293</v>
      </c>
      <c r="C401" s="67"/>
      <c r="D401" s="102"/>
      <c r="E401" s="32"/>
      <c r="F401" s="32"/>
      <c r="G401" s="68" t="s">
        <v>277</v>
      </c>
      <c r="H401" s="69">
        <f t="shared" si="171"/>
        <v>0</v>
      </c>
      <c r="I401" s="70">
        <f t="shared" si="172"/>
        <v>0</v>
      </c>
      <c r="J401" s="73" t="str">
        <f t="shared" si="173"/>
        <v>--</v>
      </c>
      <c r="K401" s="32"/>
      <c r="L401" s="233"/>
      <c r="M401" s="277"/>
      <c r="N401" s="277"/>
      <c r="O401" s="277"/>
      <c r="P401" s="277"/>
      <c r="Q401" s="277"/>
      <c r="R401" s="277"/>
      <c r="S401" s="277"/>
      <c r="T401" s="277"/>
      <c r="U401" s="278"/>
      <c r="V401" s="103"/>
      <c r="W401" s="84">
        <f t="shared" ref="W401:W409" si="178">Y401+1</f>
        <v>121</v>
      </c>
      <c r="X401" s="84"/>
      <c r="Y401" s="78">
        <f>SUM(E386:E401)</f>
        <v>120</v>
      </c>
      <c r="Z401" s="72" t="str">
        <f t="shared" si="176"/>
        <v/>
      </c>
      <c r="AA401" s="72" t="str">
        <f t="shared" si="177"/>
        <v/>
      </c>
      <c r="AB401" s="72"/>
      <c r="AC401" s="72">
        <f t="shared" si="162"/>
        <v>1</v>
      </c>
      <c r="AD401" s="72">
        <f t="shared" si="163"/>
        <v>1</v>
      </c>
      <c r="AE401" s="109" t="str">
        <f t="shared" si="164"/>
        <v>0-0</v>
      </c>
      <c r="AF401" s="109" t="str">
        <f t="shared" si="165"/>
        <v>Y</v>
      </c>
      <c r="AG401" s="109" t="str">
        <f t="shared" si="166"/>
        <v>B</v>
      </c>
      <c r="AM401" s="109">
        <f t="shared" si="167"/>
        <v>0</v>
      </c>
      <c r="AN401" s="109">
        <f t="shared" si="168"/>
        <v>0</v>
      </c>
      <c r="AO401" s="109" t="str">
        <f t="shared" si="169"/>
        <v/>
      </c>
      <c r="AQ401" s="109" t="str">
        <f t="shared" si="170"/>
        <v/>
      </c>
      <c r="BA401" s="229">
        <f>MOD(SUM(E386:E402),12)</f>
        <v>0</v>
      </c>
    </row>
    <row r="402" spans="1:53" ht="15.75" thickBot="1" x14ac:dyDescent="0.3">
      <c r="A402" s="88"/>
      <c r="B402" s="66" t="s">
        <v>294</v>
      </c>
      <c r="C402" s="67"/>
      <c r="D402" s="102"/>
      <c r="E402" s="32"/>
      <c r="F402" s="32"/>
      <c r="G402" s="68" t="s">
        <v>277</v>
      </c>
      <c r="H402" s="69">
        <f t="shared" si="171"/>
        <v>0</v>
      </c>
      <c r="I402" s="70">
        <f t="shared" si="172"/>
        <v>0</v>
      </c>
      <c r="J402" s="73" t="str">
        <f t="shared" si="173"/>
        <v>--</v>
      </c>
      <c r="K402" s="32"/>
      <c r="L402" s="233"/>
      <c r="M402" s="277"/>
      <c r="N402" s="277"/>
      <c r="O402" s="277"/>
      <c r="P402" s="277"/>
      <c r="Q402" s="277"/>
      <c r="R402" s="277"/>
      <c r="S402" s="277"/>
      <c r="T402" s="277"/>
      <c r="U402" s="278"/>
      <c r="V402" s="103"/>
      <c r="W402" s="84">
        <f t="shared" si="178"/>
        <v>121</v>
      </c>
      <c r="X402" s="84"/>
      <c r="Y402" s="78">
        <f>SUM(E386:E402)</f>
        <v>120</v>
      </c>
      <c r="Z402" s="72" t="str">
        <f t="shared" si="176"/>
        <v/>
      </c>
      <c r="AA402" s="72" t="str">
        <f t="shared" si="177"/>
        <v/>
      </c>
      <c r="AB402" s="72"/>
      <c r="AC402" s="72">
        <f t="shared" si="162"/>
        <v>1</v>
      </c>
      <c r="AD402" s="72">
        <f t="shared" si="163"/>
        <v>1</v>
      </c>
      <c r="AE402" s="109" t="str">
        <f t="shared" si="164"/>
        <v>0-0</v>
      </c>
      <c r="AF402" s="109" t="str">
        <f t="shared" si="165"/>
        <v>Y</v>
      </c>
      <c r="AG402" s="109" t="str">
        <f t="shared" si="166"/>
        <v>B</v>
      </c>
      <c r="AM402" s="109">
        <f t="shared" si="167"/>
        <v>0</v>
      </c>
      <c r="AN402" s="109">
        <f t="shared" si="168"/>
        <v>0</v>
      </c>
      <c r="AO402" s="109" t="str">
        <f t="shared" si="169"/>
        <v/>
      </c>
      <c r="AQ402" s="109" t="str">
        <f t="shared" si="170"/>
        <v/>
      </c>
      <c r="BA402" s="229">
        <f>MOD(SUM(E386:E403),12)</f>
        <v>0</v>
      </c>
    </row>
    <row r="403" spans="1:53" ht="15.75" thickBot="1" x14ac:dyDescent="0.3">
      <c r="A403" s="88"/>
      <c r="B403" s="66" t="s">
        <v>295</v>
      </c>
      <c r="C403" s="67"/>
      <c r="D403" s="102"/>
      <c r="E403" s="32"/>
      <c r="F403" s="32"/>
      <c r="G403" s="68" t="s">
        <v>277</v>
      </c>
      <c r="H403" s="69">
        <f t="shared" si="171"/>
        <v>0</v>
      </c>
      <c r="I403" s="70">
        <f t="shared" si="172"/>
        <v>0</v>
      </c>
      <c r="J403" s="73" t="str">
        <f t="shared" si="173"/>
        <v>--</v>
      </c>
      <c r="K403" s="32"/>
      <c r="L403" s="233"/>
      <c r="M403" s="277"/>
      <c r="N403" s="277"/>
      <c r="O403" s="277"/>
      <c r="P403" s="277"/>
      <c r="Q403" s="277"/>
      <c r="R403" s="277"/>
      <c r="S403" s="277"/>
      <c r="T403" s="277"/>
      <c r="U403" s="278"/>
      <c r="V403" s="103"/>
      <c r="W403" s="84">
        <f t="shared" si="178"/>
        <v>121</v>
      </c>
      <c r="X403" s="84"/>
      <c r="Y403" s="78">
        <f>SUM(E386:E403)</f>
        <v>120</v>
      </c>
      <c r="Z403" s="72" t="str">
        <f t="shared" si="176"/>
        <v/>
      </c>
      <c r="AA403" s="72" t="str">
        <f t="shared" si="177"/>
        <v/>
      </c>
      <c r="AB403" s="72"/>
      <c r="AC403" s="72">
        <f t="shared" si="162"/>
        <v>1</v>
      </c>
      <c r="AD403" s="72">
        <f t="shared" si="163"/>
        <v>1</v>
      </c>
      <c r="AE403" s="109" t="str">
        <f t="shared" si="164"/>
        <v>0-0</v>
      </c>
      <c r="AF403" s="109" t="str">
        <f t="shared" si="165"/>
        <v>Y</v>
      </c>
      <c r="AG403" s="109" t="str">
        <f t="shared" si="166"/>
        <v>B</v>
      </c>
      <c r="AM403" s="109">
        <f t="shared" si="167"/>
        <v>0</v>
      </c>
      <c r="AN403" s="109">
        <f t="shared" si="168"/>
        <v>0</v>
      </c>
      <c r="AO403" s="109" t="str">
        <f t="shared" si="169"/>
        <v/>
      </c>
      <c r="AQ403" s="109" t="str">
        <f t="shared" si="170"/>
        <v/>
      </c>
      <c r="BA403" s="229">
        <f>MOD(SUM(E386:E404),12)</f>
        <v>0</v>
      </c>
    </row>
    <row r="404" spans="1:53" ht="15.75" thickBot="1" x14ac:dyDescent="0.3">
      <c r="A404" s="88"/>
      <c r="B404" s="66" t="s">
        <v>296</v>
      </c>
      <c r="C404" s="67"/>
      <c r="D404" s="102"/>
      <c r="E404" s="32"/>
      <c r="F404" s="32"/>
      <c r="G404" s="68" t="s">
        <v>277</v>
      </c>
      <c r="H404" s="69">
        <f t="shared" si="171"/>
        <v>0</v>
      </c>
      <c r="I404" s="70">
        <f t="shared" si="172"/>
        <v>0</v>
      </c>
      <c r="J404" s="73" t="str">
        <f t="shared" si="173"/>
        <v>--</v>
      </c>
      <c r="K404" s="32"/>
      <c r="L404" s="233"/>
      <c r="M404" s="277"/>
      <c r="N404" s="277"/>
      <c r="O404" s="277"/>
      <c r="P404" s="277"/>
      <c r="Q404" s="277"/>
      <c r="R404" s="277"/>
      <c r="S404" s="277"/>
      <c r="T404" s="277"/>
      <c r="U404" s="278"/>
      <c r="V404" s="103"/>
      <c r="W404" s="84">
        <f t="shared" si="178"/>
        <v>121</v>
      </c>
      <c r="X404" s="84"/>
      <c r="Y404" s="78">
        <f>SUM(E386:E404)</f>
        <v>120</v>
      </c>
      <c r="Z404" s="72" t="str">
        <f t="shared" si="176"/>
        <v/>
      </c>
      <c r="AA404" s="72" t="str">
        <f t="shared" si="177"/>
        <v/>
      </c>
      <c r="AB404" s="72"/>
      <c r="AC404" s="72">
        <f t="shared" si="162"/>
        <v>1</v>
      </c>
      <c r="AD404" s="72">
        <f t="shared" si="163"/>
        <v>1</v>
      </c>
      <c r="AE404" s="109" t="str">
        <f t="shared" si="164"/>
        <v>0-0</v>
      </c>
      <c r="AF404" s="109" t="str">
        <f t="shared" si="165"/>
        <v>Y</v>
      </c>
      <c r="AG404" s="109" t="str">
        <f t="shared" si="166"/>
        <v>B</v>
      </c>
      <c r="AM404" s="109">
        <f t="shared" si="167"/>
        <v>0</v>
      </c>
      <c r="AN404" s="109">
        <f t="shared" si="168"/>
        <v>0</v>
      </c>
      <c r="AO404" s="109" t="str">
        <f t="shared" si="169"/>
        <v/>
      </c>
      <c r="AQ404" s="109" t="str">
        <f t="shared" si="170"/>
        <v/>
      </c>
      <c r="BA404" s="229">
        <f>MOD(SUM(E386:E405),12)</f>
        <v>0</v>
      </c>
    </row>
    <row r="405" spans="1:53" ht="15.75" thickBot="1" x14ac:dyDescent="0.3">
      <c r="A405" s="88"/>
      <c r="B405" s="66" t="s">
        <v>297</v>
      </c>
      <c r="C405" s="67"/>
      <c r="D405" s="102"/>
      <c r="E405" s="32"/>
      <c r="F405" s="32"/>
      <c r="G405" s="68" t="s">
        <v>277</v>
      </c>
      <c r="H405" s="69">
        <f t="shared" si="171"/>
        <v>0</v>
      </c>
      <c r="I405" s="70">
        <f t="shared" si="172"/>
        <v>0</v>
      </c>
      <c r="J405" s="73" t="str">
        <f t="shared" si="173"/>
        <v>--</v>
      </c>
      <c r="K405" s="32"/>
      <c r="L405" s="233"/>
      <c r="M405" s="277"/>
      <c r="N405" s="277"/>
      <c r="O405" s="277"/>
      <c r="P405" s="277"/>
      <c r="Q405" s="277"/>
      <c r="R405" s="277"/>
      <c r="S405" s="277"/>
      <c r="T405" s="277"/>
      <c r="U405" s="278"/>
      <c r="V405" s="103"/>
      <c r="W405" s="84">
        <f t="shared" si="178"/>
        <v>121</v>
      </c>
      <c r="X405" s="84"/>
      <c r="Y405" s="78">
        <f>SUM(E386:E405)</f>
        <v>120</v>
      </c>
      <c r="Z405" s="72" t="str">
        <f t="shared" si="176"/>
        <v/>
      </c>
      <c r="AA405" s="72" t="str">
        <f t="shared" si="177"/>
        <v/>
      </c>
      <c r="AB405" s="72"/>
      <c r="AC405" s="72">
        <f t="shared" si="162"/>
        <v>1</v>
      </c>
      <c r="AD405" s="72">
        <f t="shared" si="163"/>
        <v>1</v>
      </c>
      <c r="AE405" s="109" t="str">
        <f t="shared" si="164"/>
        <v>0-0</v>
      </c>
      <c r="AF405" s="109" t="str">
        <f t="shared" si="165"/>
        <v>Y</v>
      </c>
      <c r="AG405" s="109" t="str">
        <f t="shared" si="166"/>
        <v>B</v>
      </c>
      <c r="AM405" s="109">
        <f t="shared" si="167"/>
        <v>0</v>
      </c>
      <c r="AN405" s="109">
        <f t="shared" si="168"/>
        <v>0</v>
      </c>
      <c r="AO405" s="109" t="str">
        <f t="shared" si="169"/>
        <v/>
      </c>
      <c r="AQ405" s="109" t="str">
        <f t="shared" si="170"/>
        <v/>
      </c>
      <c r="BA405" s="229">
        <f>MOD(SUM(E386:E406),12)</f>
        <v>0</v>
      </c>
    </row>
    <row r="406" spans="1:53" ht="15.75" thickBot="1" x14ac:dyDescent="0.3">
      <c r="A406" s="88"/>
      <c r="B406" s="66" t="s">
        <v>298</v>
      </c>
      <c r="C406" s="67"/>
      <c r="D406" s="102"/>
      <c r="E406" s="32"/>
      <c r="F406" s="32"/>
      <c r="G406" s="68" t="s">
        <v>277</v>
      </c>
      <c r="H406" s="69">
        <f t="shared" si="171"/>
        <v>0</v>
      </c>
      <c r="I406" s="70">
        <f t="shared" si="172"/>
        <v>0</v>
      </c>
      <c r="J406" s="73" t="str">
        <f t="shared" si="173"/>
        <v>--</v>
      </c>
      <c r="K406" s="32"/>
      <c r="L406" s="233"/>
      <c r="M406" s="277"/>
      <c r="N406" s="277"/>
      <c r="O406" s="277"/>
      <c r="P406" s="277"/>
      <c r="Q406" s="277"/>
      <c r="R406" s="277"/>
      <c r="S406" s="277"/>
      <c r="T406" s="277"/>
      <c r="U406" s="278"/>
      <c r="V406" s="103"/>
      <c r="W406" s="84">
        <f t="shared" si="178"/>
        <v>121</v>
      </c>
      <c r="X406" s="84"/>
      <c r="Y406" s="78">
        <f>SUM(E386:E406)</f>
        <v>120</v>
      </c>
      <c r="Z406" s="72" t="str">
        <f t="shared" si="176"/>
        <v/>
      </c>
      <c r="AA406" s="72" t="str">
        <f t="shared" si="177"/>
        <v/>
      </c>
      <c r="AB406" s="72"/>
      <c r="AC406" s="72">
        <f t="shared" si="162"/>
        <v>1</v>
      </c>
      <c r="AD406" s="72">
        <f t="shared" si="163"/>
        <v>1</v>
      </c>
      <c r="AE406" s="109" t="str">
        <f t="shared" si="164"/>
        <v>0-0</v>
      </c>
      <c r="AF406" s="109" t="str">
        <f t="shared" si="165"/>
        <v>Y</v>
      </c>
      <c r="AG406" s="109" t="str">
        <f t="shared" si="166"/>
        <v>B</v>
      </c>
      <c r="AM406" s="109">
        <f t="shared" si="167"/>
        <v>0</v>
      </c>
      <c r="AN406" s="109">
        <f t="shared" si="168"/>
        <v>0</v>
      </c>
      <c r="AO406" s="109" t="str">
        <f t="shared" si="169"/>
        <v/>
      </c>
      <c r="AQ406" s="109" t="str">
        <f t="shared" si="170"/>
        <v/>
      </c>
      <c r="BA406" s="229">
        <f>MOD(SUM(E386:E407),12)</f>
        <v>0</v>
      </c>
    </row>
    <row r="407" spans="1:53" ht="15.75" thickBot="1" x14ac:dyDescent="0.3">
      <c r="A407" s="88"/>
      <c r="B407" s="66" t="s">
        <v>299</v>
      </c>
      <c r="C407" s="67"/>
      <c r="D407" s="102"/>
      <c r="E407" s="32"/>
      <c r="F407" s="32"/>
      <c r="G407" s="68" t="s">
        <v>277</v>
      </c>
      <c r="H407" s="69">
        <f t="shared" si="171"/>
        <v>0</v>
      </c>
      <c r="I407" s="70">
        <f t="shared" si="172"/>
        <v>0</v>
      </c>
      <c r="J407" s="73" t="str">
        <f t="shared" si="173"/>
        <v>--</v>
      </c>
      <c r="K407" s="32"/>
      <c r="L407" s="233"/>
      <c r="M407" s="277"/>
      <c r="N407" s="277"/>
      <c r="O407" s="277"/>
      <c r="P407" s="277"/>
      <c r="Q407" s="277"/>
      <c r="R407" s="277"/>
      <c r="S407" s="277"/>
      <c r="T407" s="277"/>
      <c r="U407" s="278"/>
      <c r="V407" s="103"/>
      <c r="W407" s="84">
        <f t="shared" si="178"/>
        <v>121</v>
      </c>
      <c r="X407" s="84"/>
      <c r="Y407" s="78">
        <f>SUM(E386:E407)</f>
        <v>120</v>
      </c>
      <c r="Z407" s="72" t="str">
        <f t="shared" si="176"/>
        <v/>
      </c>
      <c r="AA407" s="72" t="str">
        <f t="shared" si="177"/>
        <v/>
      </c>
      <c r="AB407" s="72"/>
      <c r="AC407" s="72">
        <f t="shared" si="162"/>
        <v>1</v>
      </c>
      <c r="AD407" s="72">
        <f t="shared" si="163"/>
        <v>1</v>
      </c>
      <c r="AE407" s="109" t="str">
        <f t="shared" si="164"/>
        <v>0-0</v>
      </c>
      <c r="AF407" s="109" t="str">
        <f t="shared" si="165"/>
        <v>Y</v>
      </c>
      <c r="AG407" s="109" t="str">
        <f t="shared" si="166"/>
        <v>B</v>
      </c>
      <c r="AM407" s="109">
        <f t="shared" si="167"/>
        <v>0</v>
      </c>
      <c r="AN407" s="109">
        <f t="shared" si="168"/>
        <v>0</v>
      </c>
      <c r="AO407" s="109" t="str">
        <f t="shared" si="169"/>
        <v/>
      </c>
      <c r="AQ407" s="109" t="str">
        <f t="shared" si="170"/>
        <v/>
      </c>
      <c r="BA407" s="229">
        <f>MOD(SUM(E386:E408),12)</f>
        <v>0</v>
      </c>
    </row>
    <row r="408" spans="1:53" ht="15.75" thickBot="1" x14ac:dyDescent="0.3">
      <c r="A408" s="88"/>
      <c r="B408" s="66" t="s">
        <v>300</v>
      </c>
      <c r="C408" s="67"/>
      <c r="D408" s="102"/>
      <c r="E408" s="32"/>
      <c r="F408" s="32"/>
      <c r="G408" s="68" t="s">
        <v>277</v>
      </c>
      <c r="H408" s="69">
        <f t="shared" si="171"/>
        <v>0</v>
      </c>
      <c r="I408" s="70">
        <f t="shared" si="172"/>
        <v>0</v>
      </c>
      <c r="J408" s="73" t="str">
        <f t="shared" si="173"/>
        <v>--</v>
      </c>
      <c r="K408" s="32"/>
      <c r="L408" s="233"/>
      <c r="M408" s="277"/>
      <c r="N408" s="277"/>
      <c r="O408" s="277"/>
      <c r="P408" s="277"/>
      <c r="Q408" s="277"/>
      <c r="R408" s="277"/>
      <c r="S408" s="277"/>
      <c r="T408" s="277"/>
      <c r="U408" s="278"/>
      <c r="V408" s="103"/>
      <c r="W408" s="84">
        <f t="shared" si="178"/>
        <v>121</v>
      </c>
      <c r="X408" s="84"/>
      <c r="Y408" s="78">
        <f>SUM(E386:E408)</f>
        <v>120</v>
      </c>
      <c r="Z408" s="72" t="str">
        <f t="shared" si="176"/>
        <v/>
      </c>
      <c r="AA408" s="72" t="str">
        <f t="shared" si="177"/>
        <v/>
      </c>
      <c r="AB408" s="72"/>
      <c r="AC408" s="72">
        <f t="shared" si="162"/>
        <v>1</v>
      </c>
      <c r="AD408" s="72">
        <f t="shared" si="163"/>
        <v>1</v>
      </c>
      <c r="AE408" s="109" t="str">
        <f t="shared" si="164"/>
        <v>0-0</v>
      </c>
      <c r="AF408" s="109" t="str">
        <f t="shared" si="165"/>
        <v>Y</v>
      </c>
      <c r="AG408" s="109" t="str">
        <f t="shared" si="166"/>
        <v>B</v>
      </c>
      <c r="AM408" s="109">
        <f t="shared" si="167"/>
        <v>0</v>
      </c>
      <c r="AN408" s="109">
        <f t="shared" si="168"/>
        <v>0</v>
      </c>
      <c r="AO408" s="109" t="str">
        <f t="shared" si="169"/>
        <v/>
      </c>
      <c r="AQ408" s="109" t="str">
        <f t="shared" si="170"/>
        <v/>
      </c>
      <c r="BA408" s="229">
        <f>MOD(SUM(E386:E409),12)</f>
        <v>0</v>
      </c>
    </row>
    <row r="409" spans="1:53" ht="15.75" thickBot="1" x14ac:dyDescent="0.3">
      <c r="A409" s="88"/>
      <c r="B409" s="66" t="s">
        <v>301</v>
      </c>
      <c r="C409" s="67"/>
      <c r="D409" s="102"/>
      <c r="E409" s="32"/>
      <c r="F409" s="32"/>
      <c r="G409" s="68" t="s">
        <v>277</v>
      </c>
      <c r="H409" s="69">
        <f t="shared" si="171"/>
        <v>0</v>
      </c>
      <c r="I409" s="70">
        <f t="shared" si="172"/>
        <v>0</v>
      </c>
      <c r="J409" s="73" t="str">
        <f t="shared" si="173"/>
        <v>--</v>
      </c>
      <c r="K409" s="32"/>
      <c r="L409" s="233"/>
      <c r="M409" s="277"/>
      <c r="N409" s="277"/>
      <c r="O409" s="277"/>
      <c r="P409" s="277"/>
      <c r="Q409" s="277"/>
      <c r="R409" s="277"/>
      <c r="S409" s="277"/>
      <c r="T409" s="277"/>
      <c r="U409" s="278"/>
      <c r="V409" s="103"/>
      <c r="W409" s="84">
        <f t="shared" si="178"/>
        <v>121</v>
      </c>
      <c r="X409" s="84"/>
      <c r="Y409" s="78">
        <f>SUM(E386:E409)</f>
        <v>120</v>
      </c>
      <c r="Z409" s="72" t="str">
        <f t="shared" si="176"/>
        <v/>
      </c>
      <c r="AA409" s="72" t="str">
        <f t="shared" si="177"/>
        <v/>
      </c>
      <c r="AB409" s="72"/>
      <c r="AC409" s="72">
        <f t="shared" si="162"/>
        <v>1</v>
      </c>
      <c r="AD409" s="72">
        <f t="shared" si="163"/>
        <v>1</v>
      </c>
      <c r="AE409" s="109" t="str">
        <f t="shared" si="164"/>
        <v>0-0</v>
      </c>
      <c r="AF409" s="109" t="str">
        <f t="shared" si="165"/>
        <v>Y</v>
      </c>
      <c r="AG409" s="109" t="str">
        <f t="shared" si="166"/>
        <v>B</v>
      </c>
      <c r="AM409" s="109">
        <f t="shared" si="167"/>
        <v>0</v>
      </c>
      <c r="AN409" s="109">
        <f t="shared" si="168"/>
        <v>0</v>
      </c>
      <c r="AO409" s="109" t="str">
        <f t="shared" si="169"/>
        <v/>
      </c>
      <c r="AQ409" s="109" t="str">
        <f t="shared" si="170"/>
        <v/>
      </c>
      <c r="BA409" s="229">
        <f>MOD(SUM(E386:E410),12)</f>
        <v>0</v>
      </c>
    </row>
    <row r="410" spans="1:53" ht="15.75" thickBot="1" x14ac:dyDescent="0.3">
      <c r="A410" s="88"/>
      <c r="B410" s="66" t="s">
        <v>302</v>
      </c>
      <c r="C410" s="67"/>
      <c r="D410" s="102"/>
      <c r="E410" s="32"/>
      <c r="F410" s="32"/>
      <c r="G410" s="68" t="s">
        <v>277</v>
      </c>
      <c r="H410" s="69">
        <f t="shared" si="171"/>
        <v>0</v>
      </c>
      <c r="I410" s="70">
        <f t="shared" si="172"/>
        <v>0</v>
      </c>
      <c r="J410" s="73" t="str">
        <f t="shared" si="173"/>
        <v>--</v>
      </c>
      <c r="K410" s="32"/>
      <c r="L410" s="234"/>
      <c r="M410" s="277"/>
      <c r="N410" s="277"/>
      <c r="O410" s="277"/>
      <c r="P410" s="277"/>
      <c r="Q410" s="277"/>
      <c r="R410" s="277"/>
      <c r="S410" s="277"/>
      <c r="T410" s="277"/>
      <c r="U410" s="278"/>
      <c r="V410" s="103"/>
      <c r="W410" s="72"/>
      <c r="X410" s="72"/>
      <c r="Y410" s="78">
        <f>SUM(E386:E410)</f>
        <v>120</v>
      </c>
      <c r="Z410" s="72" t="str">
        <f t="shared" si="176"/>
        <v/>
      </c>
      <c r="AA410" s="72" t="str">
        <f t="shared" si="177"/>
        <v/>
      </c>
      <c r="AB410" s="72"/>
      <c r="AC410" s="72">
        <f t="shared" si="162"/>
        <v>1</v>
      </c>
      <c r="AD410" s="72">
        <f t="shared" si="163"/>
        <v>1</v>
      </c>
      <c r="AE410" s="109" t="str">
        <f t="shared" si="164"/>
        <v>0-0</v>
      </c>
      <c r="AF410" s="109" t="str">
        <f t="shared" si="165"/>
        <v>Y</v>
      </c>
      <c r="AG410" s="109" t="str">
        <f t="shared" si="166"/>
        <v>B</v>
      </c>
      <c r="AM410" s="109">
        <f t="shared" si="167"/>
        <v>0</v>
      </c>
      <c r="AN410" s="109">
        <f t="shared" si="168"/>
        <v>0</v>
      </c>
      <c r="AO410" s="109" t="str">
        <f t="shared" si="169"/>
        <v/>
      </c>
      <c r="AQ410" s="109" t="str">
        <f t="shared" si="170"/>
        <v/>
      </c>
      <c r="BA410" s="228"/>
    </row>
    <row r="411" spans="1:53" ht="16.5" thickBot="1" x14ac:dyDescent="0.3">
      <c r="A411" s="88"/>
      <c r="B411" s="319" t="s">
        <v>323</v>
      </c>
      <c r="C411" s="320"/>
      <c r="D411" s="79"/>
      <c r="E411" s="80"/>
      <c r="F411" s="80"/>
      <c r="G411" s="81"/>
      <c r="H411" s="192"/>
      <c r="I411" s="192"/>
      <c r="J411" s="192"/>
      <c r="K411" s="82"/>
      <c r="L411" s="319" t="s">
        <v>306</v>
      </c>
      <c r="M411" s="330"/>
      <c r="N411" s="330"/>
      <c r="O411" s="330"/>
      <c r="P411" s="330"/>
      <c r="Q411" s="330"/>
      <c r="R411" s="330"/>
      <c r="S411" s="330"/>
      <c r="T411" s="330"/>
      <c r="U411" s="320"/>
      <c r="V411" s="104"/>
      <c r="W411" s="72"/>
      <c r="X411" s="72"/>
      <c r="Y411" s="72"/>
      <c r="Z411" s="72"/>
      <c r="AA411" s="72" t="str">
        <f t="shared" si="177"/>
        <v/>
      </c>
      <c r="AB411" s="72"/>
      <c r="AC411" s="72">
        <f>SUM(AC386:AC410)</f>
        <v>25</v>
      </c>
      <c r="AD411" s="72">
        <f>SUM(AD386:AD410)</f>
        <v>16</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319" t="s">
        <v>307</v>
      </c>
      <c r="C412" s="320"/>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77"/>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312" t="s">
        <v>222</v>
      </c>
      <c r="C416" s="313"/>
      <c r="D416" s="314" t="s">
        <v>223</v>
      </c>
      <c r="E416" s="305"/>
      <c r="F416" s="88"/>
      <c r="G416" s="315" t="s">
        <v>224</v>
      </c>
      <c r="H416" s="316"/>
      <c r="I416" s="28">
        <f>SUM(E427:E451)</f>
        <v>12</v>
      </c>
      <c r="J416" s="317" t="s">
        <v>225</v>
      </c>
      <c r="K416" s="318"/>
      <c r="L416" s="305"/>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5" t="s">
        <v>226</v>
      </c>
      <c r="AA416" s="296"/>
      <c r="AB416" s="297"/>
      <c r="AC416" s="25"/>
      <c r="AD416" s="25"/>
      <c r="AH416" s="109">
        <v>2</v>
      </c>
      <c r="AI416" s="109" t="str">
        <f>IF($E417="SS",COUNTIFS($C427:$C451,"FST",$E427:$E451,"2"),"0")</f>
        <v>0</v>
      </c>
      <c r="AJ416" s="109" t="str">
        <f>IF($E417="RPX",COUNTIFS($C427:$C451,"FST",$E427:$E451,"2"),"0")</f>
        <v>0</v>
      </c>
      <c r="AK416" s="109">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EUC</v>
      </c>
      <c r="F417" s="88"/>
      <c r="G417" s="304" t="s">
        <v>230</v>
      </c>
      <c r="H417" s="305"/>
      <c r="I417" s="33">
        <f>E418-I416</f>
        <v>12</v>
      </c>
      <c r="J417" s="289" t="s">
        <v>231</v>
      </c>
      <c r="K417" s="290"/>
      <c r="L417" s="34">
        <f>I421</f>
        <v>661</v>
      </c>
      <c r="M417" s="196">
        <v>4</v>
      </c>
      <c r="N417" s="35">
        <f>SUM(AI417,AI428)</f>
        <v>0</v>
      </c>
      <c r="O417" s="35">
        <v>0</v>
      </c>
      <c r="P417" s="35">
        <f>SUM(AJ417,AJ428)</f>
        <v>0</v>
      </c>
      <c r="Q417" s="35">
        <v>0</v>
      </c>
      <c r="R417" s="35">
        <f>COUNTIFS($E427:$E451,"4",$F427:$F451,"Pole",$C427:$C451,"FST")</f>
        <v>0</v>
      </c>
      <c r="S417" s="35">
        <f>SUM(AL417,AK428)</f>
        <v>0</v>
      </c>
      <c r="T417" s="35">
        <v>0</v>
      </c>
      <c r="U417" s="35">
        <f>SUM(AK417,AL428)</f>
        <v>3</v>
      </c>
      <c r="V417" s="35">
        <v>0</v>
      </c>
      <c r="W417" s="34">
        <f>COUNTIFS($E427:$E451,"4",$F427:$F451,"HH",$C427:$C451,"FST")</f>
        <v>3</v>
      </c>
      <c r="X417" s="35">
        <f>COUNTIFS($E427:$E451,"4",$F427:$F451,"Ped",$C427:$C451,"FST")</f>
        <v>0</v>
      </c>
      <c r="Y417" s="25"/>
      <c r="Z417" s="298" t="s">
        <v>232</v>
      </c>
      <c r="AA417" s="300" t="s">
        <v>233</v>
      </c>
      <c r="AB417" s="301"/>
      <c r="AC417" s="25"/>
      <c r="AD417" s="25"/>
      <c r="AH417" s="109">
        <v>4</v>
      </c>
      <c r="AI417" s="109" t="str">
        <f>IF($E417="SS",COUNTIFS($C427:$C451,"FST",$E427:$E451,"4"),"0")</f>
        <v>0</v>
      </c>
      <c r="AJ417" s="109" t="str">
        <f>IF($E417="RPX",COUNTIFS($C427:$C451,"FST",$E427:$E451,"4"),"0")</f>
        <v>0</v>
      </c>
      <c r="AK417" s="109">
        <f>IF($E417="EUC",COUNTIFS($C427:$C451,"FST",$E427:$E451,"4"),"0")</f>
        <v>3</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24</v>
      </c>
      <c r="F418" s="88"/>
      <c r="G418" s="291" t="s">
        <v>237</v>
      </c>
      <c r="H418" s="292"/>
      <c r="I418" s="35">
        <f>IF(E418=0,0,12-(MOD(I416,12)))</f>
        <v>12</v>
      </c>
      <c r="J418" s="289" t="s">
        <v>238</v>
      </c>
      <c r="K418" s="290"/>
      <c r="L418" s="39">
        <f>I422-I416</f>
        <v>660</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299"/>
      <c r="AA418" s="302"/>
      <c r="AB418" s="303"/>
      <c r="AC418" s="25"/>
      <c r="AD418" s="25"/>
      <c r="AH418" s="109">
        <v>6</v>
      </c>
      <c r="AI418" s="109" t="str">
        <f>IF($E417="SS",COUNTIFS($C427:$C451,"FST",$E427:$E451,"6"),"0")</f>
        <v>0</v>
      </c>
      <c r="AJ418" s="109" t="str">
        <f>IF($E417="RPX",COUNTIFS($C427:$C451,"FST",$E427:$E451,"6"),"0")</f>
        <v>0</v>
      </c>
      <c r="AK418" s="109">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12</v>
      </c>
      <c r="F419" s="88"/>
      <c r="G419" s="321" t="s">
        <v>242</v>
      </c>
      <c r="H419" s="43" t="s">
        <v>243</v>
      </c>
      <c r="I419" s="35">
        <f>IF(E419&lt;&gt;0,1,0)</f>
        <v>1</v>
      </c>
      <c r="J419" s="291" t="s">
        <v>244</v>
      </c>
      <c r="K419" s="292"/>
      <c r="L419" s="44">
        <f>'Cable Calculator'!BB3</f>
        <v>313</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661</v>
      </c>
      <c r="F420" s="88"/>
      <c r="G420" s="322"/>
      <c r="H420" s="47" t="s">
        <v>248</v>
      </c>
      <c r="I420" s="35">
        <f>IF(E419&lt;&gt;0,E419,0)</f>
        <v>12</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0</v>
      </c>
      <c r="V420" s="35">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2</v>
      </c>
      <c r="F421" s="88"/>
      <c r="G421" s="321" t="s">
        <v>251</v>
      </c>
      <c r="H421" s="51" t="s">
        <v>252</v>
      </c>
      <c r="I421" s="112">
        <f>E420</f>
        <v>661</v>
      </c>
      <c r="J421" s="323" t="s">
        <v>253</v>
      </c>
      <c r="K421" s="324"/>
      <c r="L421" s="325"/>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322"/>
      <c r="H422" s="47" t="s">
        <v>257</v>
      </c>
      <c r="I422" s="35">
        <f>IF(E420="","0",IF(AND(E417="EUC",E418=432), I421+(203-E419),IF(E420=0,0,(E420+(E418-E419)-1))))</f>
        <v>672</v>
      </c>
      <c r="J422" s="285" t="str">
        <f>IFERROR(IF(OR(E417="EUC",E417="SS"),"---",IF(OR(P416,S416),"NO 2F Tethers for RPX!",IF(OR(P418,S418),"NO 6F Tethers for RPX!","---"))),"---")</f>
        <v>---</v>
      </c>
      <c r="K422" s="286"/>
      <c r="L422" s="287"/>
      <c r="M422" s="285" t="str">
        <f>IF(E419&gt;60,"Dead Count &gt;60: Consider Downsize","---")</f>
        <v>---</v>
      </c>
      <c r="N422" s="286"/>
      <c r="O422" s="286"/>
      <c r="P422" s="286"/>
      <c r="Q422" s="286"/>
      <c r="R422" s="286"/>
      <c r="S422" s="286"/>
      <c r="T422" s="286"/>
      <c r="U422" s="287"/>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12</v>
      </c>
      <c r="D423" s="31" t="s">
        <v>259</v>
      </c>
      <c r="E423" s="101" t="str">
        <f>IF(AS417="Y","DBL",IF(AS418="Y","TRPL",IF(AS419="Y","QUAD","")))</f>
        <v/>
      </c>
      <c r="F423" s="88"/>
      <c r="G423" s="192"/>
      <c r="H423" s="57"/>
      <c r="I423" s="192"/>
      <c r="J423" s="285"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86"/>
      <c r="L423" s="287"/>
      <c r="M423" s="285" t="str">
        <f>IF(AND(OR(E417="SS",E417="RPX",E417="EUC",E417="RPX-T"),(OR(C427="",C427="Field SPL"))),"Cannot have FlexNap cables without tethers","---")</f>
        <v>---</v>
      </c>
      <c r="N423" s="286"/>
      <c r="O423" s="286"/>
      <c r="P423" s="286"/>
      <c r="Q423" s="286"/>
      <c r="R423" s="286"/>
      <c r="S423" s="286"/>
      <c r="T423" s="286"/>
      <c r="U423" s="287"/>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85" t="str">
        <f>IF(AND(OR(E417="RPX", E417="RPX-T", E417="SS"),E418=216),"NO 216 For RPX, RPX-T, OR SS CABLE","---")</f>
        <v>---</v>
      </c>
      <c r="K424" s="286"/>
      <c r="L424" s="287"/>
      <c r="M424" s="285" t="str" cm="1">
        <f t="array" ref="M424">IF(AND(E417="",OR(C427:C451="FST",C427:C451="REV T",C427:C451="DBL REV",C427:C451="TPL REV", C427:C451="QD REV")),"Non-FlexNap cables cannot have tethers","---")</f>
        <v>---</v>
      </c>
      <c r="N424" s="286"/>
      <c r="O424" s="286"/>
      <c r="P424" s="286"/>
      <c r="Q424" s="286"/>
      <c r="R424" s="286"/>
      <c r="S424" s="286"/>
      <c r="T424" s="286"/>
      <c r="U424" s="287"/>
      <c r="V424" s="25"/>
      <c r="W424" s="58"/>
      <c r="X424" s="58"/>
      <c r="Y424" s="25"/>
      <c r="Z424" s="45">
        <v>6</v>
      </c>
      <c r="AA424" s="65">
        <v>61</v>
      </c>
      <c r="AB424" s="65">
        <v>72</v>
      </c>
      <c r="AC424" s="25"/>
      <c r="AD424" s="25"/>
      <c r="BA424" s="226"/>
    </row>
    <row r="425" spans="1:53" ht="15.75" customHeight="1" thickBot="1" x14ac:dyDescent="0.3">
      <c r="A425" s="88"/>
      <c r="B425" s="321" t="s">
        <v>260</v>
      </c>
      <c r="C425" s="293" t="s">
        <v>261</v>
      </c>
      <c r="D425" s="293" t="s">
        <v>262</v>
      </c>
      <c r="E425" s="306" t="s">
        <v>263</v>
      </c>
      <c r="F425" s="293" t="s">
        <v>264</v>
      </c>
      <c r="G425" s="308" t="s">
        <v>265</v>
      </c>
      <c r="H425" s="308" t="s">
        <v>266</v>
      </c>
      <c r="I425" s="308" t="s">
        <v>267</v>
      </c>
      <c r="J425" s="310" t="s">
        <v>268</v>
      </c>
      <c r="K425" s="293" t="s">
        <v>269</v>
      </c>
      <c r="L425" s="279" t="s">
        <v>270</v>
      </c>
      <c r="M425" s="281" t="s">
        <v>271</v>
      </c>
      <c r="N425" s="281"/>
      <c r="O425" s="281"/>
      <c r="P425" s="281"/>
      <c r="Q425" s="281"/>
      <c r="R425" s="281"/>
      <c r="S425" s="281"/>
      <c r="T425" s="281"/>
      <c r="U425" s="282"/>
      <c r="V425" s="107"/>
      <c r="W425" s="72"/>
      <c r="X425" s="72"/>
      <c r="Y425" s="72"/>
      <c r="Z425" s="45">
        <v>7</v>
      </c>
      <c r="AA425" s="65">
        <v>73</v>
      </c>
      <c r="AB425" s="65">
        <v>84</v>
      </c>
      <c r="AC425" s="25"/>
      <c r="AD425" s="25"/>
      <c r="BA425" s="228"/>
    </row>
    <row r="426" spans="1:53" ht="15.75" thickBot="1" x14ac:dyDescent="0.3">
      <c r="A426" s="88"/>
      <c r="B426" s="322"/>
      <c r="C426" s="294"/>
      <c r="D426" s="294"/>
      <c r="E426" s="307"/>
      <c r="F426" s="294"/>
      <c r="G426" s="309"/>
      <c r="H426" s="309"/>
      <c r="I426" s="309"/>
      <c r="J426" s="311"/>
      <c r="K426" s="294"/>
      <c r="L426" s="280"/>
      <c r="M426" s="283"/>
      <c r="N426" s="283"/>
      <c r="O426" s="283"/>
      <c r="P426" s="283"/>
      <c r="Q426" s="283"/>
      <c r="R426" s="283"/>
      <c r="S426" s="283"/>
      <c r="T426" s="283"/>
      <c r="U426" s="284"/>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760</v>
      </c>
      <c r="E427" s="32">
        <v>4</v>
      </c>
      <c r="F427" s="32" t="s">
        <v>488</v>
      </c>
      <c r="G427" s="68" t="s">
        <v>277</v>
      </c>
      <c r="H427" s="69">
        <f>IF(I427=0,0,I427-(E427-1))</f>
        <v>669</v>
      </c>
      <c r="I427" s="70">
        <f>IF(E427=0,0,I422)</f>
        <v>672</v>
      </c>
      <c r="J427" s="71" t="s">
        <v>278</v>
      </c>
      <c r="K427" s="32"/>
      <c r="L427" s="233"/>
      <c r="M427" s="277"/>
      <c r="N427" s="277"/>
      <c r="O427" s="277"/>
      <c r="P427" s="277"/>
      <c r="Q427" s="277"/>
      <c r="R427" s="277"/>
      <c r="S427" s="277"/>
      <c r="T427" s="277"/>
      <c r="U427" s="278"/>
      <c r="V427" s="103"/>
      <c r="W427" s="72"/>
      <c r="X427" s="72"/>
      <c r="Y427" s="72"/>
      <c r="Z427" s="45">
        <v>9</v>
      </c>
      <c r="AA427" s="46">
        <v>97</v>
      </c>
      <c r="AB427" s="46">
        <v>108</v>
      </c>
      <c r="AC427" s="72">
        <f t="shared" ref="AC427:AC451" si="179">IF(B427&lt;&gt;"FST",1,0)</f>
        <v>1</v>
      </c>
      <c r="AD427" s="72">
        <f t="shared" ref="AD427:AD451" si="180">IF(C427&lt;&gt;"FST",1,0)</f>
        <v>0</v>
      </c>
      <c r="AE427" s="109" t="str">
        <f t="shared" ref="AE427:AE451" si="181">CONCATENATE(H427,"-",I427)</f>
        <v>669-672</v>
      </c>
      <c r="AF427" s="109" t="str">
        <f t="shared" ref="AF427:AF451" si="182">IF(C427="Field SPL","N","Y")</f>
        <v>Y</v>
      </c>
      <c r="AG427" s="109" t="str">
        <f t="shared" ref="AG427:AG451" si="183">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84">VALUE(IF(C427="FST","0",IF(C427="REV T","1",IF(C427="DBL REV",".5","0"))))</f>
        <v>0</v>
      </c>
      <c r="AN427" s="109">
        <f t="shared" ref="AN427:AN451" si="185">VALUE(IF(C427="FST","0",IF(C427="REV T","0",IF(C427="DBL REV",".5","0"))))</f>
        <v>0</v>
      </c>
      <c r="AO427" s="109" t="str">
        <f t="shared" ref="AO427:AO451" si="186">IF(C427="TPL REV","Y","")</f>
        <v/>
      </c>
      <c r="AQ427" s="109" t="str">
        <f t="shared" ref="AQ427:AQ451" si="187">IF(C427="QD REV","Y","")</f>
        <v/>
      </c>
      <c r="BA427" s="229">
        <f>MOD(E427,12)</f>
        <v>4</v>
      </c>
    </row>
    <row r="428" spans="1:53" ht="15.75" thickBot="1" x14ac:dyDescent="0.3">
      <c r="A428" s="88"/>
      <c r="B428" s="66" t="s">
        <v>279</v>
      </c>
      <c r="C428" s="67" t="s">
        <v>484</v>
      </c>
      <c r="D428" s="102" t="s">
        <v>807</v>
      </c>
      <c r="E428" s="32">
        <v>4</v>
      </c>
      <c r="F428" s="32" t="s">
        <v>488</v>
      </c>
      <c r="G428" s="68" t="s">
        <v>277</v>
      </c>
      <c r="H428" s="69">
        <f t="shared" ref="H428:H451" si="188">IF(E428=0,0,I428-(E428-1))</f>
        <v>665</v>
      </c>
      <c r="I428" s="70">
        <f t="shared" ref="I428:I451" si="189">IF(E428=0,0,H427-1)</f>
        <v>668</v>
      </c>
      <c r="J428" s="73" t="str">
        <f>IF(C428="","--",IF(AND(C428&lt;&gt;"FST",C428&lt;&gt;"TCF",BA427&lt;&gt;0),BA427,"--"))</f>
        <v>--</v>
      </c>
      <c r="K428" s="32"/>
      <c r="L428" s="233"/>
      <c r="M428" s="277"/>
      <c r="N428" s="277"/>
      <c r="O428" s="277"/>
      <c r="P428" s="277"/>
      <c r="Q428" s="277"/>
      <c r="R428" s="277"/>
      <c r="S428" s="277"/>
      <c r="T428" s="277"/>
      <c r="U428" s="278"/>
      <c r="V428" s="103"/>
      <c r="W428" s="72"/>
      <c r="X428" s="72"/>
      <c r="Y428" s="72"/>
      <c r="Z428" s="45">
        <v>10</v>
      </c>
      <c r="AA428" s="46">
        <v>109</v>
      </c>
      <c r="AB428" s="46">
        <v>120</v>
      </c>
      <c r="AC428" s="72">
        <f t="shared" si="179"/>
        <v>1</v>
      </c>
      <c r="AD428" s="72">
        <f t="shared" si="180"/>
        <v>0</v>
      </c>
      <c r="AE428" s="109" t="str">
        <f t="shared" si="181"/>
        <v>665-668</v>
      </c>
      <c r="AF428" s="109" t="str">
        <f t="shared" si="182"/>
        <v>Y</v>
      </c>
      <c r="AG428" s="109" t="str">
        <f t="shared" si="183"/>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84"/>
        <v>0</v>
      </c>
      <c r="AN428" s="109">
        <f t="shared" si="185"/>
        <v>0</v>
      </c>
      <c r="AO428" s="109" t="str">
        <f t="shared" si="186"/>
        <v/>
      </c>
      <c r="AQ428" s="109" t="str">
        <f t="shared" si="187"/>
        <v/>
      </c>
      <c r="BA428" s="229">
        <f>MOD(SUM(E427:E428),12)</f>
        <v>8</v>
      </c>
    </row>
    <row r="429" spans="1:53" ht="15.75" thickBot="1" x14ac:dyDescent="0.3">
      <c r="A429" s="88"/>
      <c r="B429" s="74" t="s">
        <v>280</v>
      </c>
      <c r="C429" s="67" t="s">
        <v>484</v>
      </c>
      <c r="D429" s="102" t="s">
        <v>761</v>
      </c>
      <c r="E429" s="32">
        <v>4</v>
      </c>
      <c r="F429" s="32" t="s">
        <v>488</v>
      </c>
      <c r="G429" s="75" t="s">
        <v>277</v>
      </c>
      <c r="H429" s="69">
        <f t="shared" si="188"/>
        <v>661</v>
      </c>
      <c r="I429" s="70">
        <f t="shared" si="189"/>
        <v>664</v>
      </c>
      <c r="J429" s="73" t="str">
        <f t="shared" ref="J429:J451" si="190">IF(C429="","--",IF(AND(C429&lt;&gt;"FST",C429&lt;&gt;"TCF",BA428&lt;&gt;0),BA428,"--"))</f>
        <v>--</v>
      </c>
      <c r="K429" s="32"/>
      <c r="L429" s="233"/>
      <c r="M429" s="277"/>
      <c r="N429" s="277"/>
      <c r="O429" s="277"/>
      <c r="P429" s="277"/>
      <c r="Q429" s="277"/>
      <c r="R429" s="277"/>
      <c r="S429" s="277"/>
      <c r="T429" s="277"/>
      <c r="U429" s="278"/>
      <c r="V429" s="103"/>
      <c r="W429" s="72"/>
      <c r="X429" s="72"/>
      <c r="Y429" s="72"/>
      <c r="Z429" s="45">
        <v>11</v>
      </c>
      <c r="AA429" s="46">
        <v>121</v>
      </c>
      <c r="AB429" s="46">
        <v>132</v>
      </c>
      <c r="AC429" s="72">
        <f t="shared" si="179"/>
        <v>1</v>
      </c>
      <c r="AD429" s="72">
        <f t="shared" si="180"/>
        <v>0</v>
      </c>
      <c r="AE429" s="109" t="str">
        <f t="shared" si="181"/>
        <v>661-664</v>
      </c>
      <c r="AF429" s="109" t="str">
        <f t="shared" si="182"/>
        <v>Y</v>
      </c>
      <c r="AG429" s="109" t="str">
        <f t="shared" si="183"/>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84"/>
        <v>0</v>
      </c>
      <c r="AN429" s="109">
        <f t="shared" si="185"/>
        <v>0</v>
      </c>
      <c r="AO429" s="109" t="str">
        <f t="shared" si="186"/>
        <v/>
      </c>
      <c r="AQ429" s="109" t="str">
        <f t="shared" si="187"/>
        <v/>
      </c>
      <c r="BA429" s="229">
        <f>MOD(SUM(E427:E430),12)</f>
        <v>0</v>
      </c>
    </row>
    <row r="430" spans="1:53" ht="15.75" thickBot="1" x14ac:dyDescent="0.3">
      <c r="A430" s="88"/>
      <c r="B430" s="66" t="s">
        <v>281</v>
      </c>
      <c r="C430" s="67"/>
      <c r="D430" s="102"/>
      <c r="E430" s="32"/>
      <c r="F430" s="32"/>
      <c r="G430" s="68" t="s">
        <v>277</v>
      </c>
      <c r="H430" s="69">
        <f t="shared" si="188"/>
        <v>0</v>
      </c>
      <c r="I430" s="70">
        <f t="shared" si="189"/>
        <v>0</v>
      </c>
      <c r="J430" s="73" t="str">
        <f t="shared" si="190"/>
        <v>--</v>
      </c>
      <c r="K430" s="32"/>
      <c r="L430" s="233"/>
      <c r="M430" s="277"/>
      <c r="N430" s="277"/>
      <c r="O430" s="277"/>
      <c r="P430" s="277"/>
      <c r="Q430" s="277"/>
      <c r="R430" s="277"/>
      <c r="S430" s="277"/>
      <c r="T430" s="277"/>
      <c r="U430" s="278"/>
      <c r="V430" s="103"/>
      <c r="W430" s="72"/>
      <c r="X430" s="72"/>
      <c r="Y430" s="72"/>
      <c r="Z430" s="45">
        <v>12</v>
      </c>
      <c r="AA430" s="76">
        <v>133</v>
      </c>
      <c r="AB430" s="76">
        <v>144</v>
      </c>
      <c r="AC430" s="72">
        <f t="shared" si="179"/>
        <v>1</v>
      </c>
      <c r="AD430" s="72">
        <f t="shared" si="180"/>
        <v>1</v>
      </c>
      <c r="AE430" s="109" t="str">
        <f t="shared" si="181"/>
        <v>0-0</v>
      </c>
      <c r="AF430" s="109" t="str">
        <f t="shared" si="182"/>
        <v>Y</v>
      </c>
      <c r="AG430" s="109" t="str">
        <f t="shared" si="183"/>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84"/>
        <v>0</v>
      </c>
      <c r="AN430" s="109">
        <f t="shared" si="185"/>
        <v>0</v>
      </c>
      <c r="AO430" s="109" t="str">
        <f t="shared" si="186"/>
        <v/>
      </c>
      <c r="AQ430" s="109" t="str">
        <f t="shared" si="187"/>
        <v/>
      </c>
      <c r="BA430" s="229">
        <f>MOD(SUM(E427:E431),12)</f>
        <v>0</v>
      </c>
    </row>
    <row r="431" spans="1:53" ht="15.75" thickBot="1" x14ac:dyDescent="0.3">
      <c r="A431" s="88"/>
      <c r="B431" s="66" t="s">
        <v>282</v>
      </c>
      <c r="C431" s="67"/>
      <c r="D431" s="102"/>
      <c r="E431" s="32"/>
      <c r="F431" s="32"/>
      <c r="G431" s="68" t="s">
        <v>277</v>
      </c>
      <c r="H431" s="69">
        <f t="shared" si="188"/>
        <v>0</v>
      </c>
      <c r="I431" s="70">
        <f t="shared" si="189"/>
        <v>0</v>
      </c>
      <c r="J431" s="73" t="str">
        <f t="shared" si="190"/>
        <v>--</v>
      </c>
      <c r="K431" s="32"/>
      <c r="L431" s="233"/>
      <c r="M431" s="277"/>
      <c r="N431" s="277"/>
      <c r="O431" s="277"/>
      <c r="P431" s="277"/>
      <c r="Q431" s="277"/>
      <c r="R431" s="277"/>
      <c r="S431" s="277"/>
      <c r="T431" s="277"/>
      <c r="U431" s="278"/>
      <c r="V431" s="103"/>
      <c r="W431" s="72"/>
      <c r="X431" s="72"/>
      <c r="Y431" s="72"/>
      <c r="Z431" s="45">
        <v>13</v>
      </c>
      <c r="AA431" s="77">
        <f t="shared" ref="AA431:AA436" si="191">AB430+1</f>
        <v>145</v>
      </c>
      <c r="AB431" s="77">
        <f t="shared" ref="AB431:AB436" si="192">AB430+12</f>
        <v>156</v>
      </c>
      <c r="AC431" s="72">
        <f t="shared" si="179"/>
        <v>1</v>
      </c>
      <c r="AD431" s="72">
        <f t="shared" si="180"/>
        <v>1</v>
      </c>
      <c r="AE431" s="109" t="str">
        <f t="shared" si="181"/>
        <v>0-0</v>
      </c>
      <c r="AF431" s="109" t="str">
        <f t="shared" si="182"/>
        <v>Y</v>
      </c>
      <c r="AG431" s="109" t="str">
        <f t="shared" si="183"/>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84"/>
        <v>0</v>
      </c>
      <c r="AN431" s="109">
        <f t="shared" si="185"/>
        <v>0</v>
      </c>
      <c r="AO431" s="109" t="str">
        <f t="shared" si="186"/>
        <v/>
      </c>
      <c r="AQ431" s="109" t="str">
        <f t="shared" si="187"/>
        <v/>
      </c>
      <c r="BA431" s="229">
        <f>MOD(SUM(E427:E432),12)</f>
        <v>0</v>
      </c>
    </row>
    <row r="432" spans="1:53" ht="15.75" thickBot="1" x14ac:dyDescent="0.3">
      <c r="A432" s="88"/>
      <c r="B432" s="66" t="s">
        <v>283</v>
      </c>
      <c r="C432" s="67"/>
      <c r="D432" s="102"/>
      <c r="E432" s="32"/>
      <c r="F432" s="32"/>
      <c r="G432" s="68" t="s">
        <v>277</v>
      </c>
      <c r="H432" s="69">
        <f t="shared" si="188"/>
        <v>0</v>
      </c>
      <c r="I432" s="70">
        <f t="shared" si="189"/>
        <v>0</v>
      </c>
      <c r="J432" s="73" t="str">
        <f t="shared" si="190"/>
        <v>--</v>
      </c>
      <c r="K432" s="32"/>
      <c r="L432" s="233"/>
      <c r="M432" s="277"/>
      <c r="N432" s="277"/>
      <c r="O432" s="277"/>
      <c r="P432" s="277"/>
      <c r="Q432" s="277"/>
      <c r="R432" s="277"/>
      <c r="S432" s="277"/>
      <c r="T432" s="277"/>
      <c r="U432" s="278"/>
      <c r="V432" s="103"/>
      <c r="W432" s="72"/>
      <c r="X432" s="72"/>
      <c r="Y432" s="72"/>
      <c r="Z432" s="45">
        <v>14</v>
      </c>
      <c r="AA432" s="77">
        <f t="shared" si="191"/>
        <v>157</v>
      </c>
      <c r="AB432" s="77">
        <f t="shared" si="192"/>
        <v>168</v>
      </c>
      <c r="AC432" s="72">
        <f t="shared" si="179"/>
        <v>1</v>
      </c>
      <c r="AD432" s="72">
        <f t="shared" si="180"/>
        <v>1</v>
      </c>
      <c r="AE432" s="109" t="str">
        <f t="shared" si="181"/>
        <v>0-0</v>
      </c>
      <c r="AF432" s="109" t="str">
        <f t="shared" si="182"/>
        <v>Y</v>
      </c>
      <c r="AG432" s="109" t="str">
        <f t="shared" si="183"/>
        <v>B</v>
      </c>
      <c r="AM432" s="109">
        <f t="shared" si="184"/>
        <v>0</v>
      </c>
      <c r="AN432" s="109">
        <f t="shared" si="185"/>
        <v>0</v>
      </c>
      <c r="AO432" s="109" t="str">
        <f t="shared" si="186"/>
        <v/>
      </c>
      <c r="AQ432" s="109" t="str">
        <f t="shared" si="187"/>
        <v/>
      </c>
      <c r="BA432" s="229">
        <f>MOD(SUM(E427:E433),12)</f>
        <v>0</v>
      </c>
    </row>
    <row r="433" spans="1:53" ht="15.75" thickBot="1" x14ac:dyDescent="0.3">
      <c r="A433" s="88"/>
      <c r="B433" s="66" t="s">
        <v>284</v>
      </c>
      <c r="C433" s="67"/>
      <c r="D433" s="102"/>
      <c r="E433" s="32"/>
      <c r="F433" s="32"/>
      <c r="G433" s="68" t="s">
        <v>277</v>
      </c>
      <c r="H433" s="69">
        <f t="shared" si="188"/>
        <v>0</v>
      </c>
      <c r="I433" s="70">
        <f t="shared" si="189"/>
        <v>0</v>
      </c>
      <c r="J433" s="73" t="str">
        <f t="shared" si="190"/>
        <v>--</v>
      </c>
      <c r="K433" s="32"/>
      <c r="L433" s="233"/>
      <c r="M433" s="277"/>
      <c r="N433" s="277"/>
      <c r="O433" s="277"/>
      <c r="P433" s="277"/>
      <c r="Q433" s="277"/>
      <c r="R433" s="277"/>
      <c r="S433" s="277"/>
      <c r="T433" s="277"/>
      <c r="U433" s="278"/>
      <c r="V433" s="103"/>
      <c r="W433" s="72"/>
      <c r="X433" s="72"/>
      <c r="Y433" s="72"/>
      <c r="Z433" s="45">
        <v>15</v>
      </c>
      <c r="AA433" s="77">
        <f t="shared" si="191"/>
        <v>169</v>
      </c>
      <c r="AB433" s="77">
        <f t="shared" si="192"/>
        <v>180</v>
      </c>
      <c r="AC433" s="72">
        <f t="shared" si="179"/>
        <v>1</v>
      </c>
      <c r="AD433" s="72">
        <f t="shared" si="180"/>
        <v>1</v>
      </c>
      <c r="AE433" s="109" t="str">
        <f t="shared" si="181"/>
        <v>0-0</v>
      </c>
      <c r="AF433" s="109" t="str">
        <f t="shared" si="182"/>
        <v>Y</v>
      </c>
      <c r="AG433" s="109" t="str">
        <f t="shared" si="183"/>
        <v>B</v>
      </c>
      <c r="AM433" s="109">
        <f t="shared" si="184"/>
        <v>0</v>
      </c>
      <c r="AN433" s="109">
        <f t="shared" si="185"/>
        <v>0</v>
      </c>
      <c r="AO433" s="109" t="str">
        <f t="shared" si="186"/>
        <v/>
      </c>
      <c r="AQ433" s="109" t="str">
        <f t="shared" si="187"/>
        <v/>
      </c>
      <c r="BA433" s="229">
        <f>MOD(SUM(E427:E434),12)</f>
        <v>0</v>
      </c>
    </row>
    <row r="434" spans="1:53" ht="15.75" thickBot="1" x14ac:dyDescent="0.3">
      <c r="A434" s="88"/>
      <c r="B434" s="66" t="s">
        <v>285</v>
      </c>
      <c r="C434" s="67"/>
      <c r="D434" s="102"/>
      <c r="E434" s="32"/>
      <c r="F434" s="32"/>
      <c r="G434" s="68" t="s">
        <v>277</v>
      </c>
      <c r="H434" s="69">
        <f t="shared" si="188"/>
        <v>0</v>
      </c>
      <c r="I434" s="70">
        <f t="shared" si="189"/>
        <v>0</v>
      </c>
      <c r="J434" s="73" t="str">
        <f t="shared" si="190"/>
        <v>--</v>
      </c>
      <c r="K434" s="32"/>
      <c r="L434" s="233"/>
      <c r="M434" s="277"/>
      <c r="N434" s="277"/>
      <c r="O434" s="277"/>
      <c r="P434" s="277"/>
      <c r="Q434" s="277"/>
      <c r="R434" s="277"/>
      <c r="S434" s="277"/>
      <c r="T434" s="277"/>
      <c r="U434" s="278"/>
      <c r="V434" s="103"/>
      <c r="W434" s="72"/>
      <c r="X434" s="72"/>
      <c r="Y434" s="72"/>
      <c r="Z434" s="45">
        <f>Z433+1</f>
        <v>16</v>
      </c>
      <c r="AA434" s="77">
        <f t="shared" si="191"/>
        <v>181</v>
      </c>
      <c r="AB434" s="77">
        <f t="shared" si="192"/>
        <v>192</v>
      </c>
      <c r="AC434" s="72">
        <f t="shared" si="179"/>
        <v>1</v>
      </c>
      <c r="AD434" s="72">
        <f t="shared" si="180"/>
        <v>1</v>
      </c>
      <c r="AE434" s="109" t="str">
        <f t="shared" si="181"/>
        <v>0-0</v>
      </c>
      <c r="AF434" s="109" t="str">
        <f t="shared" si="182"/>
        <v>Y</v>
      </c>
      <c r="AG434" s="109" t="str">
        <f t="shared" si="183"/>
        <v>B</v>
      </c>
      <c r="AM434" s="109">
        <f t="shared" si="184"/>
        <v>0</v>
      </c>
      <c r="AN434" s="109">
        <f t="shared" si="185"/>
        <v>0</v>
      </c>
      <c r="AO434" s="109" t="str">
        <f t="shared" si="186"/>
        <v/>
      </c>
      <c r="AQ434" s="109" t="str">
        <f t="shared" si="187"/>
        <v/>
      </c>
      <c r="BA434" s="229">
        <f>MOD(SUM(E427:E435),12)</f>
        <v>0</v>
      </c>
    </row>
    <row r="435" spans="1:53" ht="15.75" thickBot="1" x14ac:dyDescent="0.3">
      <c r="A435" s="88"/>
      <c r="B435" s="66" t="s">
        <v>286</v>
      </c>
      <c r="C435" s="67"/>
      <c r="D435" s="102"/>
      <c r="E435" s="32"/>
      <c r="F435" s="32"/>
      <c r="G435" s="68" t="s">
        <v>277</v>
      </c>
      <c r="H435" s="69">
        <f t="shared" si="188"/>
        <v>0</v>
      </c>
      <c r="I435" s="70">
        <f t="shared" si="189"/>
        <v>0</v>
      </c>
      <c r="J435" s="73" t="str">
        <f t="shared" si="190"/>
        <v>--</v>
      </c>
      <c r="K435" s="32"/>
      <c r="L435" s="233"/>
      <c r="M435" s="277"/>
      <c r="N435" s="277"/>
      <c r="O435" s="277"/>
      <c r="P435" s="277"/>
      <c r="Q435" s="277"/>
      <c r="R435" s="277"/>
      <c r="S435" s="277"/>
      <c r="T435" s="277"/>
      <c r="U435" s="278"/>
      <c r="V435" s="103"/>
      <c r="W435" s="72"/>
      <c r="X435" s="72"/>
      <c r="Y435" s="72"/>
      <c r="Z435" s="45">
        <f>Z434+1</f>
        <v>17</v>
      </c>
      <c r="AA435" s="77">
        <f t="shared" si="191"/>
        <v>193</v>
      </c>
      <c r="AB435" s="77">
        <f t="shared" si="192"/>
        <v>204</v>
      </c>
      <c r="AC435" s="72">
        <f t="shared" si="179"/>
        <v>1</v>
      </c>
      <c r="AD435" s="72">
        <f t="shared" si="180"/>
        <v>1</v>
      </c>
      <c r="AE435" s="109" t="str">
        <f t="shared" si="181"/>
        <v>0-0</v>
      </c>
      <c r="AF435" s="109" t="str">
        <f t="shared" si="182"/>
        <v>Y</v>
      </c>
      <c r="AG435" s="109" t="str">
        <f t="shared" si="183"/>
        <v>B</v>
      </c>
      <c r="AM435" s="109">
        <f t="shared" si="184"/>
        <v>0</v>
      </c>
      <c r="AN435" s="109">
        <f t="shared" si="185"/>
        <v>0</v>
      </c>
      <c r="AO435" s="109" t="str">
        <f t="shared" si="186"/>
        <v/>
      </c>
      <c r="AQ435" s="109" t="str">
        <f t="shared" si="187"/>
        <v/>
      </c>
      <c r="BA435" s="229">
        <f>MOD(SUM(E427:E436),12)</f>
        <v>0</v>
      </c>
    </row>
    <row r="436" spans="1:53" ht="15.75" thickBot="1" x14ac:dyDescent="0.3">
      <c r="A436" s="88"/>
      <c r="B436" s="66" t="s">
        <v>287</v>
      </c>
      <c r="C436" s="67"/>
      <c r="D436" s="102"/>
      <c r="E436" s="32"/>
      <c r="F436" s="32"/>
      <c r="G436" s="68" t="s">
        <v>277</v>
      </c>
      <c r="H436" s="69">
        <f t="shared" si="188"/>
        <v>0</v>
      </c>
      <c r="I436" s="70">
        <f t="shared" si="189"/>
        <v>0</v>
      </c>
      <c r="J436" s="73" t="str">
        <f t="shared" si="190"/>
        <v>--</v>
      </c>
      <c r="K436" s="32"/>
      <c r="L436" s="233"/>
      <c r="M436" s="277"/>
      <c r="N436" s="277"/>
      <c r="O436" s="277"/>
      <c r="P436" s="277"/>
      <c r="Q436" s="277"/>
      <c r="R436" s="277"/>
      <c r="S436" s="277"/>
      <c r="T436" s="277"/>
      <c r="U436" s="278"/>
      <c r="V436" s="103"/>
      <c r="W436" s="72"/>
      <c r="X436" s="72"/>
      <c r="Y436" s="72"/>
      <c r="Z436" s="45">
        <f>Z435+1</f>
        <v>18</v>
      </c>
      <c r="AA436" s="77">
        <f t="shared" si="191"/>
        <v>205</v>
      </c>
      <c r="AB436" s="77">
        <f t="shared" si="192"/>
        <v>216</v>
      </c>
      <c r="AC436" s="72">
        <f t="shared" si="179"/>
        <v>1</v>
      </c>
      <c r="AD436" s="72">
        <f t="shared" si="180"/>
        <v>1</v>
      </c>
      <c r="AE436" s="109" t="str">
        <f t="shared" si="181"/>
        <v>0-0</v>
      </c>
      <c r="AF436" s="109" t="str">
        <f t="shared" si="182"/>
        <v>Y</v>
      </c>
      <c r="AG436" s="109" t="str">
        <f t="shared" si="183"/>
        <v>B</v>
      </c>
      <c r="AM436" s="109">
        <f t="shared" si="184"/>
        <v>0</v>
      </c>
      <c r="AN436" s="109">
        <f t="shared" si="185"/>
        <v>0</v>
      </c>
      <c r="AO436" s="109" t="str">
        <f t="shared" si="186"/>
        <v/>
      </c>
      <c r="AQ436" s="109" t="str">
        <f t="shared" si="187"/>
        <v/>
      </c>
      <c r="BA436" s="229">
        <f>MOD(SUM(E427:E437),12)</f>
        <v>0</v>
      </c>
    </row>
    <row r="437" spans="1:53" ht="15.75" thickBot="1" x14ac:dyDescent="0.3">
      <c r="A437" s="88"/>
      <c r="B437" s="66" t="s">
        <v>288</v>
      </c>
      <c r="C437" s="67"/>
      <c r="D437" s="102"/>
      <c r="E437" s="32"/>
      <c r="F437" s="32"/>
      <c r="G437" s="68" t="s">
        <v>277</v>
      </c>
      <c r="H437" s="69">
        <f t="shared" si="188"/>
        <v>0</v>
      </c>
      <c r="I437" s="70">
        <f t="shared" si="189"/>
        <v>0</v>
      </c>
      <c r="J437" s="73" t="str">
        <f t="shared" si="190"/>
        <v>--</v>
      </c>
      <c r="K437" s="32"/>
      <c r="L437" s="233"/>
      <c r="M437" s="277"/>
      <c r="N437" s="277"/>
      <c r="O437" s="277"/>
      <c r="P437" s="277"/>
      <c r="Q437" s="277"/>
      <c r="R437" s="277"/>
      <c r="S437" s="277"/>
      <c r="T437" s="277"/>
      <c r="U437" s="278"/>
      <c r="V437" s="103"/>
      <c r="W437" s="84"/>
      <c r="X437" s="84"/>
      <c r="Y437" s="72"/>
      <c r="Z437" s="72"/>
      <c r="AA437" s="72"/>
      <c r="AB437" s="72"/>
      <c r="AC437" s="72">
        <f t="shared" si="179"/>
        <v>1</v>
      </c>
      <c r="AD437" s="72">
        <f t="shared" si="180"/>
        <v>1</v>
      </c>
      <c r="AE437" s="109" t="str">
        <f t="shared" si="181"/>
        <v>0-0</v>
      </c>
      <c r="AF437" s="109" t="str">
        <f t="shared" si="182"/>
        <v>Y</v>
      </c>
      <c r="AG437" s="109" t="str">
        <f t="shared" si="183"/>
        <v>B</v>
      </c>
      <c r="AM437" s="109">
        <f t="shared" si="184"/>
        <v>0</v>
      </c>
      <c r="AN437" s="109">
        <f t="shared" si="185"/>
        <v>0</v>
      </c>
      <c r="AO437" s="109" t="str">
        <f t="shared" si="186"/>
        <v/>
      </c>
      <c r="AQ437" s="109" t="str">
        <f t="shared" si="187"/>
        <v/>
      </c>
      <c r="BA437" s="229">
        <f>MOD(SUM(E427:E438),12)</f>
        <v>0</v>
      </c>
    </row>
    <row r="438" spans="1:53" ht="15.75" thickBot="1" x14ac:dyDescent="0.3">
      <c r="A438" s="88"/>
      <c r="B438" s="66" t="s">
        <v>289</v>
      </c>
      <c r="C438" s="67"/>
      <c r="D438" s="102"/>
      <c r="E438" s="32"/>
      <c r="F438" s="32"/>
      <c r="G438" s="68" t="s">
        <v>277</v>
      </c>
      <c r="H438" s="69">
        <f t="shared" si="188"/>
        <v>0</v>
      </c>
      <c r="I438" s="70">
        <f t="shared" si="189"/>
        <v>0</v>
      </c>
      <c r="J438" s="73" t="str">
        <f t="shared" si="190"/>
        <v>--</v>
      </c>
      <c r="K438" s="32"/>
      <c r="L438" s="233"/>
      <c r="M438" s="277"/>
      <c r="N438" s="277"/>
      <c r="O438" s="277"/>
      <c r="P438" s="277"/>
      <c r="Q438" s="277"/>
      <c r="R438" s="277"/>
      <c r="S438" s="277"/>
      <c r="T438" s="277"/>
      <c r="U438" s="278"/>
      <c r="V438" s="103"/>
      <c r="W438" s="84">
        <f>Y438+1</f>
        <v>13</v>
      </c>
      <c r="X438" s="84"/>
      <c r="Y438" s="78">
        <f>SUM(E427:E438)</f>
        <v>12</v>
      </c>
      <c r="Z438" s="72"/>
      <c r="AA438" s="72"/>
      <c r="AB438" s="72"/>
      <c r="AC438" s="72">
        <f t="shared" si="179"/>
        <v>1</v>
      </c>
      <c r="AD438" s="72">
        <f t="shared" si="180"/>
        <v>1</v>
      </c>
      <c r="AE438" s="109" t="str">
        <f t="shared" si="181"/>
        <v>0-0</v>
      </c>
      <c r="AF438" s="109" t="str">
        <f t="shared" si="182"/>
        <v>Y</v>
      </c>
      <c r="AG438" s="109" t="str">
        <f t="shared" si="183"/>
        <v>B</v>
      </c>
      <c r="AM438" s="109">
        <f t="shared" si="184"/>
        <v>0</v>
      </c>
      <c r="AN438" s="109">
        <f t="shared" si="185"/>
        <v>0</v>
      </c>
      <c r="AO438" s="109" t="str">
        <f t="shared" si="186"/>
        <v/>
      </c>
      <c r="AQ438" s="109" t="str">
        <f t="shared" si="187"/>
        <v/>
      </c>
      <c r="BA438" s="229">
        <f>MOD(SUM(E427:E439),12)</f>
        <v>0</v>
      </c>
    </row>
    <row r="439" spans="1:53" ht="15.75" thickBot="1" x14ac:dyDescent="0.3">
      <c r="A439" s="88"/>
      <c r="B439" s="66" t="s">
        <v>290</v>
      </c>
      <c r="C439" s="67"/>
      <c r="D439" s="102"/>
      <c r="E439" s="32"/>
      <c r="F439" s="32"/>
      <c r="G439" s="68" t="s">
        <v>277</v>
      </c>
      <c r="H439" s="69">
        <f t="shared" si="188"/>
        <v>0</v>
      </c>
      <c r="I439" s="70">
        <f t="shared" si="189"/>
        <v>0</v>
      </c>
      <c r="J439" s="73" t="str">
        <f t="shared" si="190"/>
        <v>--</v>
      </c>
      <c r="K439" s="32"/>
      <c r="L439" s="233"/>
      <c r="M439" s="277"/>
      <c r="N439" s="277"/>
      <c r="O439" s="277"/>
      <c r="P439" s="277"/>
      <c r="Q439" s="277"/>
      <c r="R439" s="277"/>
      <c r="S439" s="277"/>
      <c r="T439" s="277"/>
      <c r="U439" s="278"/>
      <c r="V439" s="103"/>
      <c r="W439" s="84">
        <f>Y439+1</f>
        <v>13</v>
      </c>
      <c r="X439" s="84"/>
      <c r="Y439" s="78">
        <f>SUM(E427:E439)</f>
        <v>12</v>
      </c>
      <c r="Z439" s="72" t="str">
        <f t="shared" ref="Z439:Z451" si="193">IF(OR(AND(E$8=216,C438="DBL REV",C439="DBL REV",Y438&lt;=144,Y439&gt;144),AND(E$8=216,C438="TPL REV",C439="TPL REV",Y438&lt;=144,Y439&gt;144),AND(E$8=216,C438="QD REV",C439="QD REV",Y438&lt;=144,Y439&gt;144)),"ERROR","")</f>
        <v/>
      </c>
      <c r="AA439" s="72"/>
      <c r="AB439" s="72"/>
      <c r="AC439" s="72">
        <f t="shared" si="179"/>
        <v>1</v>
      </c>
      <c r="AD439" s="72">
        <f t="shared" si="180"/>
        <v>1</v>
      </c>
      <c r="AE439" s="109" t="str">
        <f t="shared" si="181"/>
        <v>0-0</v>
      </c>
      <c r="AF439" s="109" t="str">
        <f t="shared" si="182"/>
        <v>Y</v>
      </c>
      <c r="AG439" s="109" t="str">
        <f t="shared" si="183"/>
        <v>B</v>
      </c>
      <c r="AM439" s="109">
        <f t="shared" si="184"/>
        <v>0</v>
      </c>
      <c r="AN439" s="109">
        <f t="shared" si="185"/>
        <v>0</v>
      </c>
      <c r="AO439" s="109" t="str">
        <f t="shared" si="186"/>
        <v/>
      </c>
      <c r="AQ439" s="109" t="str">
        <f t="shared" si="187"/>
        <v/>
      </c>
      <c r="BA439" s="229">
        <f>MOD(SUM(E427:E440),12)</f>
        <v>0</v>
      </c>
    </row>
    <row r="440" spans="1:53" ht="15.75" thickBot="1" x14ac:dyDescent="0.3">
      <c r="A440" s="88"/>
      <c r="B440" s="66" t="s">
        <v>291</v>
      </c>
      <c r="C440" s="67"/>
      <c r="D440" s="102"/>
      <c r="E440" s="32"/>
      <c r="F440" s="32"/>
      <c r="G440" s="68" t="s">
        <v>277</v>
      </c>
      <c r="H440" s="69">
        <f t="shared" si="188"/>
        <v>0</v>
      </c>
      <c r="I440" s="70">
        <f t="shared" si="189"/>
        <v>0</v>
      </c>
      <c r="J440" s="73" t="str">
        <f t="shared" si="190"/>
        <v>--</v>
      </c>
      <c r="K440" s="32"/>
      <c r="L440" s="233"/>
      <c r="M440" s="277"/>
      <c r="N440" s="277"/>
      <c r="O440" s="277"/>
      <c r="P440" s="277"/>
      <c r="Q440" s="277"/>
      <c r="R440" s="277"/>
      <c r="S440" s="277"/>
      <c r="T440" s="277"/>
      <c r="U440" s="278"/>
      <c r="V440" s="103"/>
      <c r="W440" s="84">
        <f>Y440+1</f>
        <v>13</v>
      </c>
      <c r="X440" s="84"/>
      <c r="Y440" s="78">
        <f>SUM(E427:E440)</f>
        <v>12</v>
      </c>
      <c r="Z440" s="72" t="str">
        <f t="shared" si="193"/>
        <v/>
      </c>
      <c r="AA440" s="72"/>
      <c r="AB440" s="72"/>
      <c r="AC440" s="72">
        <f t="shared" si="179"/>
        <v>1</v>
      </c>
      <c r="AD440" s="72">
        <f t="shared" si="180"/>
        <v>1</v>
      </c>
      <c r="AE440" s="109" t="str">
        <f t="shared" si="181"/>
        <v>0-0</v>
      </c>
      <c r="AF440" s="109" t="str">
        <f t="shared" si="182"/>
        <v>Y</v>
      </c>
      <c r="AG440" s="109" t="str">
        <f t="shared" si="183"/>
        <v>B</v>
      </c>
      <c r="AM440" s="109">
        <f t="shared" si="184"/>
        <v>0</v>
      </c>
      <c r="AN440" s="109">
        <f t="shared" si="185"/>
        <v>0</v>
      </c>
      <c r="AO440" s="109" t="str">
        <f t="shared" si="186"/>
        <v/>
      </c>
      <c r="AQ440" s="109" t="str">
        <f t="shared" si="187"/>
        <v/>
      </c>
      <c r="BA440" s="229">
        <f>MOD(SUM(E427:E441),12)</f>
        <v>0</v>
      </c>
    </row>
    <row r="441" spans="1:53" ht="15.75" thickBot="1" x14ac:dyDescent="0.3">
      <c r="A441" s="88"/>
      <c r="B441" s="66" t="s">
        <v>292</v>
      </c>
      <c r="C441" s="67"/>
      <c r="D441" s="102"/>
      <c r="E441" s="32"/>
      <c r="F441" s="32"/>
      <c r="G441" s="68" t="s">
        <v>277</v>
      </c>
      <c r="H441" s="69">
        <f t="shared" si="188"/>
        <v>0</v>
      </c>
      <c r="I441" s="70">
        <f t="shared" si="189"/>
        <v>0</v>
      </c>
      <c r="J441" s="73" t="str">
        <f t="shared" si="190"/>
        <v>--</v>
      </c>
      <c r="K441" s="32"/>
      <c r="L441" s="233"/>
      <c r="M441" s="277"/>
      <c r="N441" s="277"/>
      <c r="O441" s="277"/>
      <c r="P441" s="277"/>
      <c r="Q441" s="277"/>
      <c r="R441" s="277"/>
      <c r="S441" s="277"/>
      <c r="T441" s="277"/>
      <c r="U441" s="278"/>
      <c r="V441" s="103"/>
      <c r="W441" s="84">
        <f>Y441+1</f>
        <v>13</v>
      </c>
      <c r="X441" s="84"/>
      <c r="Y441" s="78">
        <f>SUM(E427:E441)</f>
        <v>12</v>
      </c>
      <c r="Z441" s="72" t="str">
        <f t="shared" si="193"/>
        <v/>
      </c>
      <c r="AA441" s="72" t="str">
        <f t="shared" ref="AA441:AA453" si="194">IF(AND(C439&lt;&gt;"Field SPL",W438&lt;=144,Y439&gt;144),"ERROR","")</f>
        <v/>
      </c>
      <c r="AB441" s="72"/>
      <c r="AC441" s="72">
        <f t="shared" si="179"/>
        <v>1</v>
      </c>
      <c r="AD441" s="72">
        <f t="shared" si="180"/>
        <v>1</v>
      </c>
      <c r="AE441" s="109" t="str">
        <f t="shared" si="181"/>
        <v>0-0</v>
      </c>
      <c r="AF441" s="109" t="str">
        <f t="shared" si="182"/>
        <v>Y</v>
      </c>
      <c r="AG441" s="109" t="str">
        <f t="shared" si="183"/>
        <v>B</v>
      </c>
      <c r="AM441" s="109">
        <f t="shared" si="184"/>
        <v>0</v>
      </c>
      <c r="AN441" s="109">
        <f t="shared" si="185"/>
        <v>0</v>
      </c>
      <c r="AO441" s="109" t="str">
        <f t="shared" si="186"/>
        <v/>
      </c>
      <c r="AQ441" s="109" t="str">
        <f t="shared" si="187"/>
        <v/>
      </c>
      <c r="BA441" s="229">
        <f>MOD(SUM(E427:E442),12)</f>
        <v>0</v>
      </c>
    </row>
    <row r="442" spans="1:53" ht="15.75" thickBot="1" x14ac:dyDescent="0.3">
      <c r="A442" s="88"/>
      <c r="B442" s="66" t="s">
        <v>293</v>
      </c>
      <c r="C442" s="67"/>
      <c r="D442" s="102"/>
      <c r="E442" s="32"/>
      <c r="F442" s="32"/>
      <c r="G442" s="68" t="s">
        <v>277</v>
      </c>
      <c r="H442" s="69">
        <f t="shared" si="188"/>
        <v>0</v>
      </c>
      <c r="I442" s="70">
        <f t="shared" si="189"/>
        <v>0</v>
      </c>
      <c r="J442" s="73" t="str">
        <f t="shared" si="190"/>
        <v>--</v>
      </c>
      <c r="K442" s="32"/>
      <c r="L442" s="233"/>
      <c r="M442" s="277"/>
      <c r="N442" s="277"/>
      <c r="O442" s="277"/>
      <c r="P442" s="277"/>
      <c r="Q442" s="277"/>
      <c r="R442" s="277"/>
      <c r="S442" s="277"/>
      <c r="T442" s="277"/>
      <c r="U442" s="278"/>
      <c r="V442" s="103"/>
      <c r="W442" s="84">
        <f t="shared" ref="W442:W450" si="195">Y442+1</f>
        <v>13</v>
      </c>
      <c r="X442" s="84"/>
      <c r="Y442" s="78">
        <f>SUM(E427:E442)</f>
        <v>12</v>
      </c>
      <c r="Z442" s="72" t="str">
        <f t="shared" si="193"/>
        <v/>
      </c>
      <c r="AA442" s="72" t="str">
        <f t="shared" si="194"/>
        <v/>
      </c>
      <c r="AB442" s="72"/>
      <c r="AC442" s="72">
        <f t="shared" si="179"/>
        <v>1</v>
      </c>
      <c r="AD442" s="72">
        <f t="shared" si="180"/>
        <v>1</v>
      </c>
      <c r="AE442" s="109" t="str">
        <f t="shared" si="181"/>
        <v>0-0</v>
      </c>
      <c r="AF442" s="109" t="str">
        <f t="shared" si="182"/>
        <v>Y</v>
      </c>
      <c r="AG442" s="109" t="str">
        <f t="shared" si="183"/>
        <v>B</v>
      </c>
      <c r="AM442" s="109">
        <f t="shared" si="184"/>
        <v>0</v>
      </c>
      <c r="AN442" s="109">
        <f t="shared" si="185"/>
        <v>0</v>
      </c>
      <c r="AO442" s="109" t="str">
        <f t="shared" si="186"/>
        <v/>
      </c>
      <c r="AQ442" s="109" t="str">
        <f t="shared" si="187"/>
        <v/>
      </c>
      <c r="BA442" s="229">
        <f>MOD(SUM(E427:E443),12)</f>
        <v>0</v>
      </c>
    </row>
    <row r="443" spans="1:53" ht="15.75" thickBot="1" x14ac:dyDescent="0.3">
      <c r="A443" s="88"/>
      <c r="B443" s="66" t="s">
        <v>294</v>
      </c>
      <c r="C443" s="67"/>
      <c r="D443" s="102"/>
      <c r="E443" s="32"/>
      <c r="F443" s="32"/>
      <c r="G443" s="68" t="s">
        <v>277</v>
      </c>
      <c r="H443" s="69">
        <f t="shared" si="188"/>
        <v>0</v>
      </c>
      <c r="I443" s="70">
        <f t="shared" si="189"/>
        <v>0</v>
      </c>
      <c r="J443" s="73" t="str">
        <f t="shared" si="190"/>
        <v>--</v>
      </c>
      <c r="K443" s="32"/>
      <c r="L443" s="233"/>
      <c r="M443" s="277"/>
      <c r="N443" s="277"/>
      <c r="O443" s="277"/>
      <c r="P443" s="277"/>
      <c r="Q443" s="277"/>
      <c r="R443" s="277"/>
      <c r="S443" s="277"/>
      <c r="T443" s="277"/>
      <c r="U443" s="278"/>
      <c r="V443" s="103"/>
      <c r="W443" s="84">
        <f t="shared" si="195"/>
        <v>13</v>
      </c>
      <c r="X443" s="84"/>
      <c r="Y443" s="78">
        <f>SUM(E427:E443)</f>
        <v>12</v>
      </c>
      <c r="Z443" s="72" t="str">
        <f t="shared" si="193"/>
        <v/>
      </c>
      <c r="AA443" s="72" t="str">
        <f t="shared" si="194"/>
        <v/>
      </c>
      <c r="AB443" s="72"/>
      <c r="AC443" s="72">
        <f t="shared" si="179"/>
        <v>1</v>
      </c>
      <c r="AD443" s="72">
        <f t="shared" si="180"/>
        <v>1</v>
      </c>
      <c r="AE443" s="109" t="str">
        <f t="shared" si="181"/>
        <v>0-0</v>
      </c>
      <c r="AF443" s="109" t="str">
        <f t="shared" si="182"/>
        <v>Y</v>
      </c>
      <c r="AG443" s="109" t="str">
        <f t="shared" si="183"/>
        <v>B</v>
      </c>
      <c r="AM443" s="109">
        <f t="shared" si="184"/>
        <v>0</v>
      </c>
      <c r="AN443" s="109">
        <f t="shared" si="185"/>
        <v>0</v>
      </c>
      <c r="AO443" s="109" t="str">
        <f t="shared" si="186"/>
        <v/>
      </c>
      <c r="AQ443" s="109" t="str">
        <f t="shared" si="187"/>
        <v/>
      </c>
      <c r="BA443" s="229">
        <f>MOD(SUM(E427:E444),12)</f>
        <v>0</v>
      </c>
    </row>
    <row r="444" spans="1:53" ht="15.75" thickBot="1" x14ac:dyDescent="0.3">
      <c r="A444" s="88"/>
      <c r="B444" s="66" t="s">
        <v>295</v>
      </c>
      <c r="C444" s="67"/>
      <c r="D444" s="102"/>
      <c r="E444" s="32"/>
      <c r="F444" s="32"/>
      <c r="G444" s="68" t="s">
        <v>277</v>
      </c>
      <c r="H444" s="69">
        <f t="shared" si="188"/>
        <v>0</v>
      </c>
      <c r="I444" s="70">
        <f t="shared" si="189"/>
        <v>0</v>
      </c>
      <c r="J444" s="73" t="str">
        <f t="shared" si="190"/>
        <v>--</v>
      </c>
      <c r="K444" s="32"/>
      <c r="L444" s="233"/>
      <c r="M444" s="277"/>
      <c r="N444" s="277"/>
      <c r="O444" s="277"/>
      <c r="P444" s="277"/>
      <c r="Q444" s="277"/>
      <c r="R444" s="277"/>
      <c r="S444" s="277"/>
      <c r="T444" s="277"/>
      <c r="U444" s="278"/>
      <c r="V444" s="103"/>
      <c r="W444" s="84">
        <f t="shared" si="195"/>
        <v>13</v>
      </c>
      <c r="X444" s="84"/>
      <c r="Y444" s="78">
        <f>SUM(E427:E444)</f>
        <v>12</v>
      </c>
      <c r="Z444" s="72" t="str">
        <f t="shared" si="193"/>
        <v/>
      </c>
      <c r="AA444" s="72" t="str">
        <f t="shared" si="194"/>
        <v/>
      </c>
      <c r="AB444" s="72"/>
      <c r="AC444" s="72">
        <f t="shared" si="179"/>
        <v>1</v>
      </c>
      <c r="AD444" s="72">
        <f t="shared" si="180"/>
        <v>1</v>
      </c>
      <c r="AE444" s="109" t="str">
        <f t="shared" si="181"/>
        <v>0-0</v>
      </c>
      <c r="AF444" s="109" t="str">
        <f t="shared" si="182"/>
        <v>Y</v>
      </c>
      <c r="AG444" s="109" t="str">
        <f t="shared" si="183"/>
        <v>B</v>
      </c>
      <c r="AM444" s="109">
        <f t="shared" si="184"/>
        <v>0</v>
      </c>
      <c r="AN444" s="109">
        <f t="shared" si="185"/>
        <v>0</v>
      </c>
      <c r="AO444" s="109" t="str">
        <f t="shared" si="186"/>
        <v/>
      </c>
      <c r="AQ444" s="109" t="str">
        <f t="shared" si="187"/>
        <v/>
      </c>
      <c r="BA444" s="229">
        <f>MOD(SUM(E427:E445),12)</f>
        <v>0</v>
      </c>
    </row>
    <row r="445" spans="1:53" ht="15.75" thickBot="1" x14ac:dyDescent="0.3">
      <c r="A445" s="88"/>
      <c r="B445" s="66" t="s">
        <v>296</v>
      </c>
      <c r="C445" s="67"/>
      <c r="D445" s="102"/>
      <c r="E445" s="32"/>
      <c r="F445" s="32"/>
      <c r="G445" s="68" t="s">
        <v>277</v>
      </c>
      <c r="H445" s="69">
        <f t="shared" si="188"/>
        <v>0</v>
      </c>
      <c r="I445" s="70">
        <f t="shared" si="189"/>
        <v>0</v>
      </c>
      <c r="J445" s="73" t="str">
        <f t="shared" si="190"/>
        <v>--</v>
      </c>
      <c r="K445" s="32"/>
      <c r="L445" s="233"/>
      <c r="M445" s="277"/>
      <c r="N445" s="277"/>
      <c r="O445" s="277"/>
      <c r="P445" s="277"/>
      <c r="Q445" s="277"/>
      <c r="R445" s="277"/>
      <c r="S445" s="277"/>
      <c r="T445" s="277"/>
      <c r="U445" s="278"/>
      <c r="V445" s="103"/>
      <c r="W445" s="84">
        <f t="shared" si="195"/>
        <v>13</v>
      </c>
      <c r="X445" s="84"/>
      <c r="Y445" s="78">
        <f>SUM(E427:E445)</f>
        <v>12</v>
      </c>
      <c r="Z445" s="72" t="str">
        <f t="shared" si="193"/>
        <v/>
      </c>
      <c r="AA445" s="72" t="str">
        <f t="shared" si="194"/>
        <v/>
      </c>
      <c r="AB445" s="72"/>
      <c r="AC445" s="72">
        <f t="shared" si="179"/>
        <v>1</v>
      </c>
      <c r="AD445" s="72">
        <f t="shared" si="180"/>
        <v>1</v>
      </c>
      <c r="AE445" s="109" t="str">
        <f t="shared" si="181"/>
        <v>0-0</v>
      </c>
      <c r="AF445" s="109" t="str">
        <f t="shared" si="182"/>
        <v>Y</v>
      </c>
      <c r="AG445" s="109" t="str">
        <f t="shared" si="183"/>
        <v>B</v>
      </c>
      <c r="AM445" s="109">
        <f t="shared" si="184"/>
        <v>0</v>
      </c>
      <c r="AN445" s="109">
        <f t="shared" si="185"/>
        <v>0</v>
      </c>
      <c r="AO445" s="109" t="str">
        <f t="shared" si="186"/>
        <v/>
      </c>
      <c r="AQ445" s="109" t="str">
        <f t="shared" si="187"/>
        <v/>
      </c>
      <c r="BA445" s="229">
        <f>MOD(SUM(E427:E446),12)</f>
        <v>0</v>
      </c>
    </row>
    <row r="446" spans="1:53" ht="15.75" thickBot="1" x14ac:dyDescent="0.3">
      <c r="A446" s="88"/>
      <c r="B446" s="66" t="s">
        <v>297</v>
      </c>
      <c r="C446" s="67"/>
      <c r="D446" s="102"/>
      <c r="E446" s="32"/>
      <c r="F446" s="32"/>
      <c r="G446" s="68" t="s">
        <v>277</v>
      </c>
      <c r="H446" s="69">
        <f t="shared" si="188"/>
        <v>0</v>
      </c>
      <c r="I446" s="70">
        <f t="shared" si="189"/>
        <v>0</v>
      </c>
      <c r="J446" s="73" t="str">
        <f t="shared" si="190"/>
        <v>--</v>
      </c>
      <c r="K446" s="32"/>
      <c r="L446" s="233"/>
      <c r="M446" s="277"/>
      <c r="N446" s="277"/>
      <c r="O446" s="277"/>
      <c r="P446" s="277"/>
      <c r="Q446" s="277"/>
      <c r="R446" s="277"/>
      <c r="S446" s="277"/>
      <c r="T446" s="277"/>
      <c r="U446" s="278"/>
      <c r="V446" s="103"/>
      <c r="W446" s="84">
        <f t="shared" si="195"/>
        <v>13</v>
      </c>
      <c r="X446" s="84"/>
      <c r="Y446" s="78">
        <f>SUM(E427:E446)</f>
        <v>12</v>
      </c>
      <c r="Z446" s="72" t="str">
        <f t="shared" si="193"/>
        <v/>
      </c>
      <c r="AA446" s="72" t="str">
        <f t="shared" si="194"/>
        <v/>
      </c>
      <c r="AB446" s="72"/>
      <c r="AC446" s="72">
        <f t="shared" si="179"/>
        <v>1</v>
      </c>
      <c r="AD446" s="72">
        <f t="shared" si="180"/>
        <v>1</v>
      </c>
      <c r="AE446" s="109" t="str">
        <f t="shared" si="181"/>
        <v>0-0</v>
      </c>
      <c r="AF446" s="109" t="str">
        <f t="shared" si="182"/>
        <v>Y</v>
      </c>
      <c r="AG446" s="109" t="str">
        <f t="shared" si="183"/>
        <v>B</v>
      </c>
      <c r="AM446" s="109">
        <f t="shared" si="184"/>
        <v>0</v>
      </c>
      <c r="AN446" s="109">
        <f t="shared" si="185"/>
        <v>0</v>
      </c>
      <c r="AO446" s="109" t="str">
        <f t="shared" si="186"/>
        <v/>
      </c>
      <c r="AQ446" s="109" t="str">
        <f t="shared" si="187"/>
        <v/>
      </c>
      <c r="BA446" s="229">
        <f>MOD(SUM(E427:E447),12)</f>
        <v>0</v>
      </c>
    </row>
    <row r="447" spans="1:53" ht="15.75" thickBot="1" x14ac:dyDescent="0.3">
      <c r="A447" s="88"/>
      <c r="B447" s="66" t="s">
        <v>298</v>
      </c>
      <c r="C447" s="67"/>
      <c r="D447" s="102"/>
      <c r="E447" s="32"/>
      <c r="F447" s="32"/>
      <c r="G447" s="68" t="s">
        <v>277</v>
      </c>
      <c r="H447" s="69">
        <f t="shared" si="188"/>
        <v>0</v>
      </c>
      <c r="I447" s="70">
        <f t="shared" si="189"/>
        <v>0</v>
      </c>
      <c r="J447" s="73" t="str">
        <f t="shared" si="190"/>
        <v>--</v>
      </c>
      <c r="K447" s="32"/>
      <c r="L447" s="233"/>
      <c r="M447" s="277"/>
      <c r="N447" s="277"/>
      <c r="O447" s="277"/>
      <c r="P447" s="277"/>
      <c r="Q447" s="277"/>
      <c r="R447" s="277"/>
      <c r="S447" s="277"/>
      <c r="T447" s="277"/>
      <c r="U447" s="278"/>
      <c r="V447" s="103"/>
      <c r="W447" s="84">
        <f t="shared" si="195"/>
        <v>13</v>
      </c>
      <c r="X447" s="84"/>
      <c r="Y447" s="78">
        <f>SUM(E427:E447)</f>
        <v>12</v>
      </c>
      <c r="Z447" s="72" t="str">
        <f t="shared" si="193"/>
        <v/>
      </c>
      <c r="AA447" s="72" t="str">
        <f t="shared" si="194"/>
        <v/>
      </c>
      <c r="AB447" s="72"/>
      <c r="AC447" s="72">
        <f t="shared" si="179"/>
        <v>1</v>
      </c>
      <c r="AD447" s="72">
        <f t="shared" si="180"/>
        <v>1</v>
      </c>
      <c r="AE447" s="109" t="str">
        <f t="shared" si="181"/>
        <v>0-0</v>
      </c>
      <c r="AF447" s="109" t="str">
        <f t="shared" si="182"/>
        <v>Y</v>
      </c>
      <c r="AG447" s="109" t="str">
        <f t="shared" si="183"/>
        <v>B</v>
      </c>
      <c r="AM447" s="109">
        <f t="shared" si="184"/>
        <v>0</v>
      </c>
      <c r="AN447" s="109">
        <f t="shared" si="185"/>
        <v>0</v>
      </c>
      <c r="AO447" s="109" t="str">
        <f t="shared" si="186"/>
        <v/>
      </c>
      <c r="AQ447" s="109" t="str">
        <f t="shared" si="187"/>
        <v/>
      </c>
      <c r="BA447" s="229">
        <f>MOD(SUM(E427:E448),12)</f>
        <v>0</v>
      </c>
    </row>
    <row r="448" spans="1:53" ht="15.75" thickBot="1" x14ac:dyDescent="0.3">
      <c r="A448" s="88"/>
      <c r="B448" s="66" t="s">
        <v>299</v>
      </c>
      <c r="C448" s="67"/>
      <c r="D448" s="102"/>
      <c r="E448" s="32"/>
      <c r="F448" s="32"/>
      <c r="G448" s="68" t="s">
        <v>277</v>
      </c>
      <c r="H448" s="69">
        <f t="shared" si="188"/>
        <v>0</v>
      </c>
      <c r="I448" s="70">
        <f t="shared" si="189"/>
        <v>0</v>
      </c>
      <c r="J448" s="73" t="str">
        <f t="shared" si="190"/>
        <v>--</v>
      </c>
      <c r="K448" s="32"/>
      <c r="L448" s="233"/>
      <c r="M448" s="277"/>
      <c r="N448" s="277"/>
      <c r="O448" s="277"/>
      <c r="P448" s="277"/>
      <c r="Q448" s="277"/>
      <c r="R448" s="277"/>
      <c r="S448" s="277"/>
      <c r="T448" s="277"/>
      <c r="U448" s="278"/>
      <c r="V448" s="103"/>
      <c r="W448" s="84">
        <f t="shared" si="195"/>
        <v>13</v>
      </c>
      <c r="X448" s="84"/>
      <c r="Y448" s="78">
        <f>SUM(E427:E448)</f>
        <v>12</v>
      </c>
      <c r="Z448" s="72" t="str">
        <f t="shared" si="193"/>
        <v/>
      </c>
      <c r="AA448" s="72" t="str">
        <f t="shared" si="194"/>
        <v/>
      </c>
      <c r="AB448" s="72"/>
      <c r="AC448" s="72">
        <f t="shared" si="179"/>
        <v>1</v>
      </c>
      <c r="AD448" s="72">
        <f t="shared" si="180"/>
        <v>1</v>
      </c>
      <c r="AE448" s="109" t="str">
        <f t="shared" si="181"/>
        <v>0-0</v>
      </c>
      <c r="AF448" s="109" t="str">
        <f t="shared" si="182"/>
        <v>Y</v>
      </c>
      <c r="AG448" s="109" t="str">
        <f t="shared" si="183"/>
        <v>B</v>
      </c>
      <c r="AM448" s="109">
        <f t="shared" si="184"/>
        <v>0</v>
      </c>
      <c r="AN448" s="109">
        <f t="shared" si="185"/>
        <v>0</v>
      </c>
      <c r="AO448" s="109" t="str">
        <f t="shared" si="186"/>
        <v/>
      </c>
      <c r="AQ448" s="109" t="str">
        <f t="shared" si="187"/>
        <v/>
      </c>
      <c r="BA448" s="229">
        <f>MOD(SUM(E427:E449),12)</f>
        <v>0</v>
      </c>
    </row>
    <row r="449" spans="1:53" ht="15.75" thickBot="1" x14ac:dyDescent="0.3">
      <c r="A449" s="88"/>
      <c r="B449" s="66" t="s">
        <v>300</v>
      </c>
      <c r="C449" s="67"/>
      <c r="D449" s="102"/>
      <c r="E449" s="32"/>
      <c r="F449" s="32"/>
      <c r="G449" s="68" t="s">
        <v>277</v>
      </c>
      <c r="H449" s="69">
        <f t="shared" si="188"/>
        <v>0</v>
      </c>
      <c r="I449" s="70">
        <f t="shared" si="189"/>
        <v>0</v>
      </c>
      <c r="J449" s="73" t="str">
        <f t="shared" si="190"/>
        <v>--</v>
      </c>
      <c r="K449" s="32"/>
      <c r="L449" s="233"/>
      <c r="M449" s="277"/>
      <c r="N449" s="277"/>
      <c r="O449" s="277"/>
      <c r="P449" s="277"/>
      <c r="Q449" s="277"/>
      <c r="R449" s="277"/>
      <c r="S449" s="277"/>
      <c r="T449" s="277"/>
      <c r="U449" s="278"/>
      <c r="V449" s="103"/>
      <c r="W449" s="84">
        <f t="shared" si="195"/>
        <v>13</v>
      </c>
      <c r="X449" s="84"/>
      <c r="Y449" s="78">
        <f>SUM(E427:E449)</f>
        <v>12</v>
      </c>
      <c r="Z449" s="72" t="str">
        <f t="shared" si="193"/>
        <v/>
      </c>
      <c r="AA449" s="72" t="str">
        <f t="shared" si="194"/>
        <v/>
      </c>
      <c r="AB449" s="72"/>
      <c r="AC449" s="72">
        <f t="shared" si="179"/>
        <v>1</v>
      </c>
      <c r="AD449" s="72">
        <f t="shared" si="180"/>
        <v>1</v>
      </c>
      <c r="AE449" s="109" t="str">
        <f t="shared" si="181"/>
        <v>0-0</v>
      </c>
      <c r="AF449" s="109" t="str">
        <f t="shared" si="182"/>
        <v>Y</v>
      </c>
      <c r="AG449" s="109" t="str">
        <f t="shared" si="183"/>
        <v>B</v>
      </c>
      <c r="AM449" s="109">
        <f t="shared" si="184"/>
        <v>0</v>
      </c>
      <c r="AN449" s="109">
        <f t="shared" si="185"/>
        <v>0</v>
      </c>
      <c r="AO449" s="109" t="str">
        <f t="shared" si="186"/>
        <v/>
      </c>
      <c r="AQ449" s="109" t="str">
        <f t="shared" si="187"/>
        <v/>
      </c>
      <c r="BA449" s="229">
        <f>MOD(SUM(E427:E450),12)</f>
        <v>0</v>
      </c>
    </row>
    <row r="450" spans="1:53" ht="15.75" thickBot="1" x14ac:dyDescent="0.3">
      <c r="A450" s="88"/>
      <c r="B450" s="66" t="s">
        <v>301</v>
      </c>
      <c r="C450" s="67"/>
      <c r="D450" s="102"/>
      <c r="E450" s="32"/>
      <c r="F450" s="32"/>
      <c r="G450" s="68" t="s">
        <v>277</v>
      </c>
      <c r="H450" s="69">
        <f t="shared" si="188"/>
        <v>0</v>
      </c>
      <c r="I450" s="70">
        <f t="shared" si="189"/>
        <v>0</v>
      </c>
      <c r="J450" s="73" t="str">
        <f t="shared" si="190"/>
        <v>--</v>
      </c>
      <c r="K450" s="32"/>
      <c r="L450" s="233"/>
      <c r="M450" s="277"/>
      <c r="N450" s="277"/>
      <c r="O450" s="277"/>
      <c r="P450" s="277"/>
      <c r="Q450" s="277"/>
      <c r="R450" s="277"/>
      <c r="S450" s="277"/>
      <c r="T450" s="277"/>
      <c r="U450" s="278"/>
      <c r="V450" s="103"/>
      <c r="W450" s="84">
        <f t="shared" si="195"/>
        <v>13</v>
      </c>
      <c r="X450" s="84"/>
      <c r="Y450" s="78">
        <f>SUM(E427:E450)</f>
        <v>12</v>
      </c>
      <c r="Z450" s="72" t="str">
        <f t="shared" si="193"/>
        <v/>
      </c>
      <c r="AA450" s="72" t="str">
        <f t="shared" si="194"/>
        <v/>
      </c>
      <c r="AB450" s="72"/>
      <c r="AC450" s="72">
        <f t="shared" si="179"/>
        <v>1</v>
      </c>
      <c r="AD450" s="72">
        <f t="shared" si="180"/>
        <v>1</v>
      </c>
      <c r="AE450" s="109" t="str">
        <f t="shared" si="181"/>
        <v>0-0</v>
      </c>
      <c r="AF450" s="109" t="str">
        <f t="shared" si="182"/>
        <v>Y</v>
      </c>
      <c r="AG450" s="109" t="str">
        <f t="shared" si="183"/>
        <v>B</v>
      </c>
      <c r="AM450" s="109">
        <f t="shared" si="184"/>
        <v>0</v>
      </c>
      <c r="AN450" s="109">
        <f t="shared" si="185"/>
        <v>0</v>
      </c>
      <c r="AO450" s="109" t="str">
        <f t="shared" si="186"/>
        <v/>
      </c>
      <c r="AQ450" s="109" t="str">
        <f t="shared" si="187"/>
        <v/>
      </c>
      <c r="BA450" s="229">
        <f>MOD(SUM(E427:E451),12)</f>
        <v>0</v>
      </c>
    </row>
    <row r="451" spans="1:53" ht="15.75" thickBot="1" x14ac:dyDescent="0.3">
      <c r="A451" s="88"/>
      <c r="B451" s="66" t="s">
        <v>302</v>
      </c>
      <c r="C451" s="67"/>
      <c r="D451" s="102"/>
      <c r="E451" s="32"/>
      <c r="F451" s="32"/>
      <c r="G451" s="68" t="s">
        <v>277</v>
      </c>
      <c r="H451" s="69">
        <f t="shared" si="188"/>
        <v>0</v>
      </c>
      <c r="I451" s="70">
        <f t="shared" si="189"/>
        <v>0</v>
      </c>
      <c r="J451" s="73" t="str">
        <f t="shared" si="190"/>
        <v>--</v>
      </c>
      <c r="K451" s="32"/>
      <c r="L451" s="234"/>
      <c r="M451" s="277"/>
      <c r="N451" s="277"/>
      <c r="O451" s="277"/>
      <c r="P451" s="277"/>
      <c r="Q451" s="277"/>
      <c r="R451" s="277"/>
      <c r="S451" s="277"/>
      <c r="T451" s="277"/>
      <c r="U451" s="278"/>
      <c r="V451" s="103"/>
      <c r="W451" s="72"/>
      <c r="X451" s="72"/>
      <c r="Y451" s="78">
        <f>SUM(E427:E451)</f>
        <v>12</v>
      </c>
      <c r="Z451" s="72" t="str">
        <f t="shared" si="193"/>
        <v/>
      </c>
      <c r="AA451" s="72" t="str">
        <f t="shared" si="194"/>
        <v/>
      </c>
      <c r="AB451" s="72"/>
      <c r="AC451" s="72">
        <f t="shared" si="179"/>
        <v>1</v>
      </c>
      <c r="AD451" s="72">
        <f t="shared" si="180"/>
        <v>1</v>
      </c>
      <c r="AE451" s="109" t="str">
        <f t="shared" si="181"/>
        <v>0-0</v>
      </c>
      <c r="AF451" s="109" t="str">
        <f t="shared" si="182"/>
        <v>Y</v>
      </c>
      <c r="AG451" s="109" t="str">
        <f t="shared" si="183"/>
        <v>B</v>
      </c>
      <c r="AM451" s="109">
        <f t="shared" si="184"/>
        <v>0</v>
      </c>
      <c r="AN451" s="109">
        <f t="shared" si="185"/>
        <v>0</v>
      </c>
      <c r="AO451" s="109" t="str">
        <f t="shared" si="186"/>
        <v/>
      </c>
      <c r="AQ451" s="109" t="str">
        <f t="shared" si="187"/>
        <v/>
      </c>
      <c r="BA451" s="228"/>
    </row>
    <row r="452" spans="1:53" ht="16.5" thickBot="1" x14ac:dyDescent="0.3">
      <c r="A452" s="88"/>
      <c r="B452" s="319" t="s">
        <v>325</v>
      </c>
      <c r="C452" s="320"/>
      <c r="D452" s="79"/>
      <c r="E452" s="80"/>
      <c r="F452" s="80"/>
      <c r="G452" s="81"/>
      <c r="H452" s="192"/>
      <c r="I452" s="192"/>
      <c r="J452" s="192"/>
      <c r="K452" s="82"/>
      <c r="L452" s="319" t="s">
        <v>306</v>
      </c>
      <c r="M452" s="330"/>
      <c r="N452" s="330"/>
      <c r="O452" s="330"/>
      <c r="P452" s="330"/>
      <c r="Q452" s="330"/>
      <c r="R452" s="330"/>
      <c r="S452" s="330"/>
      <c r="T452" s="330"/>
      <c r="U452" s="320"/>
      <c r="V452" s="104"/>
      <c r="W452" s="72"/>
      <c r="X452" s="72"/>
      <c r="Y452" s="72"/>
      <c r="Z452" s="72"/>
      <c r="AA452" s="72" t="str">
        <f t="shared" si="194"/>
        <v/>
      </c>
      <c r="AB452" s="72"/>
      <c r="AC452" s="72">
        <f>SUM(AC427:AC451)</f>
        <v>25</v>
      </c>
      <c r="AD452" s="72">
        <f>SUM(AD427:AD451)</f>
        <v>22</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319" t="s">
        <v>307</v>
      </c>
      <c r="C453" s="320"/>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94"/>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312" t="s">
        <v>222</v>
      </c>
      <c r="C457" s="313"/>
      <c r="D457" s="314" t="s">
        <v>223</v>
      </c>
      <c r="E457" s="305"/>
      <c r="F457" s="88"/>
      <c r="G457" s="315" t="s">
        <v>224</v>
      </c>
      <c r="H457" s="316"/>
      <c r="I457" s="28">
        <f>SUM(E468:E492)</f>
        <v>60</v>
      </c>
      <c r="J457" s="317" t="s">
        <v>225</v>
      </c>
      <c r="K457" s="318"/>
      <c r="L457" s="305"/>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5" t="s">
        <v>226</v>
      </c>
      <c r="AA457" s="296"/>
      <c r="AB457" s="297"/>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EUC</v>
      </c>
      <c r="F458" s="88"/>
      <c r="G458" s="304" t="s">
        <v>230</v>
      </c>
      <c r="H458" s="305"/>
      <c r="I458" s="33">
        <f>E459-I457</f>
        <v>12</v>
      </c>
      <c r="J458" s="289" t="s">
        <v>231</v>
      </c>
      <c r="K458" s="290"/>
      <c r="L458" s="34">
        <f>I462</f>
        <v>601</v>
      </c>
      <c r="M458" s="196">
        <v>4</v>
      </c>
      <c r="N458" s="35">
        <f>SUM(AI458,AI469)</f>
        <v>0</v>
      </c>
      <c r="O458" s="35">
        <v>0</v>
      </c>
      <c r="P458" s="35">
        <f>SUM(AJ458,AJ469)</f>
        <v>0</v>
      </c>
      <c r="Q458" s="35">
        <v>0</v>
      </c>
      <c r="R458" s="35">
        <f>COUNTIFS($E468:$E492,"4",$F468:$F492,"Pole",$C468:$C492,"FST")</f>
        <v>0</v>
      </c>
      <c r="S458" s="35">
        <f>SUM(AL458,AK469)</f>
        <v>0</v>
      </c>
      <c r="T458" s="35">
        <v>0</v>
      </c>
      <c r="U458" s="35">
        <f>SUM(AK458,AL469)</f>
        <v>1</v>
      </c>
      <c r="V458" s="35">
        <v>0</v>
      </c>
      <c r="W458" s="34">
        <f>COUNTIFS($E468:$E492,"4",$F468:$F492,"HH",$C468:$C492,"FST")</f>
        <v>1</v>
      </c>
      <c r="X458" s="35">
        <f>COUNTIFS($E468:$E492,"4",$F468:$F492,"Ped",$C468:$C492,"FST")</f>
        <v>0</v>
      </c>
      <c r="Y458" s="25"/>
      <c r="Z458" s="298" t="s">
        <v>232</v>
      </c>
      <c r="AA458" s="300" t="s">
        <v>233</v>
      </c>
      <c r="AB458" s="301"/>
      <c r="AC458" s="25"/>
      <c r="AD458" s="25"/>
      <c r="AH458" s="109">
        <v>4</v>
      </c>
      <c r="AI458" s="109" t="str">
        <f>IF($E458="SS",COUNTIFS($C468:$C492,"FST",$E468:$E492,"4"),"0")</f>
        <v>0</v>
      </c>
      <c r="AJ458" s="109" t="str">
        <f>IF($E458="RPX",COUNTIFS($C468:$C492,"FST",$E468:$E492,"4"),"0")</f>
        <v>0</v>
      </c>
      <c r="AK458" s="109">
        <f>IF($E458="EUC",COUNTIFS($C468:$C492,"FST",$E468:$E492,"4"),"0")</f>
        <v>1</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v>72</v>
      </c>
      <c r="F459" s="88"/>
      <c r="G459" s="291" t="s">
        <v>237</v>
      </c>
      <c r="H459" s="292"/>
      <c r="I459" s="35">
        <f>IF(E459=0,0,12-(MOD(I457,12)))</f>
        <v>12</v>
      </c>
      <c r="J459" s="289" t="s">
        <v>238</v>
      </c>
      <c r="K459" s="290"/>
      <c r="L459" s="39">
        <f>I463-I457</f>
        <v>600</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299"/>
      <c r="AA459" s="302"/>
      <c r="AB459" s="303"/>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12</v>
      </c>
      <c r="F460" s="88"/>
      <c r="G460" s="321" t="s">
        <v>242</v>
      </c>
      <c r="H460" s="43" t="s">
        <v>243</v>
      </c>
      <c r="I460" s="35">
        <f>IF(E460&lt;&gt;0,1,0)</f>
        <v>1</v>
      </c>
      <c r="J460" s="291" t="s">
        <v>244</v>
      </c>
      <c r="K460" s="292"/>
      <c r="L460" s="44">
        <f>'Cable Calculator'!BG3</f>
        <v>459</v>
      </c>
      <c r="M460" s="196">
        <v>8</v>
      </c>
      <c r="N460" s="35">
        <f>SUM(AI460,AI471)</f>
        <v>0</v>
      </c>
      <c r="O460" s="35">
        <v>0</v>
      </c>
      <c r="P460" s="35">
        <f>SUM(AJ460,AJ471)</f>
        <v>0</v>
      </c>
      <c r="Q460" s="35">
        <v>0</v>
      </c>
      <c r="R460" s="35">
        <f>COUNTIFS($E468:$E492,"8",$F468:$F492,"Pole",$C468:$C492,"FST")</f>
        <v>0</v>
      </c>
      <c r="S460" s="35">
        <f>SUM(AL460,AK471)</f>
        <v>0</v>
      </c>
      <c r="T460" s="35">
        <v>0</v>
      </c>
      <c r="U460" s="35">
        <f>SUM(AK460,AL471)</f>
        <v>1</v>
      </c>
      <c r="V460" s="35">
        <v>0</v>
      </c>
      <c r="W460" s="34">
        <f>COUNTIFS($E468:$E492,"8",$F468:$F492,"HH",$C468:$C492,"FST")</f>
        <v>1</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1</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601</v>
      </c>
      <c r="F461" s="88"/>
      <c r="G461" s="322"/>
      <c r="H461" s="47" t="s">
        <v>248</v>
      </c>
      <c r="I461" s="35">
        <f>IF(E460&lt;&gt;0,E460,0)</f>
        <v>12</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f>IF($E458="EUC",SUM(AK461,AL472,AM493,AO493,AQ493),"0")</f>
        <v>0</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6</v>
      </c>
      <c r="F462" s="88"/>
      <c r="G462" s="321" t="s">
        <v>251</v>
      </c>
      <c r="H462" s="51" t="s">
        <v>252</v>
      </c>
      <c r="I462" s="112">
        <f>E461</f>
        <v>601</v>
      </c>
      <c r="J462" s="323" t="s">
        <v>253</v>
      </c>
      <c r="K462" s="324"/>
      <c r="L462" s="325"/>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N</v>
      </c>
      <c r="F463" s="88"/>
      <c r="G463" s="322"/>
      <c r="H463" s="47" t="s">
        <v>257</v>
      </c>
      <c r="I463" s="35">
        <f>IF(E461="","0",IF(AND(E458="EUC",E459=432), I462+(203-E460),IF(E461=0,0,(E461+(E459-E460)-1))))</f>
        <v>660</v>
      </c>
      <c r="J463" s="285" t="str">
        <f>IFERROR(IF(OR(E458="EUC",E458="SS"),"---",IF(OR(P457,S457),"NO 2F Tethers for RPX!",IF(OR(P459,S459),"NO 6F Tethers for RPX!","---"))),"---")</f>
        <v>---</v>
      </c>
      <c r="K463" s="286"/>
      <c r="L463" s="287"/>
      <c r="M463" s="285" t="str">
        <f>IF(E460&gt;60,"Dead Count &gt;60: Consider Downsize","---")</f>
        <v>---</v>
      </c>
      <c r="N463" s="286"/>
      <c r="O463" s="286"/>
      <c r="P463" s="286"/>
      <c r="Q463" s="286"/>
      <c r="R463" s="286"/>
      <c r="S463" s="286"/>
      <c r="T463" s="286"/>
      <c r="U463" s="287"/>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60</v>
      </c>
      <c r="D464" s="31" t="s">
        <v>259</v>
      </c>
      <c r="E464" s="101" t="str">
        <f>IF(AS458="Y","DBL",IF(AS459="Y","TRPL",IF(AS460="Y","QUAD","")))</f>
        <v/>
      </c>
      <c r="F464" s="88"/>
      <c r="G464" s="192"/>
      <c r="H464" s="57"/>
      <c r="I464" s="192"/>
      <c r="J464" s="285"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86"/>
      <c r="L464" s="287"/>
      <c r="M464" s="285" t="str">
        <f>IF(AND(OR(E458="SS",E458="RPX",E458="EUC",E458="RPX-T"),(OR(C468="",C468="Field SPL"))),"Cannot have FlexNap cables without tethers","---")</f>
        <v>---</v>
      </c>
      <c r="N464" s="286"/>
      <c r="O464" s="286"/>
      <c r="P464" s="286"/>
      <c r="Q464" s="286"/>
      <c r="R464" s="286"/>
      <c r="S464" s="286"/>
      <c r="T464" s="286"/>
      <c r="U464" s="287"/>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85" t="str">
        <f>IF(AND(OR(E458="RPX", E458="RPX-T", E458="SS"),E459=216),"NO 216 For RPX, RPX-T, OR SS CABLE","---")</f>
        <v>---</v>
      </c>
      <c r="K465" s="286"/>
      <c r="L465" s="287"/>
      <c r="M465" s="285" t="str" cm="1">
        <f t="array" ref="M465">IF(AND(E458="",OR(C468:C492="FST",C468:C492="REV T",C468:C492="DBL REV",C468:C492="TPL REV", C468:C492="QD REV")),"Non-FlexNap cables cannot have tethers","---")</f>
        <v>---</v>
      </c>
      <c r="N465" s="286"/>
      <c r="O465" s="286"/>
      <c r="P465" s="286"/>
      <c r="Q465" s="286"/>
      <c r="R465" s="286"/>
      <c r="S465" s="286"/>
      <c r="T465" s="286"/>
      <c r="U465" s="287"/>
      <c r="V465" s="25"/>
      <c r="W465" s="58"/>
      <c r="X465" s="58"/>
      <c r="Y465" s="25"/>
      <c r="Z465" s="45">
        <v>6</v>
      </c>
      <c r="AA465" s="65">
        <v>61</v>
      </c>
      <c r="AB465" s="65">
        <v>72</v>
      </c>
      <c r="AC465" s="25"/>
      <c r="AD465" s="25"/>
      <c r="BA465" s="226"/>
    </row>
    <row r="466" spans="1:53" ht="15.75" customHeight="1" thickBot="1" x14ac:dyDescent="0.3">
      <c r="A466" s="88"/>
      <c r="B466" s="321" t="s">
        <v>260</v>
      </c>
      <c r="C466" s="293" t="s">
        <v>261</v>
      </c>
      <c r="D466" s="293" t="s">
        <v>262</v>
      </c>
      <c r="E466" s="306" t="s">
        <v>263</v>
      </c>
      <c r="F466" s="293" t="s">
        <v>264</v>
      </c>
      <c r="G466" s="308" t="s">
        <v>265</v>
      </c>
      <c r="H466" s="308" t="s">
        <v>266</v>
      </c>
      <c r="I466" s="308" t="s">
        <v>267</v>
      </c>
      <c r="J466" s="310" t="s">
        <v>268</v>
      </c>
      <c r="K466" s="293" t="s">
        <v>269</v>
      </c>
      <c r="L466" s="279" t="s">
        <v>270</v>
      </c>
      <c r="M466" s="281" t="s">
        <v>271</v>
      </c>
      <c r="N466" s="281"/>
      <c r="O466" s="281"/>
      <c r="P466" s="281"/>
      <c r="Q466" s="281"/>
      <c r="R466" s="281"/>
      <c r="S466" s="281"/>
      <c r="T466" s="281"/>
      <c r="U466" s="282"/>
      <c r="V466" s="107"/>
      <c r="W466" s="72"/>
      <c r="X466" s="72"/>
      <c r="Y466" s="72"/>
      <c r="Z466" s="45">
        <v>7</v>
      </c>
      <c r="AA466" s="65">
        <v>73</v>
      </c>
      <c r="AB466" s="65">
        <v>84</v>
      </c>
      <c r="AC466" s="25"/>
      <c r="AD466" s="25"/>
      <c r="BA466" s="228"/>
    </row>
    <row r="467" spans="1:53" ht="15.75" thickBot="1" x14ac:dyDescent="0.3">
      <c r="A467" s="88"/>
      <c r="B467" s="322"/>
      <c r="C467" s="294"/>
      <c r="D467" s="294"/>
      <c r="E467" s="307"/>
      <c r="F467" s="294"/>
      <c r="G467" s="309"/>
      <c r="H467" s="309"/>
      <c r="I467" s="309"/>
      <c r="J467" s="311"/>
      <c r="K467" s="294"/>
      <c r="L467" s="280"/>
      <c r="M467" s="283"/>
      <c r="N467" s="283"/>
      <c r="O467" s="283"/>
      <c r="P467" s="283"/>
      <c r="Q467" s="283"/>
      <c r="R467" s="283"/>
      <c r="S467" s="283"/>
      <c r="T467" s="283"/>
      <c r="U467" s="284"/>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762</v>
      </c>
      <c r="E468" s="32">
        <v>8</v>
      </c>
      <c r="F468" s="32" t="s">
        <v>488</v>
      </c>
      <c r="G468" s="68" t="s">
        <v>277</v>
      </c>
      <c r="H468" s="69">
        <f>IF(I468=0,0,I468-(E468-1))</f>
        <v>653</v>
      </c>
      <c r="I468" s="70">
        <f>IF(E468=0,0,I463)</f>
        <v>660</v>
      </c>
      <c r="J468" s="71" t="s">
        <v>278</v>
      </c>
      <c r="K468" s="32"/>
      <c r="L468" s="233"/>
      <c r="M468" s="277"/>
      <c r="N468" s="277"/>
      <c r="O468" s="277"/>
      <c r="P468" s="277"/>
      <c r="Q468" s="277"/>
      <c r="R468" s="277"/>
      <c r="S468" s="277"/>
      <c r="T468" s="277"/>
      <c r="U468" s="278"/>
      <c r="V468" s="103"/>
      <c r="W468" s="72"/>
      <c r="X468" s="72"/>
      <c r="Y468" s="72"/>
      <c r="Z468" s="45">
        <v>9</v>
      </c>
      <c r="AA468" s="46">
        <v>97</v>
      </c>
      <c r="AB468" s="46">
        <v>108</v>
      </c>
      <c r="AC468" s="72">
        <f t="shared" ref="AC468:AC492" si="196">IF(B468&lt;&gt;"FST",1,0)</f>
        <v>1</v>
      </c>
      <c r="AD468" s="72">
        <f t="shared" ref="AD468:AD492" si="197">IF(C468&lt;&gt;"FST",1,0)</f>
        <v>0</v>
      </c>
      <c r="AE468" s="109" t="str">
        <f t="shared" ref="AE468:AE492" si="198">CONCATENATE(H468,"-",I468)</f>
        <v>653-660</v>
      </c>
      <c r="AF468" s="109" t="str">
        <f t="shared" ref="AF468:AF492" si="199">IF(C468="Field SPL","N","Y")</f>
        <v>Y</v>
      </c>
      <c r="AG468" s="109" t="str">
        <f t="shared" ref="AG468:AG492" si="200">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201">VALUE(IF(C468="FST","0",IF(C468="REV T","1",IF(C468="DBL REV",".5","0"))))</f>
        <v>0</v>
      </c>
      <c r="AN468" s="109">
        <f t="shared" ref="AN468:AN492" si="202">VALUE(IF(C468="FST","0",IF(C468="REV T","0",IF(C468="DBL REV",".5","0"))))</f>
        <v>0</v>
      </c>
      <c r="AO468" s="109" t="str">
        <f t="shared" ref="AO468:AO492" si="203">IF(C468="TPL REV","Y","")</f>
        <v/>
      </c>
      <c r="AQ468" s="109" t="str">
        <f t="shared" ref="AQ468:AQ492" si="204">IF(C468="QD REV","Y","")</f>
        <v/>
      </c>
      <c r="BA468" s="229">
        <f>MOD(E468,12)</f>
        <v>8</v>
      </c>
    </row>
    <row r="469" spans="1:53" ht="15.75" thickBot="1" x14ac:dyDescent="0.3">
      <c r="A469" s="88"/>
      <c r="B469" s="66" t="s">
        <v>279</v>
      </c>
      <c r="C469" s="67" t="s">
        <v>484</v>
      </c>
      <c r="D469" s="102" t="s">
        <v>763</v>
      </c>
      <c r="E469" s="32">
        <v>4</v>
      </c>
      <c r="F469" s="32" t="s">
        <v>488</v>
      </c>
      <c r="G469" s="68" t="s">
        <v>277</v>
      </c>
      <c r="H469" s="69">
        <f t="shared" ref="H469:H492" si="205">IF(E469=0,0,I469-(E469-1))</f>
        <v>649</v>
      </c>
      <c r="I469" s="70">
        <f t="shared" ref="I469:I492" si="206">IF(E469=0,0,H468-1)</f>
        <v>652</v>
      </c>
      <c r="J469" s="73" t="str">
        <f>IF(C469="","--",IF(AND(C469&lt;&gt;"FST",C469&lt;&gt;"TCF",BA468&lt;&gt;0),BA468,"--"))</f>
        <v>--</v>
      </c>
      <c r="K469" s="32"/>
      <c r="L469" s="233"/>
      <c r="M469" s="277"/>
      <c r="N469" s="277"/>
      <c r="O469" s="277"/>
      <c r="P469" s="277"/>
      <c r="Q469" s="277"/>
      <c r="R469" s="277"/>
      <c r="S469" s="277"/>
      <c r="T469" s="277"/>
      <c r="U469" s="278"/>
      <c r="V469" s="103"/>
      <c r="W469" s="72"/>
      <c r="X469" s="72"/>
      <c r="Y469" s="72"/>
      <c r="Z469" s="45">
        <v>10</v>
      </c>
      <c r="AA469" s="46">
        <v>109</v>
      </c>
      <c r="AB469" s="46">
        <v>120</v>
      </c>
      <c r="AC469" s="72">
        <f t="shared" si="196"/>
        <v>1</v>
      </c>
      <c r="AD469" s="72">
        <f t="shared" si="197"/>
        <v>0</v>
      </c>
      <c r="AE469" s="109" t="str">
        <f t="shared" si="198"/>
        <v>649-652</v>
      </c>
      <c r="AF469" s="109" t="str">
        <f t="shared" si="199"/>
        <v>Y</v>
      </c>
      <c r="AG469" s="109" t="str">
        <f t="shared" si="200"/>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201"/>
        <v>0</v>
      </c>
      <c r="AN469" s="109">
        <f t="shared" si="202"/>
        <v>0</v>
      </c>
      <c r="AO469" s="109" t="str">
        <f t="shared" si="203"/>
        <v/>
      </c>
      <c r="AQ469" s="109" t="str">
        <f t="shared" si="204"/>
        <v/>
      </c>
      <c r="BA469" s="229">
        <f>MOD(SUM(E468:E469),12)</f>
        <v>0</v>
      </c>
    </row>
    <row r="470" spans="1:53" ht="15.75" thickBot="1" x14ac:dyDescent="0.3">
      <c r="A470" s="88"/>
      <c r="B470" s="74" t="s">
        <v>280</v>
      </c>
      <c r="C470" s="67" t="s">
        <v>502</v>
      </c>
      <c r="D470" s="102"/>
      <c r="E470" s="32">
        <v>12</v>
      </c>
      <c r="F470" s="32"/>
      <c r="G470" s="75" t="s">
        <v>277</v>
      </c>
      <c r="H470" s="69">
        <f t="shared" si="205"/>
        <v>637</v>
      </c>
      <c r="I470" s="70">
        <f t="shared" si="206"/>
        <v>648</v>
      </c>
      <c r="J470" s="73" t="str">
        <f t="shared" ref="J470:J492" si="207">IF(C470="","--",IF(AND(C470&lt;&gt;"FST",C470&lt;&gt;"TCF",BA469&lt;&gt;0),BA469,"--"))</f>
        <v>--</v>
      </c>
      <c r="K470" s="32"/>
      <c r="L470" s="233"/>
      <c r="M470" s="277" t="s">
        <v>415</v>
      </c>
      <c r="N470" s="277"/>
      <c r="O470" s="277"/>
      <c r="P470" s="277"/>
      <c r="Q470" s="277"/>
      <c r="R470" s="277"/>
      <c r="S470" s="277"/>
      <c r="T470" s="277"/>
      <c r="U470" s="278"/>
      <c r="V470" s="103"/>
      <c r="W470" s="72"/>
      <c r="X470" s="72"/>
      <c r="Y470" s="72"/>
      <c r="Z470" s="45">
        <v>11</v>
      </c>
      <c r="AA470" s="46">
        <v>121</v>
      </c>
      <c r="AB470" s="46">
        <v>132</v>
      </c>
      <c r="AC470" s="72">
        <f t="shared" si="196"/>
        <v>1</v>
      </c>
      <c r="AD470" s="72">
        <f t="shared" si="197"/>
        <v>1</v>
      </c>
      <c r="AE470" s="109" t="str">
        <f t="shared" si="198"/>
        <v>637-648</v>
      </c>
      <c r="AF470" s="109" t="str">
        <f t="shared" si="199"/>
        <v>N</v>
      </c>
      <c r="AG470" s="109" t="str">
        <f t="shared" si="200"/>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201"/>
        <v>0</v>
      </c>
      <c r="AN470" s="109">
        <f t="shared" si="202"/>
        <v>0</v>
      </c>
      <c r="AO470" s="109" t="str">
        <f t="shared" si="203"/>
        <v/>
      </c>
      <c r="AQ470" s="109" t="str">
        <f t="shared" si="204"/>
        <v/>
      </c>
      <c r="BA470" s="229">
        <f>MOD(SUM(E468:E471),12)</f>
        <v>0</v>
      </c>
    </row>
    <row r="471" spans="1:53" ht="15.75" thickBot="1" x14ac:dyDescent="0.3">
      <c r="A471" s="88"/>
      <c r="B471" s="66" t="s">
        <v>281</v>
      </c>
      <c r="C471" s="67" t="s">
        <v>502</v>
      </c>
      <c r="D471" s="102"/>
      <c r="E471" s="32">
        <v>36</v>
      </c>
      <c r="F471" s="32"/>
      <c r="G471" s="68" t="s">
        <v>277</v>
      </c>
      <c r="H471" s="69">
        <f t="shared" si="205"/>
        <v>601</v>
      </c>
      <c r="I471" s="70">
        <f t="shared" si="206"/>
        <v>636</v>
      </c>
      <c r="J471" s="73" t="str">
        <f t="shared" si="207"/>
        <v>--</v>
      </c>
      <c r="K471" s="32"/>
      <c r="L471" s="233"/>
      <c r="M471" s="277" t="s">
        <v>416</v>
      </c>
      <c r="N471" s="277"/>
      <c r="O471" s="277"/>
      <c r="P471" s="277"/>
      <c r="Q471" s="277"/>
      <c r="R471" s="277"/>
      <c r="S471" s="277"/>
      <c r="T471" s="277"/>
      <c r="U471" s="278"/>
      <c r="V471" s="103"/>
      <c r="W471" s="72"/>
      <c r="X471" s="72"/>
      <c r="Y471" s="72"/>
      <c r="Z471" s="45">
        <v>12</v>
      </c>
      <c r="AA471" s="76">
        <v>133</v>
      </c>
      <c r="AB471" s="76">
        <v>144</v>
      </c>
      <c r="AC471" s="72">
        <f t="shared" si="196"/>
        <v>1</v>
      </c>
      <c r="AD471" s="72">
        <f t="shared" si="197"/>
        <v>1</v>
      </c>
      <c r="AE471" s="109" t="str">
        <f t="shared" si="198"/>
        <v>601-636</v>
      </c>
      <c r="AF471" s="109" t="str">
        <f t="shared" si="199"/>
        <v>N</v>
      </c>
      <c r="AG471" s="109" t="str">
        <f t="shared" si="200"/>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201"/>
        <v>0</v>
      </c>
      <c r="AN471" s="109">
        <f t="shared" si="202"/>
        <v>0</v>
      </c>
      <c r="AO471" s="109" t="str">
        <f t="shared" si="203"/>
        <v/>
      </c>
      <c r="AQ471" s="109" t="str">
        <f t="shared" si="204"/>
        <v/>
      </c>
      <c r="BA471" s="229">
        <f>MOD(SUM(E468:E472),12)</f>
        <v>0</v>
      </c>
    </row>
    <row r="472" spans="1:53" ht="15.75" thickBot="1" x14ac:dyDescent="0.3">
      <c r="A472" s="88"/>
      <c r="B472" s="66" t="s">
        <v>282</v>
      </c>
      <c r="C472" s="67"/>
      <c r="D472" s="102"/>
      <c r="E472" s="32"/>
      <c r="F472" s="32"/>
      <c r="G472" s="68" t="s">
        <v>277</v>
      </c>
      <c r="H472" s="69">
        <f t="shared" si="205"/>
        <v>0</v>
      </c>
      <c r="I472" s="70">
        <f t="shared" si="206"/>
        <v>0</v>
      </c>
      <c r="J472" s="73" t="str">
        <f t="shared" si="207"/>
        <v>--</v>
      </c>
      <c r="K472" s="32"/>
      <c r="L472" s="233"/>
      <c r="M472" s="277"/>
      <c r="N472" s="277"/>
      <c r="O472" s="277"/>
      <c r="P472" s="277"/>
      <c r="Q472" s="277"/>
      <c r="R472" s="277"/>
      <c r="S472" s="277"/>
      <c r="T472" s="277"/>
      <c r="U472" s="278"/>
      <c r="V472" s="103"/>
      <c r="W472" s="72"/>
      <c r="X472" s="72"/>
      <c r="Y472" s="72"/>
      <c r="Z472" s="45">
        <v>13</v>
      </c>
      <c r="AA472" s="77">
        <f t="shared" ref="AA472:AA477" si="208">AB471+1</f>
        <v>145</v>
      </c>
      <c r="AB472" s="77">
        <f t="shared" ref="AB472:AB477" si="209">AB471+12</f>
        <v>156</v>
      </c>
      <c r="AC472" s="72">
        <f t="shared" si="196"/>
        <v>1</v>
      </c>
      <c r="AD472" s="72">
        <f t="shared" si="197"/>
        <v>1</v>
      </c>
      <c r="AE472" s="109" t="str">
        <f t="shared" si="198"/>
        <v>0-0</v>
      </c>
      <c r="AF472" s="109" t="str">
        <f t="shared" si="199"/>
        <v>Y</v>
      </c>
      <c r="AG472" s="109" t="str">
        <f t="shared" si="200"/>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201"/>
        <v>0</v>
      </c>
      <c r="AN472" s="109">
        <f t="shared" si="202"/>
        <v>0</v>
      </c>
      <c r="AO472" s="109" t="str">
        <f t="shared" si="203"/>
        <v/>
      </c>
      <c r="AQ472" s="109" t="str">
        <f t="shared" si="204"/>
        <v/>
      </c>
      <c r="BA472" s="229">
        <f>MOD(SUM(E468:E473),12)</f>
        <v>0</v>
      </c>
    </row>
    <row r="473" spans="1:53" ht="15.75" thickBot="1" x14ac:dyDescent="0.3">
      <c r="A473" s="88"/>
      <c r="B473" s="66" t="s">
        <v>283</v>
      </c>
      <c r="C473" s="67"/>
      <c r="D473" s="102"/>
      <c r="E473" s="32"/>
      <c r="F473" s="32"/>
      <c r="G473" s="68" t="s">
        <v>277</v>
      </c>
      <c r="H473" s="69">
        <f t="shared" si="205"/>
        <v>0</v>
      </c>
      <c r="I473" s="70">
        <f t="shared" si="206"/>
        <v>0</v>
      </c>
      <c r="J473" s="73" t="str">
        <f t="shared" si="207"/>
        <v>--</v>
      </c>
      <c r="K473" s="32"/>
      <c r="L473" s="233"/>
      <c r="M473" s="277"/>
      <c r="N473" s="277"/>
      <c r="O473" s="277"/>
      <c r="P473" s="277"/>
      <c r="Q473" s="277"/>
      <c r="R473" s="277"/>
      <c r="S473" s="277"/>
      <c r="T473" s="277"/>
      <c r="U473" s="278"/>
      <c r="V473" s="103"/>
      <c r="W473" s="72"/>
      <c r="X473" s="72"/>
      <c r="Y473" s="72"/>
      <c r="Z473" s="45">
        <v>14</v>
      </c>
      <c r="AA473" s="77">
        <f t="shared" si="208"/>
        <v>157</v>
      </c>
      <c r="AB473" s="77">
        <f t="shared" si="209"/>
        <v>168</v>
      </c>
      <c r="AC473" s="72">
        <f t="shared" si="196"/>
        <v>1</v>
      </c>
      <c r="AD473" s="72">
        <f t="shared" si="197"/>
        <v>1</v>
      </c>
      <c r="AE473" s="109" t="str">
        <f t="shared" si="198"/>
        <v>0-0</v>
      </c>
      <c r="AF473" s="109" t="str">
        <f t="shared" si="199"/>
        <v>Y</v>
      </c>
      <c r="AG473" s="109" t="str">
        <f t="shared" si="200"/>
        <v>B</v>
      </c>
      <c r="AM473" s="109">
        <f t="shared" si="201"/>
        <v>0</v>
      </c>
      <c r="AN473" s="109">
        <f t="shared" si="202"/>
        <v>0</v>
      </c>
      <c r="AO473" s="109" t="str">
        <f t="shared" si="203"/>
        <v/>
      </c>
      <c r="AQ473" s="109" t="str">
        <f t="shared" si="204"/>
        <v/>
      </c>
      <c r="BA473" s="229">
        <f>MOD(SUM(E468:E474),12)</f>
        <v>0</v>
      </c>
    </row>
    <row r="474" spans="1:53" ht="15.75" thickBot="1" x14ac:dyDescent="0.3">
      <c r="A474" s="88"/>
      <c r="B474" s="66" t="s">
        <v>284</v>
      </c>
      <c r="C474" s="67"/>
      <c r="D474" s="102"/>
      <c r="E474" s="32"/>
      <c r="F474" s="32"/>
      <c r="G474" s="68" t="s">
        <v>277</v>
      </c>
      <c r="H474" s="69">
        <f t="shared" si="205"/>
        <v>0</v>
      </c>
      <c r="I474" s="70">
        <f t="shared" si="206"/>
        <v>0</v>
      </c>
      <c r="J474" s="73" t="str">
        <f t="shared" si="207"/>
        <v>--</v>
      </c>
      <c r="K474" s="32"/>
      <c r="L474" s="233"/>
      <c r="M474" s="277"/>
      <c r="N474" s="277"/>
      <c r="O474" s="277"/>
      <c r="P474" s="277"/>
      <c r="Q474" s="277"/>
      <c r="R474" s="277"/>
      <c r="S474" s="277"/>
      <c r="T474" s="277"/>
      <c r="U474" s="278"/>
      <c r="V474" s="103"/>
      <c r="W474" s="72"/>
      <c r="X474" s="72"/>
      <c r="Y474" s="72"/>
      <c r="Z474" s="45">
        <v>15</v>
      </c>
      <c r="AA474" s="77">
        <f t="shared" si="208"/>
        <v>169</v>
      </c>
      <c r="AB474" s="77">
        <f t="shared" si="209"/>
        <v>180</v>
      </c>
      <c r="AC474" s="72">
        <f t="shared" si="196"/>
        <v>1</v>
      </c>
      <c r="AD474" s="72">
        <f t="shared" si="197"/>
        <v>1</v>
      </c>
      <c r="AE474" s="109" t="str">
        <f t="shared" si="198"/>
        <v>0-0</v>
      </c>
      <c r="AF474" s="109" t="str">
        <f t="shared" si="199"/>
        <v>Y</v>
      </c>
      <c r="AG474" s="109" t="str">
        <f t="shared" si="200"/>
        <v>B</v>
      </c>
      <c r="AM474" s="109">
        <f t="shared" si="201"/>
        <v>0</v>
      </c>
      <c r="AN474" s="109">
        <f t="shared" si="202"/>
        <v>0</v>
      </c>
      <c r="AO474" s="109" t="str">
        <f t="shared" si="203"/>
        <v/>
      </c>
      <c r="AQ474" s="109" t="str">
        <f t="shared" si="204"/>
        <v/>
      </c>
      <c r="BA474" s="229">
        <f>MOD(SUM(E468:E475),12)</f>
        <v>0</v>
      </c>
    </row>
    <row r="475" spans="1:53" ht="15.75" thickBot="1" x14ac:dyDescent="0.3">
      <c r="A475" s="88"/>
      <c r="B475" s="66" t="s">
        <v>285</v>
      </c>
      <c r="C475" s="67"/>
      <c r="D475" s="102"/>
      <c r="E475" s="32"/>
      <c r="F475" s="32"/>
      <c r="G475" s="68" t="s">
        <v>277</v>
      </c>
      <c r="H475" s="69">
        <f t="shared" si="205"/>
        <v>0</v>
      </c>
      <c r="I475" s="70">
        <f t="shared" si="206"/>
        <v>0</v>
      </c>
      <c r="J475" s="73" t="str">
        <f t="shared" si="207"/>
        <v>--</v>
      </c>
      <c r="K475" s="32"/>
      <c r="L475" s="233"/>
      <c r="M475" s="277"/>
      <c r="N475" s="277"/>
      <c r="O475" s="277"/>
      <c r="P475" s="277"/>
      <c r="Q475" s="277"/>
      <c r="R475" s="277"/>
      <c r="S475" s="277"/>
      <c r="T475" s="277"/>
      <c r="U475" s="278"/>
      <c r="V475" s="103"/>
      <c r="W475" s="72"/>
      <c r="X475" s="72"/>
      <c r="Y475" s="72"/>
      <c r="Z475" s="45">
        <f>Z474+1</f>
        <v>16</v>
      </c>
      <c r="AA475" s="77">
        <f t="shared" si="208"/>
        <v>181</v>
      </c>
      <c r="AB475" s="77">
        <f t="shared" si="209"/>
        <v>192</v>
      </c>
      <c r="AC475" s="72">
        <f t="shared" si="196"/>
        <v>1</v>
      </c>
      <c r="AD475" s="72">
        <f t="shared" si="197"/>
        <v>1</v>
      </c>
      <c r="AE475" s="109" t="str">
        <f t="shared" si="198"/>
        <v>0-0</v>
      </c>
      <c r="AF475" s="109" t="str">
        <f t="shared" si="199"/>
        <v>Y</v>
      </c>
      <c r="AG475" s="109" t="str">
        <f t="shared" si="200"/>
        <v>B</v>
      </c>
      <c r="AM475" s="109">
        <f t="shared" si="201"/>
        <v>0</v>
      </c>
      <c r="AN475" s="109">
        <f t="shared" si="202"/>
        <v>0</v>
      </c>
      <c r="AO475" s="109" t="str">
        <f t="shared" si="203"/>
        <v/>
      </c>
      <c r="AQ475" s="109" t="str">
        <f t="shared" si="204"/>
        <v/>
      </c>
      <c r="BA475" s="229">
        <f>MOD(SUM(E468:E476),12)</f>
        <v>0</v>
      </c>
    </row>
    <row r="476" spans="1:53" ht="15.75" thickBot="1" x14ac:dyDescent="0.3">
      <c r="A476" s="88"/>
      <c r="B476" s="66" t="s">
        <v>286</v>
      </c>
      <c r="C476" s="67"/>
      <c r="D476" s="102"/>
      <c r="E476" s="32"/>
      <c r="F476" s="32"/>
      <c r="G476" s="68" t="s">
        <v>277</v>
      </c>
      <c r="H476" s="69">
        <f t="shared" si="205"/>
        <v>0</v>
      </c>
      <c r="I476" s="70">
        <f t="shared" si="206"/>
        <v>0</v>
      </c>
      <c r="J476" s="73" t="str">
        <f t="shared" si="207"/>
        <v>--</v>
      </c>
      <c r="K476" s="32"/>
      <c r="L476" s="233"/>
      <c r="M476" s="277"/>
      <c r="N476" s="277"/>
      <c r="O476" s="277"/>
      <c r="P476" s="277"/>
      <c r="Q476" s="277"/>
      <c r="R476" s="277"/>
      <c r="S476" s="277"/>
      <c r="T476" s="277"/>
      <c r="U476" s="278"/>
      <c r="V476" s="103"/>
      <c r="W476" s="72"/>
      <c r="X476" s="72"/>
      <c r="Y476" s="72"/>
      <c r="Z476" s="45">
        <f>Z475+1</f>
        <v>17</v>
      </c>
      <c r="AA476" s="77">
        <f t="shared" si="208"/>
        <v>193</v>
      </c>
      <c r="AB476" s="77">
        <f t="shared" si="209"/>
        <v>204</v>
      </c>
      <c r="AC476" s="72">
        <f t="shared" si="196"/>
        <v>1</v>
      </c>
      <c r="AD476" s="72">
        <f t="shared" si="197"/>
        <v>1</v>
      </c>
      <c r="AE476" s="109" t="str">
        <f t="shared" si="198"/>
        <v>0-0</v>
      </c>
      <c r="AF476" s="109" t="str">
        <f t="shared" si="199"/>
        <v>Y</v>
      </c>
      <c r="AG476" s="109" t="str">
        <f t="shared" si="200"/>
        <v>B</v>
      </c>
      <c r="AM476" s="109">
        <f t="shared" si="201"/>
        <v>0</v>
      </c>
      <c r="AN476" s="109">
        <f t="shared" si="202"/>
        <v>0</v>
      </c>
      <c r="AO476" s="109" t="str">
        <f t="shared" si="203"/>
        <v/>
      </c>
      <c r="AQ476" s="109" t="str">
        <f t="shared" si="204"/>
        <v/>
      </c>
      <c r="BA476" s="229">
        <f>MOD(SUM(E468:E477),12)</f>
        <v>0</v>
      </c>
    </row>
    <row r="477" spans="1:53" ht="15.75" thickBot="1" x14ac:dyDescent="0.3">
      <c r="A477" s="88"/>
      <c r="B477" s="66" t="s">
        <v>287</v>
      </c>
      <c r="C477" s="67"/>
      <c r="D477" s="102"/>
      <c r="E477" s="32"/>
      <c r="F477" s="32"/>
      <c r="G477" s="68" t="s">
        <v>277</v>
      </c>
      <c r="H477" s="69">
        <f t="shared" si="205"/>
        <v>0</v>
      </c>
      <c r="I477" s="70">
        <f t="shared" si="206"/>
        <v>0</v>
      </c>
      <c r="J477" s="73" t="str">
        <f t="shared" si="207"/>
        <v>--</v>
      </c>
      <c r="K477" s="32"/>
      <c r="L477" s="233"/>
      <c r="M477" s="277"/>
      <c r="N477" s="277"/>
      <c r="O477" s="277"/>
      <c r="P477" s="277"/>
      <c r="Q477" s="277"/>
      <c r="R477" s="277"/>
      <c r="S477" s="277"/>
      <c r="T477" s="277"/>
      <c r="U477" s="278"/>
      <c r="V477" s="103"/>
      <c r="W477" s="72"/>
      <c r="X477" s="72"/>
      <c r="Y477" s="72"/>
      <c r="Z477" s="45">
        <f>Z476+1</f>
        <v>18</v>
      </c>
      <c r="AA477" s="77">
        <f t="shared" si="208"/>
        <v>205</v>
      </c>
      <c r="AB477" s="77">
        <f t="shared" si="209"/>
        <v>216</v>
      </c>
      <c r="AC477" s="72">
        <f t="shared" si="196"/>
        <v>1</v>
      </c>
      <c r="AD477" s="72">
        <f t="shared" si="197"/>
        <v>1</v>
      </c>
      <c r="AE477" s="109" t="str">
        <f t="shared" si="198"/>
        <v>0-0</v>
      </c>
      <c r="AF477" s="109" t="str">
        <f t="shared" si="199"/>
        <v>Y</v>
      </c>
      <c r="AG477" s="109" t="str">
        <f t="shared" si="200"/>
        <v>B</v>
      </c>
      <c r="AM477" s="109">
        <f t="shared" si="201"/>
        <v>0</v>
      </c>
      <c r="AN477" s="109">
        <f t="shared" si="202"/>
        <v>0</v>
      </c>
      <c r="AO477" s="109" t="str">
        <f t="shared" si="203"/>
        <v/>
      </c>
      <c r="AQ477" s="109" t="str">
        <f t="shared" si="204"/>
        <v/>
      </c>
      <c r="BA477" s="229">
        <f>MOD(SUM(E468:E478),12)</f>
        <v>0</v>
      </c>
    </row>
    <row r="478" spans="1:53" ht="15.75" thickBot="1" x14ac:dyDescent="0.3">
      <c r="A478" s="88"/>
      <c r="B478" s="66" t="s">
        <v>288</v>
      </c>
      <c r="C478" s="67"/>
      <c r="D478" s="102"/>
      <c r="E478" s="32"/>
      <c r="F478" s="32"/>
      <c r="G478" s="68" t="s">
        <v>277</v>
      </c>
      <c r="H478" s="69">
        <f t="shared" si="205"/>
        <v>0</v>
      </c>
      <c r="I478" s="70">
        <f t="shared" si="206"/>
        <v>0</v>
      </c>
      <c r="J478" s="73" t="str">
        <f t="shared" si="207"/>
        <v>--</v>
      </c>
      <c r="K478" s="32"/>
      <c r="L478" s="233"/>
      <c r="M478" s="277"/>
      <c r="N478" s="277"/>
      <c r="O478" s="277"/>
      <c r="P478" s="277"/>
      <c r="Q478" s="277"/>
      <c r="R478" s="277"/>
      <c r="S478" s="277"/>
      <c r="T478" s="277"/>
      <c r="U478" s="278"/>
      <c r="V478" s="103"/>
      <c r="W478" s="84"/>
      <c r="X478" s="84"/>
      <c r="Y478" s="72"/>
      <c r="Z478" s="72"/>
      <c r="AA478" s="72"/>
      <c r="AB478" s="72"/>
      <c r="AC478" s="72">
        <f t="shared" si="196"/>
        <v>1</v>
      </c>
      <c r="AD478" s="72">
        <f t="shared" si="197"/>
        <v>1</v>
      </c>
      <c r="AE478" s="109" t="str">
        <f t="shared" si="198"/>
        <v>0-0</v>
      </c>
      <c r="AF478" s="109" t="str">
        <f t="shared" si="199"/>
        <v>Y</v>
      </c>
      <c r="AG478" s="109" t="str">
        <f t="shared" si="200"/>
        <v>B</v>
      </c>
      <c r="AM478" s="109">
        <f t="shared" si="201"/>
        <v>0</v>
      </c>
      <c r="AN478" s="109">
        <f t="shared" si="202"/>
        <v>0</v>
      </c>
      <c r="AO478" s="109" t="str">
        <f t="shared" si="203"/>
        <v/>
      </c>
      <c r="AQ478" s="109" t="str">
        <f t="shared" si="204"/>
        <v/>
      </c>
      <c r="BA478" s="229">
        <f>MOD(SUM(E468:E479),12)</f>
        <v>0</v>
      </c>
    </row>
    <row r="479" spans="1:53" ht="15.75" thickBot="1" x14ac:dyDescent="0.3">
      <c r="A479" s="88"/>
      <c r="B479" s="66" t="s">
        <v>289</v>
      </c>
      <c r="C479" s="67"/>
      <c r="D479" s="102"/>
      <c r="E479" s="32"/>
      <c r="F479" s="32"/>
      <c r="G479" s="68" t="s">
        <v>277</v>
      </c>
      <c r="H479" s="69">
        <f t="shared" si="205"/>
        <v>0</v>
      </c>
      <c r="I479" s="70">
        <f t="shared" si="206"/>
        <v>0</v>
      </c>
      <c r="J479" s="73" t="str">
        <f t="shared" si="207"/>
        <v>--</v>
      </c>
      <c r="K479" s="32"/>
      <c r="L479" s="233"/>
      <c r="M479" s="277"/>
      <c r="N479" s="277"/>
      <c r="O479" s="277"/>
      <c r="P479" s="277"/>
      <c r="Q479" s="277"/>
      <c r="R479" s="277"/>
      <c r="S479" s="277"/>
      <c r="T479" s="277"/>
      <c r="U479" s="278"/>
      <c r="V479" s="103"/>
      <c r="W479" s="84">
        <f>Y479+1</f>
        <v>61</v>
      </c>
      <c r="X479" s="84"/>
      <c r="Y479" s="78">
        <f>SUM(E468:E479)</f>
        <v>60</v>
      </c>
      <c r="Z479" s="72"/>
      <c r="AA479" s="72"/>
      <c r="AB479" s="72"/>
      <c r="AC479" s="72">
        <f t="shared" si="196"/>
        <v>1</v>
      </c>
      <c r="AD479" s="72">
        <f t="shared" si="197"/>
        <v>1</v>
      </c>
      <c r="AE479" s="109" t="str">
        <f t="shared" si="198"/>
        <v>0-0</v>
      </c>
      <c r="AF479" s="109" t="str">
        <f t="shared" si="199"/>
        <v>Y</v>
      </c>
      <c r="AG479" s="109" t="str">
        <f t="shared" si="200"/>
        <v>B</v>
      </c>
      <c r="AM479" s="109">
        <f t="shared" si="201"/>
        <v>0</v>
      </c>
      <c r="AN479" s="109">
        <f t="shared" si="202"/>
        <v>0</v>
      </c>
      <c r="AO479" s="109" t="str">
        <f t="shared" si="203"/>
        <v/>
      </c>
      <c r="AQ479" s="109" t="str">
        <f t="shared" si="204"/>
        <v/>
      </c>
      <c r="BA479" s="229">
        <f>MOD(SUM(E468:E480),12)</f>
        <v>0</v>
      </c>
    </row>
    <row r="480" spans="1:53" ht="15.75" thickBot="1" x14ac:dyDescent="0.3">
      <c r="A480" s="88"/>
      <c r="B480" s="66" t="s">
        <v>290</v>
      </c>
      <c r="C480" s="67"/>
      <c r="D480" s="102"/>
      <c r="E480" s="32"/>
      <c r="F480" s="32"/>
      <c r="G480" s="68" t="s">
        <v>277</v>
      </c>
      <c r="H480" s="69">
        <f t="shared" si="205"/>
        <v>0</v>
      </c>
      <c r="I480" s="70">
        <f t="shared" si="206"/>
        <v>0</v>
      </c>
      <c r="J480" s="73" t="str">
        <f t="shared" si="207"/>
        <v>--</v>
      </c>
      <c r="K480" s="32"/>
      <c r="L480" s="233"/>
      <c r="M480" s="277"/>
      <c r="N480" s="277"/>
      <c r="O480" s="277"/>
      <c r="P480" s="277"/>
      <c r="Q480" s="277"/>
      <c r="R480" s="277"/>
      <c r="S480" s="277"/>
      <c r="T480" s="277"/>
      <c r="U480" s="278"/>
      <c r="V480" s="103"/>
      <c r="W480" s="84">
        <f>Y480+1</f>
        <v>61</v>
      </c>
      <c r="X480" s="84"/>
      <c r="Y480" s="78">
        <f>SUM(E468:E480)</f>
        <v>60</v>
      </c>
      <c r="Z480" s="72" t="str">
        <f t="shared" ref="Z480:Z492" si="210">IF(OR(AND(E$8=216,C479="DBL REV",C480="DBL REV",Y479&lt;=144,Y480&gt;144),AND(E$8=216,C479="TPL REV",C480="TPL REV",Y479&lt;=144,Y480&gt;144),AND(E$8=216,C479="QD REV",C480="QD REV",Y479&lt;=144,Y480&gt;144)),"ERROR","")</f>
        <v/>
      </c>
      <c r="AA480" s="72"/>
      <c r="AB480" s="72"/>
      <c r="AC480" s="72">
        <f t="shared" si="196"/>
        <v>1</v>
      </c>
      <c r="AD480" s="72">
        <f t="shared" si="197"/>
        <v>1</v>
      </c>
      <c r="AE480" s="109" t="str">
        <f t="shared" si="198"/>
        <v>0-0</v>
      </c>
      <c r="AF480" s="109" t="str">
        <f t="shared" si="199"/>
        <v>Y</v>
      </c>
      <c r="AG480" s="109" t="str">
        <f t="shared" si="200"/>
        <v>B</v>
      </c>
      <c r="AM480" s="109">
        <f t="shared" si="201"/>
        <v>0</v>
      </c>
      <c r="AN480" s="109">
        <f t="shared" si="202"/>
        <v>0</v>
      </c>
      <c r="AO480" s="109" t="str">
        <f t="shared" si="203"/>
        <v/>
      </c>
      <c r="AQ480" s="109" t="str">
        <f t="shared" si="204"/>
        <v/>
      </c>
      <c r="BA480" s="229">
        <f>MOD(SUM(E468:E481),12)</f>
        <v>0</v>
      </c>
    </row>
    <row r="481" spans="1:53" ht="15.75" thickBot="1" x14ac:dyDescent="0.3">
      <c r="A481" s="88"/>
      <c r="B481" s="66" t="s">
        <v>291</v>
      </c>
      <c r="C481" s="67"/>
      <c r="D481" s="102"/>
      <c r="E481" s="32"/>
      <c r="F481" s="32"/>
      <c r="G481" s="68" t="s">
        <v>277</v>
      </c>
      <c r="H481" s="69">
        <f t="shared" si="205"/>
        <v>0</v>
      </c>
      <c r="I481" s="70">
        <f t="shared" si="206"/>
        <v>0</v>
      </c>
      <c r="J481" s="73" t="str">
        <f t="shared" si="207"/>
        <v>--</v>
      </c>
      <c r="K481" s="32"/>
      <c r="L481" s="233"/>
      <c r="M481" s="277"/>
      <c r="N481" s="277"/>
      <c r="O481" s="277"/>
      <c r="P481" s="277"/>
      <c r="Q481" s="277"/>
      <c r="R481" s="277"/>
      <c r="S481" s="277"/>
      <c r="T481" s="277"/>
      <c r="U481" s="278"/>
      <c r="V481" s="103"/>
      <c r="W481" s="84">
        <f>Y481+1</f>
        <v>61</v>
      </c>
      <c r="X481" s="84"/>
      <c r="Y481" s="78">
        <f>SUM(E468:E481)</f>
        <v>60</v>
      </c>
      <c r="Z481" s="72" t="str">
        <f t="shared" si="210"/>
        <v/>
      </c>
      <c r="AA481" s="72"/>
      <c r="AB481" s="72"/>
      <c r="AC481" s="72">
        <f t="shared" si="196"/>
        <v>1</v>
      </c>
      <c r="AD481" s="72">
        <f t="shared" si="197"/>
        <v>1</v>
      </c>
      <c r="AE481" s="109" t="str">
        <f t="shared" si="198"/>
        <v>0-0</v>
      </c>
      <c r="AF481" s="109" t="str">
        <f t="shared" si="199"/>
        <v>Y</v>
      </c>
      <c r="AG481" s="109" t="str">
        <f t="shared" si="200"/>
        <v>B</v>
      </c>
      <c r="AM481" s="109">
        <f t="shared" si="201"/>
        <v>0</v>
      </c>
      <c r="AN481" s="109">
        <f t="shared" si="202"/>
        <v>0</v>
      </c>
      <c r="AO481" s="109" t="str">
        <f t="shared" si="203"/>
        <v/>
      </c>
      <c r="AQ481" s="109" t="str">
        <f t="shared" si="204"/>
        <v/>
      </c>
      <c r="BA481" s="229">
        <f>MOD(SUM(E468:E482),12)</f>
        <v>0</v>
      </c>
    </row>
    <row r="482" spans="1:53" ht="15.75" thickBot="1" x14ac:dyDescent="0.3">
      <c r="A482" s="88"/>
      <c r="B482" s="66" t="s">
        <v>292</v>
      </c>
      <c r="C482" s="67"/>
      <c r="D482" s="102"/>
      <c r="E482" s="32"/>
      <c r="F482" s="32"/>
      <c r="G482" s="68" t="s">
        <v>277</v>
      </c>
      <c r="H482" s="69">
        <f t="shared" si="205"/>
        <v>0</v>
      </c>
      <c r="I482" s="70">
        <f t="shared" si="206"/>
        <v>0</v>
      </c>
      <c r="J482" s="73" t="str">
        <f t="shared" si="207"/>
        <v>--</v>
      </c>
      <c r="K482" s="32"/>
      <c r="L482" s="233"/>
      <c r="M482" s="277"/>
      <c r="N482" s="277"/>
      <c r="O482" s="277"/>
      <c r="P482" s="277"/>
      <c r="Q482" s="277"/>
      <c r="R482" s="277"/>
      <c r="S482" s="277"/>
      <c r="T482" s="277"/>
      <c r="U482" s="278"/>
      <c r="V482" s="103"/>
      <c r="W482" s="84">
        <f>Y482+1</f>
        <v>61</v>
      </c>
      <c r="X482" s="84"/>
      <c r="Y482" s="78">
        <f>SUM(E468:E482)</f>
        <v>60</v>
      </c>
      <c r="Z482" s="72" t="str">
        <f t="shared" si="210"/>
        <v/>
      </c>
      <c r="AA482" s="72" t="str">
        <f t="shared" ref="AA482:AA494" si="211">IF(AND(C480&lt;&gt;"Field SPL",W479&lt;=144,Y480&gt;144),"ERROR","")</f>
        <v/>
      </c>
      <c r="AB482" s="72"/>
      <c r="AC482" s="72">
        <f t="shared" si="196"/>
        <v>1</v>
      </c>
      <c r="AD482" s="72">
        <f t="shared" si="197"/>
        <v>1</v>
      </c>
      <c r="AE482" s="109" t="str">
        <f t="shared" si="198"/>
        <v>0-0</v>
      </c>
      <c r="AF482" s="109" t="str">
        <f t="shared" si="199"/>
        <v>Y</v>
      </c>
      <c r="AG482" s="109" t="str">
        <f t="shared" si="200"/>
        <v>B</v>
      </c>
      <c r="AM482" s="109">
        <f t="shared" si="201"/>
        <v>0</v>
      </c>
      <c r="AN482" s="109">
        <f t="shared" si="202"/>
        <v>0</v>
      </c>
      <c r="AO482" s="109" t="str">
        <f t="shared" si="203"/>
        <v/>
      </c>
      <c r="AQ482" s="109" t="str">
        <f t="shared" si="204"/>
        <v/>
      </c>
      <c r="BA482" s="229">
        <f>MOD(SUM(E468:E483),12)</f>
        <v>0</v>
      </c>
    </row>
    <row r="483" spans="1:53" ht="15.75" thickBot="1" x14ac:dyDescent="0.3">
      <c r="A483" s="88"/>
      <c r="B483" s="66" t="s">
        <v>293</v>
      </c>
      <c r="C483" s="67"/>
      <c r="D483" s="102"/>
      <c r="E483" s="32"/>
      <c r="F483" s="32"/>
      <c r="G483" s="68" t="s">
        <v>277</v>
      </c>
      <c r="H483" s="69">
        <f t="shared" si="205"/>
        <v>0</v>
      </c>
      <c r="I483" s="70">
        <f t="shared" si="206"/>
        <v>0</v>
      </c>
      <c r="J483" s="73" t="str">
        <f t="shared" si="207"/>
        <v>--</v>
      </c>
      <c r="K483" s="32"/>
      <c r="L483" s="233"/>
      <c r="M483" s="277"/>
      <c r="N483" s="277"/>
      <c r="O483" s="277"/>
      <c r="P483" s="277"/>
      <c r="Q483" s="277"/>
      <c r="R483" s="277"/>
      <c r="S483" s="277"/>
      <c r="T483" s="277"/>
      <c r="U483" s="278"/>
      <c r="V483" s="103"/>
      <c r="W483" s="84">
        <f t="shared" ref="W483:W491" si="212">Y483+1</f>
        <v>61</v>
      </c>
      <c r="X483" s="84"/>
      <c r="Y483" s="78">
        <f>SUM(E468:E483)</f>
        <v>60</v>
      </c>
      <c r="Z483" s="72" t="str">
        <f t="shared" si="210"/>
        <v/>
      </c>
      <c r="AA483" s="72" t="str">
        <f t="shared" si="211"/>
        <v/>
      </c>
      <c r="AB483" s="72"/>
      <c r="AC483" s="72">
        <f t="shared" si="196"/>
        <v>1</v>
      </c>
      <c r="AD483" s="72">
        <f t="shared" si="197"/>
        <v>1</v>
      </c>
      <c r="AE483" s="109" t="str">
        <f t="shared" si="198"/>
        <v>0-0</v>
      </c>
      <c r="AF483" s="109" t="str">
        <f t="shared" si="199"/>
        <v>Y</v>
      </c>
      <c r="AG483" s="109" t="str">
        <f t="shared" si="200"/>
        <v>B</v>
      </c>
      <c r="AM483" s="109">
        <f t="shared" si="201"/>
        <v>0</v>
      </c>
      <c r="AN483" s="109">
        <f t="shared" si="202"/>
        <v>0</v>
      </c>
      <c r="AO483" s="109" t="str">
        <f t="shared" si="203"/>
        <v/>
      </c>
      <c r="AQ483" s="109" t="str">
        <f t="shared" si="204"/>
        <v/>
      </c>
      <c r="BA483" s="229">
        <f>MOD(SUM(E468:E484),12)</f>
        <v>0</v>
      </c>
    </row>
    <row r="484" spans="1:53" ht="15.75" thickBot="1" x14ac:dyDescent="0.3">
      <c r="A484" s="88"/>
      <c r="B484" s="66" t="s">
        <v>294</v>
      </c>
      <c r="C484" s="67"/>
      <c r="D484" s="102"/>
      <c r="E484" s="32"/>
      <c r="F484" s="32"/>
      <c r="G484" s="68" t="s">
        <v>277</v>
      </c>
      <c r="H484" s="69">
        <f t="shared" si="205"/>
        <v>0</v>
      </c>
      <c r="I484" s="70">
        <f t="shared" si="206"/>
        <v>0</v>
      </c>
      <c r="J484" s="73" t="str">
        <f t="shared" si="207"/>
        <v>--</v>
      </c>
      <c r="K484" s="32"/>
      <c r="L484" s="233"/>
      <c r="M484" s="277"/>
      <c r="N484" s="277"/>
      <c r="O484" s="277"/>
      <c r="P484" s="277"/>
      <c r="Q484" s="277"/>
      <c r="R484" s="277"/>
      <c r="S484" s="277"/>
      <c r="T484" s="277"/>
      <c r="U484" s="278"/>
      <c r="V484" s="103"/>
      <c r="W484" s="84">
        <f t="shared" si="212"/>
        <v>61</v>
      </c>
      <c r="X484" s="84"/>
      <c r="Y484" s="78">
        <f>SUM(E468:E484)</f>
        <v>60</v>
      </c>
      <c r="Z484" s="72" t="str">
        <f t="shared" si="210"/>
        <v/>
      </c>
      <c r="AA484" s="72" t="str">
        <f t="shared" si="211"/>
        <v/>
      </c>
      <c r="AB484" s="72"/>
      <c r="AC484" s="72">
        <f t="shared" si="196"/>
        <v>1</v>
      </c>
      <c r="AD484" s="72">
        <f t="shared" si="197"/>
        <v>1</v>
      </c>
      <c r="AE484" s="109" t="str">
        <f t="shared" si="198"/>
        <v>0-0</v>
      </c>
      <c r="AF484" s="109" t="str">
        <f t="shared" si="199"/>
        <v>Y</v>
      </c>
      <c r="AG484" s="109" t="str">
        <f t="shared" si="200"/>
        <v>B</v>
      </c>
      <c r="AM484" s="109">
        <f t="shared" si="201"/>
        <v>0</v>
      </c>
      <c r="AN484" s="109">
        <f t="shared" si="202"/>
        <v>0</v>
      </c>
      <c r="AO484" s="109" t="str">
        <f t="shared" si="203"/>
        <v/>
      </c>
      <c r="AQ484" s="109" t="str">
        <f t="shared" si="204"/>
        <v/>
      </c>
      <c r="BA484" s="229">
        <f>MOD(SUM(E468:E485),12)</f>
        <v>0</v>
      </c>
    </row>
    <row r="485" spans="1:53" ht="15.75" thickBot="1" x14ac:dyDescent="0.3">
      <c r="A485" s="88"/>
      <c r="B485" s="66" t="s">
        <v>295</v>
      </c>
      <c r="C485" s="67"/>
      <c r="D485" s="102"/>
      <c r="E485" s="32"/>
      <c r="F485" s="32"/>
      <c r="G485" s="68" t="s">
        <v>277</v>
      </c>
      <c r="H485" s="69">
        <f t="shared" si="205"/>
        <v>0</v>
      </c>
      <c r="I485" s="70">
        <f t="shared" si="206"/>
        <v>0</v>
      </c>
      <c r="J485" s="73" t="str">
        <f t="shared" si="207"/>
        <v>--</v>
      </c>
      <c r="K485" s="32"/>
      <c r="L485" s="233"/>
      <c r="M485" s="277"/>
      <c r="N485" s="277"/>
      <c r="O485" s="277"/>
      <c r="P485" s="277"/>
      <c r="Q485" s="277"/>
      <c r="R485" s="277"/>
      <c r="S485" s="277"/>
      <c r="T485" s="277"/>
      <c r="U485" s="278"/>
      <c r="V485" s="103"/>
      <c r="W485" s="84">
        <f t="shared" si="212"/>
        <v>61</v>
      </c>
      <c r="X485" s="84"/>
      <c r="Y485" s="78">
        <f>SUM(E468:E485)</f>
        <v>60</v>
      </c>
      <c r="Z485" s="72" t="str">
        <f t="shared" si="210"/>
        <v/>
      </c>
      <c r="AA485" s="72" t="str">
        <f t="shared" si="211"/>
        <v/>
      </c>
      <c r="AB485" s="72"/>
      <c r="AC485" s="72">
        <f t="shared" si="196"/>
        <v>1</v>
      </c>
      <c r="AD485" s="72">
        <f t="shared" si="197"/>
        <v>1</v>
      </c>
      <c r="AE485" s="109" t="str">
        <f t="shared" si="198"/>
        <v>0-0</v>
      </c>
      <c r="AF485" s="109" t="str">
        <f t="shared" si="199"/>
        <v>Y</v>
      </c>
      <c r="AG485" s="109" t="str">
        <f t="shared" si="200"/>
        <v>B</v>
      </c>
      <c r="AM485" s="109">
        <f t="shared" si="201"/>
        <v>0</v>
      </c>
      <c r="AN485" s="109">
        <f t="shared" si="202"/>
        <v>0</v>
      </c>
      <c r="AO485" s="109" t="str">
        <f t="shared" si="203"/>
        <v/>
      </c>
      <c r="AQ485" s="109" t="str">
        <f t="shared" si="204"/>
        <v/>
      </c>
      <c r="BA485" s="229">
        <f>MOD(SUM(E468:E486),12)</f>
        <v>0</v>
      </c>
    </row>
    <row r="486" spans="1:53" ht="15.75" thickBot="1" x14ac:dyDescent="0.3">
      <c r="A486" s="88"/>
      <c r="B486" s="66" t="s">
        <v>296</v>
      </c>
      <c r="C486" s="67"/>
      <c r="D486" s="102"/>
      <c r="E486" s="32"/>
      <c r="F486" s="32"/>
      <c r="G486" s="68" t="s">
        <v>277</v>
      </c>
      <c r="H486" s="69">
        <f t="shared" si="205"/>
        <v>0</v>
      </c>
      <c r="I486" s="70">
        <f t="shared" si="206"/>
        <v>0</v>
      </c>
      <c r="J486" s="73" t="str">
        <f t="shared" si="207"/>
        <v>--</v>
      </c>
      <c r="K486" s="32"/>
      <c r="L486" s="233"/>
      <c r="M486" s="277"/>
      <c r="N486" s="277"/>
      <c r="O486" s="277"/>
      <c r="P486" s="277"/>
      <c r="Q486" s="277"/>
      <c r="R486" s="277"/>
      <c r="S486" s="277"/>
      <c r="T486" s="277"/>
      <c r="U486" s="278"/>
      <c r="V486" s="103"/>
      <c r="W486" s="84">
        <f t="shared" si="212"/>
        <v>61</v>
      </c>
      <c r="X486" s="84"/>
      <c r="Y486" s="78">
        <f>SUM(E468:E486)</f>
        <v>60</v>
      </c>
      <c r="Z486" s="72" t="str">
        <f t="shared" si="210"/>
        <v/>
      </c>
      <c r="AA486" s="72" t="str">
        <f t="shared" si="211"/>
        <v/>
      </c>
      <c r="AB486" s="72"/>
      <c r="AC486" s="72">
        <f t="shared" si="196"/>
        <v>1</v>
      </c>
      <c r="AD486" s="72">
        <f t="shared" si="197"/>
        <v>1</v>
      </c>
      <c r="AE486" s="109" t="str">
        <f t="shared" si="198"/>
        <v>0-0</v>
      </c>
      <c r="AF486" s="109" t="str">
        <f t="shared" si="199"/>
        <v>Y</v>
      </c>
      <c r="AG486" s="109" t="str">
        <f t="shared" si="200"/>
        <v>B</v>
      </c>
      <c r="AM486" s="109">
        <f t="shared" si="201"/>
        <v>0</v>
      </c>
      <c r="AN486" s="109">
        <f t="shared" si="202"/>
        <v>0</v>
      </c>
      <c r="AO486" s="109" t="str">
        <f t="shared" si="203"/>
        <v/>
      </c>
      <c r="AQ486" s="109" t="str">
        <f t="shared" si="204"/>
        <v/>
      </c>
      <c r="BA486" s="229">
        <f>MOD(SUM(E468:E487),12)</f>
        <v>0</v>
      </c>
    </row>
    <row r="487" spans="1:53" ht="15.75" thickBot="1" x14ac:dyDescent="0.3">
      <c r="A487" s="88"/>
      <c r="B487" s="66" t="s">
        <v>297</v>
      </c>
      <c r="C487" s="67"/>
      <c r="D487" s="102"/>
      <c r="E487" s="32"/>
      <c r="F487" s="32"/>
      <c r="G487" s="68" t="s">
        <v>277</v>
      </c>
      <c r="H487" s="69">
        <f t="shared" si="205"/>
        <v>0</v>
      </c>
      <c r="I487" s="70">
        <f t="shared" si="206"/>
        <v>0</v>
      </c>
      <c r="J487" s="73" t="str">
        <f t="shared" si="207"/>
        <v>--</v>
      </c>
      <c r="K487" s="32"/>
      <c r="L487" s="233"/>
      <c r="M487" s="277"/>
      <c r="N487" s="277"/>
      <c r="O487" s="277"/>
      <c r="P487" s="277"/>
      <c r="Q487" s="277"/>
      <c r="R487" s="277"/>
      <c r="S487" s="277"/>
      <c r="T487" s="277"/>
      <c r="U487" s="278"/>
      <c r="V487" s="103"/>
      <c r="W487" s="84">
        <f t="shared" si="212"/>
        <v>61</v>
      </c>
      <c r="X487" s="84"/>
      <c r="Y487" s="78">
        <f>SUM(E468:E487)</f>
        <v>60</v>
      </c>
      <c r="Z487" s="72" t="str">
        <f t="shared" si="210"/>
        <v/>
      </c>
      <c r="AA487" s="72" t="str">
        <f t="shared" si="211"/>
        <v/>
      </c>
      <c r="AB487" s="72"/>
      <c r="AC487" s="72">
        <f t="shared" si="196"/>
        <v>1</v>
      </c>
      <c r="AD487" s="72">
        <f t="shared" si="197"/>
        <v>1</v>
      </c>
      <c r="AE487" s="109" t="str">
        <f t="shared" si="198"/>
        <v>0-0</v>
      </c>
      <c r="AF487" s="109" t="str">
        <f t="shared" si="199"/>
        <v>Y</v>
      </c>
      <c r="AG487" s="109" t="str">
        <f t="shared" si="200"/>
        <v>B</v>
      </c>
      <c r="AM487" s="109">
        <f t="shared" si="201"/>
        <v>0</v>
      </c>
      <c r="AN487" s="109">
        <f t="shared" si="202"/>
        <v>0</v>
      </c>
      <c r="AO487" s="109" t="str">
        <f t="shared" si="203"/>
        <v/>
      </c>
      <c r="AQ487" s="109" t="str">
        <f t="shared" si="204"/>
        <v/>
      </c>
      <c r="BA487" s="229">
        <f>MOD(SUM(E468:E488),12)</f>
        <v>0</v>
      </c>
    </row>
    <row r="488" spans="1:53" ht="15.75" thickBot="1" x14ac:dyDescent="0.3">
      <c r="A488" s="88"/>
      <c r="B488" s="66" t="s">
        <v>298</v>
      </c>
      <c r="C488" s="67"/>
      <c r="D488" s="102"/>
      <c r="E488" s="32"/>
      <c r="F488" s="32"/>
      <c r="G488" s="68" t="s">
        <v>277</v>
      </c>
      <c r="H488" s="69">
        <f t="shared" si="205"/>
        <v>0</v>
      </c>
      <c r="I488" s="70">
        <f t="shared" si="206"/>
        <v>0</v>
      </c>
      <c r="J488" s="73" t="str">
        <f t="shared" si="207"/>
        <v>--</v>
      </c>
      <c r="K488" s="32"/>
      <c r="L488" s="233"/>
      <c r="M488" s="277"/>
      <c r="N488" s="277"/>
      <c r="O488" s="277"/>
      <c r="P488" s="277"/>
      <c r="Q488" s="277"/>
      <c r="R488" s="277"/>
      <c r="S488" s="277"/>
      <c r="T488" s="277"/>
      <c r="U488" s="278"/>
      <c r="V488" s="103"/>
      <c r="W488" s="84">
        <f t="shared" si="212"/>
        <v>61</v>
      </c>
      <c r="X488" s="84"/>
      <c r="Y488" s="78">
        <f>SUM(E468:E488)</f>
        <v>60</v>
      </c>
      <c r="Z488" s="72" t="str">
        <f t="shared" si="210"/>
        <v/>
      </c>
      <c r="AA488" s="72" t="str">
        <f t="shared" si="211"/>
        <v/>
      </c>
      <c r="AB488" s="72"/>
      <c r="AC488" s="72">
        <f t="shared" si="196"/>
        <v>1</v>
      </c>
      <c r="AD488" s="72">
        <f t="shared" si="197"/>
        <v>1</v>
      </c>
      <c r="AE488" s="109" t="str">
        <f t="shared" si="198"/>
        <v>0-0</v>
      </c>
      <c r="AF488" s="109" t="str">
        <f t="shared" si="199"/>
        <v>Y</v>
      </c>
      <c r="AG488" s="109" t="str">
        <f t="shared" si="200"/>
        <v>B</v>
      </c>
      <c r="AM488" s="109">
        <f t="shared" si="201"/>
        <v>0</v>
      </c>
      <c r="AN488" s="109">
        <f t="shared" si="202"/>
        <v>0</v>
      </c>
      <c r="AO488" s="109" t="str">
        <f t="shared" si="203"/>
        <v/>
      </c>
      <c r="AQ488" s="109" t="str">
        <f t="shared" si="204"/>
        <v/>
      </c>
      <c r="BA488" s="229">
        <f>MOD(SUM(E468:E489),12)</f>
        <v>0</v>
      </c>
    </row>
    <row r="489" spans="1:53" ht="15.75" thickBot="1" x14ac:dyDescent="0.3">
      <c r="A489" s="88"/>
      <c r="B489" s="66" t="s">
        <v>299</v>
      </c>
      <c r="C489" s="67"/>
      <c r="D489" s="102"/>
      <c r="E489" s="32"/>
      <c r="F489" s="32"/>
      <c r="G489" s="68" t="s">
        <v>277</v>
      </c>
      <c r="H489" s="69">
        <f t="shared" si="205"/>
        <v>0</v>
      </c>
      <c r="I489" s="70">
        <f t="shared" si="206"/>
        <v>0</v>
      </c>
      <c r="J489" s="73" t="str">
        <f t="shared" si="207"/>
        <v>--</v>
      </c>
      <c r="K489" s="32"/>
      <c r="L489" s="233"/>
      <c r="M489" s="277"/>
      <c r="N489" s="277"/>
      <c r="O489" s="277"/>
      <c r="P489" s="277"/>
      <c r="Q489" s="277"/>
      <c r="R489" s="277"/>
      <c r="S489" s="277"/>
      <c r="T489" s="277"/>
      <c r="U489" s="278"/>
      <c r="V489" s="103"/>
      <c r="W489" s="84">
        <f t="shared" si="212"/>
        <v>61</v>
      </c>
      <c r="X489" s="84"/>
      <c r="Y489" s="78">
        <f>SUM(E468:E489)</f>
        <v>60</v>
      </c>
      <c r="Z489" s="72" t="str">
        <f t="shared" si="210"/>
        <v/>
      </c>
      <c r="AA489" s="72" t="str">
        <f t="shared" si="211"/>
        <v/>
      </c>
      <c r="AB489" s="72"/>
      <c r="AC489" s="72">
        <f t="shared" si="196"/>
        <v>1</v>
      </c>
      <c r="AD489" s="72">
        <f t="shared" si="197"/>
        <v>1</v>
      </c>
      <c r="AE489" s="109" t="str">
        <f t="shared" si="198"/>
        <v>0-0</v>
      </c>
      <c r="AF489" s="109" t="str">
        <f t="shared" si="199"/>
        <v>Y</v>
      </c>
      <c r="AG489" s="109" t="str">
        <f t="shared" si="200"/>
        <v>B</v>
      </c>
      <c r="AM489" s="109">
        <f t="shared" si="201"/>
        <v>0</v>
      </c>
      <c r="AN489" s="109">
        <f t="shared" si="202"/>
        <v>0</v>
      </c>
      <c r="AO489" s="109" t="str">
        <f t="shared" si="203"/>
        <v/>
      </c>
      <c r="AQ489" s="109" t="str">
        <f t="shared" si="204"/>
        <v/>
      </c>
      <c r="BA489" s="229">
        <f>MOD(SUM(E468:E490),12)</f>
        <v>0</v>
      </c>
    </row>
    <row r="490" spans="1:53" ht="15.75" thickBot="1" x14ac:dyDescent="0.3">
      <c r="A490" s="88"/>
      <c r="B490" s="66" t="s">
        <v>300</v>
      </c>
      <c r="C490" s="67"/>
      <c r="D490" s="102"/>
      <c r="E490" s="32"/>
      <c r="F490" s="32"/>
      <c r="G490" s="68" t="s">
        <v>277</v>
      </c>
      <c r="H490" s="69">
        <f t="shared" si="205"/>
        <v>0</v>
      </c>
      <c r="I490" s="70">
        <f t="shared" si="206"/>
        <v>0</v>
      </c>
      <c r="J490" s="73" t="str">
        <f t="shared" si="207"/>
        <v>--</v>
      </c>
      <c r="K490" s="32"/>
      <c r="L490" s="233"/>
      <c r="M490" s="277"/>
      <c r="N490" s="277"/>
      <c r="O490" s="277"/>
      <c r="P490" s="277"/>
      <c r="Q490" s="277"/>
      <c r="R490" s="277"/>
      <c r="S490" s="277"/>
      <c r="T490" s="277"/>
      <c r="U490" s="278"/>
      <c r="V490" s="103"/>
      <c r="W490" s="84">
        <f t="shared" si="212"/>
        <v>61</v>
      </c>
      <c r="X490" s="84"/>
      <c r="Y490" s="78">
        <f>SUM(E468:E490)</f>
        <v>60</v>
      </c>
      <c r="Z490" s="72" t="str">
        <f t="shared" si="210"/>
        <v/>
      </c>
      <c r="AA490" s="72" t="str">
        <f t="shared" si="211"/>
        <v/>
      </c>
      <c r="AB490" s="72"/>
      <c r="AC490" s="72">
        <f t="shared" si="196"/>
        <v>1</v>
      </c>
      <c r="AD490" s="72">
        <f t="shared" si="197"/>
        <v>1</v>
      </c>
      <c r="AE490" s="109" t="str">
        <f t="shared" si="198"/>
        <v>0-0</v>
      </c>
      <c r="AF490" s="109" t="str">
        <f t="shared" si="199"/>
        <v>Y</v>
      </c>
      <c r="AG490" s="109" t="str">
        <f t="shared" si="200"/>
        <v>B</v>
      </c>
      <c r="AM490" s="109">
        <f t="shared" si="201"/>
        <v>0</v>
      </c>
      <c r="AN490" s="109">
        <f t="shared" si="202"/>
        <v>0</v>
      </c>
      <c r="AO490" s="109" t="str">
        <f t="shared" si="203"/>
        <v/>
      </c>
      <c r="AQ490" s="109" t="str">
        <f t="shared" si="204"/>
        <v/>
      </c>
      <c r="BA490" s="229">
        <f>MOD(SUM(E468:E491),12)</f>
        <v>0</v>
      </c>
    </row>
    <row r="491" spans="1:53" ht="15.75" thickBot="1" x14ac:dyDescent="0.3">
      <c r="A491" s="88"/>
      <c r="B491" s="66" t="s">
        <v>301</v>
      </c>
      <c r="C491" s="67"/>
      <c r="D491" s="102"/>
      <c r="E491" s="32"/>
      <c r="F491" s="32"/>
      <c r="G491" s="68" t="s">
        <v>277</v>
      </c>
      <c r="H491" s="69">
        <f t="shared" si="205"/>
        <v>0</v>
      </c>
      <c r="I491" s="70">
        <f t="shared" si="206"/>
        <v>0</v>
      </c>
      <c r="J491" s="73" t="str">
        <f t="shared" si="207"/>
        <v>--</v>
      </c>
      <c r="K491" s="32"/>
      <c r="L491" s="233"/>
      <c r="M491" s="277"/>
      <c r="N491" s="277"/>
      <c r="O491" s="277"/>
      <c r="P491" s="277"/>
      <c r="Q491" s="277"/>
      <c r="R491" s="277"/>
      <c r="S491" s="277"/>
      <c r="T491" s="277"/>
      <c r="U491" s="278"/>
      <c r="V491" s="103"/>
      <c r="W491" s="84">
        <f t="shared" si="212"/>
        <v>61</v>
      </c>
      <c r="X491" s="84"/>
      <c r="Y491" s="78">
        <f>SUM(E468:E491)</f>
        <v>60</v>
      </c>
      <c r="Z491" s="72" t="str">
        <f t="shared" si="210"/>
        <v/>
      </c>
      <c r="AA491" s="72" t="str">
        <f t="shared" si="211"/>
        <v/>
      </c>
      <c r="AB491" s="72"/>
      <c r="AC491" s="72">
        <f t="shared" si="196"/>
        <v>1</v>
      </c>
      <c r="AD491" s="72">
        <f t="shared" si="197"/>
        <v>1</v>
      </c>
      <c r="AE491" s="109" t="str">
        <f t="shared" si="198"/>
        <v>0-0</v>
      </c>
      <c r="AF491" s="109" t="str">
        <f t="shared" si="199"/>
        <v>Y</v>
      </c>
      <c r="AG491" s="109" t="str">
        <f t="shared" si="200"/>
        <v>B</v>
      </c>
      <c r="AM491" s="109">
        <f t="shared" si="201"/>
        <v>0</v>
      </c>
      <c r="AN491" s="109">
        <f t="shared" si="202"/>
        <v>0</v>
      </c>
      <c r="AO491" s="109" t="str">
        <f t="shared" si="203"/>
        <v/>
      </c>
      <c r="AQ491" s="109" t="str">
        <f t="shared" si="204"/>
        <v/>
      </c>
      <c r="BA491" s="229">
        <f>MOD(SUM(E468:E492),12)</f>
        <v>0</v>
      </c>
    </row>
    <row r="492" spans="1:53" ht="15.75" thickBot="1" x14ac:dyDescent="0.3">
      <c r="A492" s="88"/>
      <c r="B492" s="66" t="s">
        <v>302</v>
      </c>
      <c r="C492" s="67"/>
      <c r="D492" s="102"/>
      <c r="E492" s="32"/>
      <c r="F492" s="32"/>
      <c r="G492" s="68" t="s">
        <v>277</v>
      </c>
      <c r="H492" s="69">
        <f t="shared" si="205"/>
        <v>0</v>
      </c>
      <c r="I492" s="70">
        <f t="shared" si="206"/>
        <v>0</v>
      </c>
      <c r="J492" s="73" t="str">
        <f t="shared" si="207"/>
        <v>--</v>
      </c>
      <c r="K492" s="32"/>
      <c r="L492" s="234"/>
      <c r="M492" s="277"/>
      <c r="N492" s="277"/>
      <c r="O492" s="277"/>
      <c r="P492" s="277"/>
      <c r="Q492" s="277"/>
      <c r="R492" s="277"/>
      <c r="S492" s="277"/>
      <c r="T492" s="277"/>
      <c r="U492" s="278"/>
      <c r="V492" s="103"/>
      <c r="W492" s="72"/>
      <c r="X492" s="72"/>
      <c r="Y492" s="78">
        <f>SUM(E468:E492)</f>
        <v>60</v>
      </c>
      <c r="Z492" s="72" t="str">
        <f t="shared" si="210"/>
        <v/>
      </c>
      <c r="AA492" s="72" t="str">
        <f t="shared" si="211"/>
        <v/>
      </c>
      <c r="AB492" s="72"/>
      <c r="AC492" s="72">
        <f t="shared" si="196"/>
        <v>1</v>
      </c>
      <c r="AD492" s="72">
        <f t="shared" si="197"/>
        <v>1</v>
      </c>
      <c r="AE492" s="109" t="str">
        <f t="shared" si="198"/>
        <v>0-0</v>
      </c>
      <c r="AF492" s="109" t="str">
        <f t="shared" si="199"/>
        <v>Y</v>
      </c>
      <c r="AG492" s="109" t="str">
        <f t="shared" si="200"/>
        <v>B</v>
      </c>
      <c r="AM492" s="109">
        <f t="shared" si="201"/>
        <v>0</v>
      </c>
      <c r="AN492" s="109">
        <f t="shared" si="202"/>
        <v>0</v>
      </c>
      <c r="AO492" s="109" t="str">
        <f t="shared" si="203"/>
        <v/>
      </c>
      <c r="AQ492" s="109" t="str">
        <f t="shared" si="204"/>
        <v/>
      </c>
      <c r="BA492" s="228"/>
    </row>
    <row r="493" spans="1:53" ht="16.5" thickBot="1" x14ac:dyDescent="0.3">
      <c r="A493" s="88"/>
      <c r="B493" s="319" t="s">
        <v>327</v>
      </c>
      <c r="C493" s="320"/>
      <c r="D493" s="79"/>
      <c r="E493" s="80"/>
      <c r="F493" s="80"/>
      <c r="G493" s="81"/>
      <c r="H493" s="192"/>
      <c r="I493" s="192"/>
      <c r="J493" s="192"/>
      <c r="K493" s="82"/>
      <c r="L493" s="319" t="s">
        <v>306</v>
      </c>
      <c r="M493" s="330"/>
      <c r="N493" s="330"/>
      <c r="O493" s="330"/>
      <c r="P493" s="330"/>
      <c r="Q493" s="330"/>
      <c r="R493" s="330"/>
      <c r="S493" s="330"/>
      <c r="T493" s="330"/>
      <c r="U493" s="320"/>
      <c r="V493" s="104"/>
      <c r="W493" s="72"/>
      <c r="X493" s="72"/>
      <c r="Y493" s="72"/>
      <c r="Z493" s="72"/>
      <c r="AA493" s="72" t="str">
        <f t="shared" si="211"/>
        <v/>
      </c>
      <c r="AB493" s="72"/>
      <c r="AC493" s="72">
        <f>SUM(AC468:AC492)</f>
        <v>25</v>
      </c>
      <c r="AD493" s="72">
        <f>SUM(AD468:AD492)</f>
        <v>23</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319" t="s">
        <v>307</v>
      </c>
      <c r="C494" s="320"/>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11"/>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312" t="s">
        <v>222</v>
      </c>
      <c r="C498" s="313"/>
      <c r="D498" s="314" t="s">
        <v>223</v>
      </c>
      <c r="E498" s="305"/>
      <c r="F498" s="88"/>
      <c r="G498" s="315" t="s">
        <v>224</v>
      </c>
      <c r="H498" s="316"/>
      <c r="I498" s="28">
        <f>SUM(E509:E533)</f>
        <v>12</v>
      </c>
      <c r="J498" s="317" t="s">
        <v>225</v>
      </c>
      <c r="K498" s="318"/>
      <c r="L498" s="305"/>
      <c r="M498" s="196">
        <v>2</v>
      </c>
      <c r="N498" s="35">
        <f>SUM(AI498,AI509)</f>
        <v>0</v>
      </c>
      <c r="O498" s="35">
        <v>0</v>
      </c>
      <c r="P498" s="35">
        <f>SUM(AJ498,AJ509)</f>
        <v>0</v>
      </c>
      <c r="Q498" s="35">
        <v>0</v>
      </c>
      <c r="R498" s="35">
        <f>COUNTIFS($E509:$E533,"2",$F509:$F533,"Pole",$C509:$C533,"FST")</f>
        <v>0</v>
      </c>
      <c r="S498" s="35">
        <f>SUM(AL498,AK509)</f>
        <v>0</v>
      </c>
      <c r="T498" s="35">
        <v>0</v>
      </c>
      <c r="U498" s="35">
        <f>SUM(AK498,AL509)</f>
        <v>2</v>
      </c>
      <c r="V498" s="35">
        <v>0</v>
      </c>
      <c r="W498" s="34">
        <f>COUNTIFS($E509:$E533,"2",$F509:$F533,"HH",$C509:$C533,"FST")</f>
        <v>2</v>
      </c>
      <c r="X498" s="35">
        <f>COUNTIFS($E509:$E533,"2",$F509:$F533,"Ped",$C509:$C533,"FST")</f>
        <v>0</v>
      </c>
      <c r="Y498" s="25"/>
      <c r="Z498" s="295" t="s">
        <v>226</v>
      </c>
      <c r="AA498" s="296"/>
      <c r="AB498" s="297"/>
      <c r="AC498" s="25"/>
      <c r="AD498" s="25"/>
      <c r="AH498" s="109">
        <v>2</v>
      </c>
      <c r="AI498" s="109" t="str">
        <f>IF($E499="SS",COUNTIFS($C509:$C533,"FST",$E509:$E533,"2"),"0")</f>
        <v>0</v>
      </c>
      <c r="AJ498" s="109" t="str">
        <f>IF($E499="RPX",COUNTIFS($C509:$C533,"FST",$E509:$E533,"2"),"0")</f>
        <v>0</v>
      </c>
      <c r="AK498" s="109">
        <f>IF($E499="EUC",COUNTIFS($C509:$C533,"FST",$E509:$E533,"2"),"0")</f>
        <v>2</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EUC</v>
      </c>
      <c r="F499" s="88"/>
      <c r="G499" s="304" t="s">
        <v>230</v>
      </c>
      <c r="H499" s="305"/>
      <c r="I499" s="33">
        <f>E500-I498</f>
        <v>12</v>
      </c>
      <c r="J499" s="289" t="s">
        <v>231</v>
      </c>
      <c r="K499" s="290"/>
      <c r="L499" s="34">
        <f>I503</f>
        <v>637</v>
      </c>
      <c r="M499" s="196">
        <v>4</v>
      </c>
      <c r="N499" s="35">
        <f>SUM(AI499,AI510)</f>
        <v>0</v>
      </c>
      <c r="O499" s="35">
        <v>0</v>
      </c>
      <c r="P499" s="35">
        <f>SUM(AJ499,AJ510)</f>
        <v>0</v>
      </c>
      <c r="Q499" s="35">
        <v>0</v>
      </c>
      <c r="R499" s="35">
        <f>COUNTIFS($E509:$E533,"4",$F509:$F533,"Pole",$C509:$C533,"FST")</f>
        <v>0</v>
      </c>
      <c r="S499" s="35">
        <f>SUM(AL499,AK510)</f>
        <v>0</v>
      </c>
      <c r="T499" s="35">
        <v>0</v>
      </c>
      <c r="U499" s="35">
        <f>SUM(AK499,AL510)</f>
        <v>2</v>
      </c>
      <c r="V499" s="35">
        <v>0</v>
      </c>
      <c r="W499" s="34">
        <f>COUNTIFS($E509:$E533,"4",$F509:$F533,"HH",$C509:$C533,"FST")</f>
        <v>2</v>
      </c>
      <c r="X499" s="35">
        <f>COUNTIFS($E509:$E533,"4",$F509:$F533,"Ped",$C509:$C533,"FST")</f>
        <v>0</v>
      </c>
      <c r="Y499" s="25"/>
      <c r="Z499" s="298" t="s">
        <v>232</v>
      </c>
      <c r="AA499" s="300" t="s">
        <v>233</v>
      </c>
      <c r="AB499" s="301"/>
      <c r="AC499" s="25"/>
      <c r="AD499" s="25"/>
      <c r="AH499" s="109">
        <v>4</v>
      </c>
      <c r="AI499" s="109" t="str">
        <f>IF($E499="SS",COUNTIFS($C509:$C533,"FST",$E509:$E533,"4"),"0")</f>
        <v>0</v>
      </c>
      <c r="AJ499" s="109" t="str">
        <f>IF($E499="RPX",COUNTIFS($C509:$C533,"FST",$E509:$E533,"4"),"0")</f>
        <v>0</v>
      </c>
      <c r="AK499" s="109">
        <f>IF($E499="EUC",COUNTIFS($C509:$C533,"FST",$E509:$E533,"4"),"0")</f>
        <v>2</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24</v>
      </c>
      <c r="F500" s="88"/>
      <c r="G500" s="291" t="s">
        <v>237</v>
      </c>
      <c r="H500" s="292"/>
      <c r="I500" s="35">
        <f>IF(E500=0,0,12-(MOD(I498,12)))</f>
        <v>12</v>
      </c>
      <c r="J500" s="289" t="s">
        <v>238</v>
      </c>
      <c r="K500" s="290"/>
      <c r="L500" s="39">
        <f>I504-I498</f>
        <v>636</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299"/>
      <c r="AA500" s="302"/>
      <c r="AB500" s="303"/>
      <c r="AC500" s="25"/>
      <c r="AD500" s="25"/>
      <c r="AH500" s="109">
        <v>6</v>
      </c>
      <c r="AI500" s="109" t="str">
        <f>IF($E499="SS",COUNTIFS($C509:$C533,"FST",$E509:$E533,"6"),"0")</f>
        <v>0</v>
      </c>
      <c r="AJ500" s="109" t="str">
        <f>IF($E499="RPX",COUNTIFS($C509:$C533,"FST",$E509:$E533,"6"),"0")</f>
        <v>0</v>
      </c>
      <c r="AK500" s="109">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12</v>
      </c>
      <c r="F501" s="88"/>
      <c r="G501" s="321" t="s">
        <v>242</v>
      </c>
      <c r="H501" s="43" t="s">
        <v>243</v>
      </c>
      <c r="I501" s="35">
        <f>IF(E501&lt;&gt;0,1,0)</f>
        <v>1</v>
      </c>
      <c r="J501" s="291" t="s">
        <v>244</v>
      </c>
      <c r="K501" s="292"/>
      <c r="L501" s="44">
        <f>'Cable Calculator'!BL3</f>
        <v>490</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637</v>
      </c>
      <c r="F502" s="88"/>
      <c r="G502" s="322"/>
      <c r="H502" s="47" t="s">
        <v>248</v>
      </c>
      <c r="I502" s="35">
        <f>IF(E501&lt;&gt;0,E501,0)</f>
        <v>12</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f>IF($E499="EUC",SUM(AK502,AL513,AM534,AO534,AQ534),"0")</f>
        <v>0</v>
      </c>
      <c r="V502" s="35">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2</v>
      </c>
      <c r="F503" s="88"/>
      <c r="G503" s="321" t="s">
        <v>251</v>
      </c>
      <c r="H503" s="51" t="s">
        <v>252</v>
      </c>
      <c r="I503" s="112">
        <f>E502</f>
        <v>637</v>
      </c>
      <c r="J503" s="323" t="s">
        <v>253</v>
      </c>
      <c r="K503" s="324"/>
      <c r="L503" s="325"/>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N</v>
      </c>
      <c r="F504" s="88"/>
      <c r="G504" s="322"/>
      <c r="H504" s="47" t="s">
        <v>257</v>
      </c>
      <c r="I504" s="35">
        <f>IF(E502="","0",IF(AND(E499="EUC",E500=432), I503+(203-E501),IF(E502=0,0,(E502+(E500-E501)-1))))</f>
        <v>648</v>
      </c>
      <c r="J504" s="285" t="str">
        <f>IFERROR(IF(OR(E499="EUC",E499="SS"),"---",IF(OR(P498,S498),"NO 2F Tethers for RPX!",IF(OR(P500,S500),"NO 6F Tethers for RPX!","---"))),"---")</f>
        <v>---</v>
      </c>
      <c r="K504" s="286"/>
      <c r="L504" s="287"/>
      <c r="M504" s="285" t="str">
        <f>IF(E501&gt;60,"Dead Count &gt;60: Consider Downsize","---")</f>
        <v>---</v>
      </c>
      <c r="N504" s="286"/>
      <c r="O504" s="286"/>
      <c r="P504" s="286"/>
      <c r="Q504" s="286"/>
      <c r="R504" s="286"/>
      <c r="S504" s="286"/>
      <c r="T504" s="286"/>
      <c r="U504" s="287"/>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12</v>
      </c>
      <c r="D505" s="31" t="s">
        <v>259</v>
      </c>
      <c r="E505" s="101" t="str">
        <f>IF(AS499="Y","DBL",IF(AS500="Y","TRPL",IF(AS501="Y","QUAD","")))</f>
        <v/>
      </c>
      <c r="F505" s="88"/>
      <c r="G505" s="192"/>
      <c r="H505" s="57"/>
      <c r="I505" s="192"/>
      <c r="J505" s="285"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86"/>
      <c r="L505" s="287"/>
      <c r="M505" s="285" t="str">
        <f>IF(AND(OR(E499="SS",E499="RPX",E499="EUC",E499="RPX-T"),(OR(C509="",C509="Field SPL"))),"Cannot have FlexNap cables without tethers","---")</f>
        <v>---</v>
      </c>
      <c r="N505" s="286"/>
      <c r="O505" s="286"/>
      <c r="P505" s="286"/>
      <c r="Q505" s="286"/>
      <c r="R505" s="286"/>
      <c r="S505" s="286"/>
      <c r="T505" s="286"/>
      <c r="U505" s="287"/>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85" t="str">
        <f>IF(AND(OR(E499="RPX", E499="RPX-T", E499="SS"),E500=216),"NO 216 For RPX, RPX-T, OR SS CABLE","---")</f>
        <v>---</v>
      </c>
      <c r="K506" s="286"/>
      <c r="L506" s="287"/>
      <c r="M506" s="285" t="str" cm="1">
        <f t="array" ref="M506">IF(AND(E499="",OR(C509:C533="FST",C509:C533="REV T",C509:C533="DBL REV",C509:C533="TPL REV", C509:C533="QD REV")),"Non-FlexNap cables cannot have tethers","---")</f>
        <v>---</v>
      </c>
      <c r="N506" s="286"/>
      <c r="O506" s="286"/>
      <c r="P506" s="286"/>
      <c r="Q506" s="286"/>
      <c r="R506" s="286"/>
      <c r="S506" s="286"/>
      <c r="T506" s="286"/>
      <c r="U506" s="287"/>
      <c r="V506" s="25"/>
      <c r="W506" s="58"/>
      <c r="X506" s="58"/>
      <c r="Y506" s="25"/>
      <c r="Z506" s="45">
        <v>6</v>
      </c>
      <c r="AA506" s="65">
        <v>61</v>
      </c>
      <c r="AB506" s="65">
        <v>72</v>
      </c>
      <c r="AC506" s="25"/>
      <c r="AD506" s="25"/>
      <c r="BA506" s="226"/>
    </row>
    <row r="507" spans="1:53" ht="15.75" customHeight="1" thickBot="1" x14ac:dyDescent="0.3">
      <c r="A507" s="88"/>
      <c r="B507" s="321" t="s">
        <v>260</v>
      </c>
      <c r="C507" s="293" t="s">
        <v>261</v>
      </c>
      <c r="D507" s="293" t="s">
        <v>262</v>
      </c>
      <c r="E507" s="306" t="s">
        <v>263</v>
      </c>
      <c r="F507" s="293" t="s">
        <v>264</v>
      </c>
      <c r="G507" s="308" t="s">
        <v>265</v>
      </c>
      <c r="H507" s="308" t="s">
        <v>266</v>
      </c>
      <c r="I507" s="308" t="s">
        <v>267</v>
      </c>
      <c r="J507" s="310" t="s">
        <v>268</v>
      </c>
      <c r="K507" s="293" t="s">
        <v>269</v>
      </c>
      <c r="L507" s="279" t="s">
        <v>270</v>
      </c>
      <c r="M507" s="281" t="s">
        <v>271</v>
      </c>
      <c r="N507" s="281"/>
      <c r="O507" s="281"/>
      <c r="P507" s="281"/>
      <c r="Q507" s="281"/>
      <c r="R507" s="281"/>
      <c r="S507" s="281"/>
      <c r="T507" s="281"/>
      <c r="U507" s="282"/>
      <c r="V507" s="107"/>
      <c r="W507" s="72"/>
      <c r="X507" s="72"/>
      <c r="Y507" s="72"/>
      <c r="Z507" s="45">
        <v>7</v>
      </c>
      <c r="AA507" s="65">
        <v>73</v>
      </c>
      <c r="AB507" s="65">
        <v>84</v>
      </c>
      <c r="AC507" s="25"/>
      <c r="AD507" s="25"/>
      <c r="BA507" s="228"/>
    </row>
    <row r="508" spans="1:53" ht="15.75" thickBot="1" x14ac:dyDescent="0.3">
      <c r="A508" s="88"/>
      <c r="B508" s="322"/>
      <c r="C508" s="294"/>
      <c r="D508" s="294"/>
      <c r="E508" s="307"/>
      <c r="F508" s="294"/>
      <c r="G508" s="309"/>
      <c r="H508" s="309"/>
      <c r="I508" s="309"/>
      <c r="J508" s="311"/>
      <c r="K508" s="294"/>
      <c r="L508" s="280"/>
      <c r="M508" s="283"/>
      <c r="N508" s="283"/>
      <c r="O508" s="283"/>
      <c r="P508" s="283"/>
      <c r="Q508" s="283"/>
      <c r="R508" s="283"/>
      <c r="S508" s="283"/>
      <c r="T508" s="283"/>
      <c r="U508" s="284"/>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764</v>
      </c>
      <c r="E509" s="32">
        <v>2</v>
      </c>
      <c r="F509" s="32" t="s">
        <v>488</v>
      </c>
      <c r="G509" s="68" t="s">
        <v>277</v>
      </c>
      <c r="H509" s="69">
        <f>IF(I509=0,0,I509-(E509-1))</f>
        <v>647</v>
      </c>
      <c r="I509" s="70">
        <f>IF(E509=0,0,I504)</f>
        <v>648</v>
      </c>
      <c r="J509" s="71" t="s">
        <v>278</v>
      </c>
      <c r="K509" s="32"/>
      <c r="L509" s="233"/>
      <c r="M509" s="277"/>
      <c r="N509" s="277"/>
      <c r="O509" s="277"/>
      <c r="P509" s="277"/>
      <c r="Q509" s="277"/>
      <c r="R509" s="277"/>
      <c r="S509" s="277"/>
      <c r="T509" s="277"/>
      <c r="U509" s="278"/>
      <c r="V509" s="103"/>
      <c r="W509" s="72"/>
      <c r="X509" s="72"/>
      <c r="Y509" s="72"/>
      <c r="Z509" s="45">
        <v>9</v>
      </c>
      <c r="AA509" s="46">
        <v>97</v>
      </c>
      <c r="AB509" s="46">
        <v>108</v>
      </c>
      <c r="AC509" s="72">
        <f t="shared" ref="AC509:AC533" si="213">IF(B509&lt;&gt;"FST",1,0)</f>
        <v>1</v>
      </c>
      <c r="AD509" s="72">
        <f t="shared" ref="AD509:AD533" si="214">IF(C509&lt;&gt;"FST",1,0)</f>
        <v>0</v>
      </c>
      <c r="AE509" s="109" t="str">
        <f t="shared" ref="AE509:AE533" si="215">CONCATENATE(H509,"-",I509)</f>
        <v>647-648</v>
      </c>
      <c r="AF509" s="109" t="str">
        <f t="shared" ref="AF509:AF533" si="216">IF(C509="Field SPL","N","Y")</f>
        <v>Y</v>
      </c>
      <c r="AG509" s="109" t="str">
        <f t="shared" ref="AG509:AG533" si="217">IF(OR(E$499="RPX",E$499="SS"),"A","B")</f>
        <v>B</v>
      </c>
      <c r="AH509" s="109">
        <v>2</v>
      </c>
      <c r="AI509" s="109" t="str">
        <f>IF(E499="SS",COUNTIFS(C509:C533,"TCF",E509:E533,"2"),"")</f>
        <v/>
      </c>
      <c r="AJ509" s="109" t="str">
        <f>IF(E499="RPX",COUNTIFS(C509:C533,"TCF",E509:E533,"2"),"")</f>
        <v/>
      </c>
      <c r="AK509" s="109" t="str">
        <f>IF(E499="RPX-T",COUNTIFS(C509:C533,"TCF",E509:E533,"2"),"")</f>
        <v/>
      </c>
      <c r="AL509" s="109">
        <f>IF(E499="EUC",COUNTIFS(C509:C533,"TCF",E509:E533,"2"),"")</f>
        <v>0</v>
      </c>
      <c r="AM509" s="109">
        <f t="shared" ref="AM509:AM533" si="218">VALUE(IF(C509="FST","0",IF(C509="REV T","1",IF(C509="DBL REV",".5","0"))))</f>
        <v>0</v>
      </c>
      <c r="AN509" s="109">
        <f t="shared" ref="AN509:AN533" si="219">VALUE(IF(C509="FST","0",IF(C509="REV T","0",IF(C509="DBL REV",".5","0"))))</f>
        <v>0</v>
      </c>
      <c r="AO509" s="109" t="str">
        <f t="shared" ref="AO509:AO533" si="220">IF(C509="TPL REV","Y","")</f>
        <v/>
      </c>
      <c r="AQ509" s="109" t="str">
        <f t="shared" ref="AQ509:AQ533" si="221">IF(C509="QD REV","Y","")</f>
        <v/>
      </c>
      <c r="BA509" s="229">
        <f>MOD(E509,12)</f>
        <v>2</v>
      </c>
    </row>
    <row r="510" spans="1:53" ht="15.75" thickBot="1" x14ac:dyDescent="0.3">
      <c r="A510" s="88"/>
      <c r="B510" s="66" t="s">
        <v>279</v>
      </c>
      <c r="C510" s="67" t="s">
        <v>484</v>
      </c>
      <c r="D510" s="102" t="s">
        <v>819</v>
      </c>
      <c r="E510" s="32">
        <v>2</v>
      </c>
      <c r="F510" s="32" t="s">
        <v>488</v>
      </c>
      <c r="G510" s="68" t="s">
        <v>277</v>
      </c>
      <c r="H510" s="69">
        <f t="shared" ref="H510:H533" si="222">IF(E510=0,0,I510-(E510-1))</f>
        <v>645</v>
      </c>
      <c r="I510" s="70">
        <f t="shared" ref="I510:I533" si="223">IF(E510=0,0,H509-1)</f>
        <v>646</v>
      </c>
      <c r="J510" s="73" t="str">
        <f>IF(C510="","--",IF(AND(C510&lt;&gt;"FST",C510&lt;&gt;"TCF",BA509&lt;&gt;0),BA509,"--"))</f>
        <v>--</v>
      </c>
      <c r="K510" s="32"/>
      <c r="L510" s="233"/>
      <c r="M510" s="277"/>
      <c r="N510" s="277"/>
      <c r="O510" s="277"/>
      <c r="P510" s="277"/>
      <c r="Q510" s="277"/>
      <c r="R510" s="277"/>
      <c r="S510" s="277"/>
      <c r="T510" s="277"/>
      <c r="U510" s="278"/>
      <c r="V510" s="103"/>
      <c r="W510" s="72"/>
      <c r="X510" s="72"/>
      <c r="Y510" s="72"/>
      <c r="Z510" s="45">
        <v>10</v>
      </c>
      <c r="AA510" s="46">
        <v>109</v>
      </c>
      <c r="AB510" s="46">
        <v>120</v>
      </c>
      <c r="AC510" s="72">
        <f t="shared" si="213"/>
        <v>1</v>
      </c>
      <c r="AD510" s="72">
        <f t="shared" si="214"/>
        <v>0</v>
      </c>
      <c r="AE510" s="109" t="str">
        <f t="shared" si="215"/>
        <v>645-646</v>
      </c>
      <c r="AF510" s="109" t="str">
        <f t="shared" si="216"/>
        <v>Y</v>
      </c>
      <c r="AG510" s="109" t="str">
        <f t="shared" si="217"/>
        <v>B</v>
      </c>
      <c r="AH510" s="109">
        <v>4</v>
      </c>
      <c r="AI510" s="109" t="str">
        <f>IF(E499="SS",COUNTIFS(C509:C533,"TCF",E509:E533,"4"),"")</f>
        <v/>
      </c>
      <c r="AJ510" s="109" t="str">
        <f>IF(E499="RPX",COUNTIFS(C509:C533,"TCF",E509:E533,"4"),"")</f>
        <v/>
      </c>
      <c r="AK510" s="109" t="str">
        <f>IF(E499="RPX-T",COUNTIFS(C509:C533,"TCF",E509:E533,"4"),"")</f>
        <v/>
      </c>
      <c r="AL510" s="109">
        <f>IF(E499="EUC",COUNTIFS(C509:C533,"TCF",E509:E533,"4"),"")</f>
        <v>0</v>
      </c>
      <c r="AM510" s="109">
        <f t="shared" si="218"/>
        <v>0</v>
      </c>
      <c r="AN510" s="109">
        <f t="shared" si="219"/>
        <v>0</v>
      </c>
      <c r="AO510" s="109" t="str">
        <f t="shared" si="220"/>
        <v/>
      </c>
      <c r="AQ510" s="109" t="str">
        <f t="shared" si="221"/>
        <v/>
      </c>
      <c r="BA510" s="229">
        <f>MOD(SUM(E509:E510),12)</f>
        <v>4</v>
      </c>
    </row>
    <row r="511" spans="1:53" ht="15.75" thickBot="1" x14ac:dyDescent="0.3">
      <c r="A511" s="88"/>
      <c r="B511" s="74" t="s">
        <v>280</v>
      </c>
      <c r="C511" s="67" t="s">
        <v>484</v>
      </c>
      <c r="D511" s="102" t="s">
        <v>820</v>
      </c>
      <c r="E511" s="32">
        <v>4</v>
      </c>
      <c r="F511" s="32" t="s">
        <v>488</v>
      </c>
      <c r="G511" s="75" t="s">
        <v>277</v>
      </c>
      <c r="H511" s="69">
        <f t="shared" si="222"/>
        <v>641</v>
      </c>
      <c r="I511" s="70">
        <f t="shared" si="223"/>
        <v>644</v>
      </c>
      <c r="J511" s="73" t="str">
        <f t="shared" ref="J511:J533" si="224">IF(C511="","--",IF(AND(C511&lt;&gt;"FST",C511&lt;&gt;"TCF",BA510&lt;&gt;0),BA510,"--"))</f>
        <v>--</v>
      </c>
      <c r="K511" s="32"/>
      <c r="L511" s="233"/>
      <c r="M511" s="277"/>
      <c r="N511" s="277"/>
      <c r="O511" s="277"/>
      <c r="P511" s="277"/>
      <c r="Q511" s="277"/>
      <c r="R511" s="277"/>
      <c r="S511" s="277"/>
      <c r="T511" s="277"/>
      <c r="U511" s="278"/>
      <c r="V511" s="103"/>
      <c r="W511" s="72"/>
      <c r="X511" s="72"/>
      <c r="Y511" s="72"/>
      <c r="Z511" s="45">
        <v>11</v>
      </c>
      <c r="AA511" s="46">
        <v>121</v>
      </c>
      <c r="AB511" s="46">
        <v>132</v>
      </c>
      <c r="AC511" s="72">
        <f t="shared" si="213"/>
        <v>1</v>
      </c>
      <c r="AD511" s="72">
        <f t="shared" si="214"/>
        <v>0</v>
      </c>
      <c r="AE511" s="109" t="str">
        <f t="shared" si="215"/>
        <v>641-644</v>
      </c>
      <c r="AF511" s="109" t="str">
        <f t="shared" si="216"/>
        <v>Y</v>
      </c>
      <c r="AG511" s="109" t="str">
        <f t="shared" si="217"/>
        <v>B</v>
      </c>
      <c r="AH511" s="109">
        <v>6</v>
      </c>
      <c r="AI511" s="109" t="str">
        <f>IF(E499="SS",COUNTIFS(C509:C533,"TCF",E509:E533,"6"),"")</f>
        <v/>
      </c>
      <c r="AJ511" s="109" t="str">
        <f>IF(E499="RPX",COUNTIFS(C509:C533,"TCF",E509:E533,"6"),"")</f>
        <v/>
      </c>
      <c r="AK511" s="109" t="str">
        <f>IF(E499="RPX-T",COUNTIFS(C509:C533,"TCF",E509:E533,"6"),"")</f>
        <v/>
      </c>
      <c r="AL511" s="109">
        <f>IF(E499="EUC",COUNTIFS(C509:C533,"TCF",E509:E533,"6"),"")</f>
        <v>0</v>
      </c>
      <c r="AM511" s="109">
        <f t="shared" si="218"/>
        <v>0</v>
      </c>
      <c r="AN511" s="109">
        <f t="shared" si="219"/>
        <v>0</v>
      </c>
      <c r="AO511" s="109" t="str">
        <f t="shared" si="220"/>
        <v/>
      </c>
      <c r="AQ511" s="109" t="str">
        <f t="shared" si="221"/>
        <v/>
      </c>
      <c r="BA511" s="229">
        <f>MOD(SUM(E509:E512),12)</f>
        <v>0</v>
      </c>
    </row>
    <row r="512" spans="1:53" ht="15.75" thickBot="1" x14ac:dyDescent="0.3">
      <c r="A512" s="88"/>
      <c r="B512" s="66" t="s">
        <v>281</v>
      </c>
      <c r="C512" s="67" t="s">
        <v>484</v>
      </c>
      <c r="D512" s="102" t="s">
        <v>821</v>
      </c>
      <c r="E512" s="32">
        <v>4</v>
      </c>
      <c r="F512" s="32" t="s">
        <v>488</v>
      </c>
      <c r="G512" s="68" t="s">
        <v>277</v>
      </c>
      <c r="H512" s="69">
        <f t="shared" si="222"/>
        <v>637</v>
      </c>
      <c r="I512" s="70">
        <f t="shared" si="223"/>
        <v>640</v>
      </c>
      <c r="J512" s="73" t="str">
        <f t="shared" si="224"/>
        <v>--</v>
      </c>
      <c r="K512" s="32"/>
      <c r="L512" s="233"/>
      <c r="M512" s="277"/>
      <c r="N512" s="277"/>
      <c r="O512" s="277"/>
      <c r="P512" s="277"/>
      <c r="Q512" s="277"/>
      <c r="R512" s="277"/>
      <c r="S512" s="277"/>
      <c r="T512" s="277"/>
      <c r="U512" s="278"/>
      <c r="V512" s="103"/>
      <c r="W512" s="72"/>
      <c r="X512" s="72"/>
      <c r="Y512" s="72"/>
      <c r="Z512" s="45">
        <v>12</v>
      </c>
      <c r="AA512" s="76">
        <v>133</v>
      </c>
      <c r="AB512" s="76">
        <v>144</v>
      </c>
      <c r="AC512" s="72">
        <f t="shared" si="213"/>
        <v>1</v>
      </c>
      <c r="AD512" s="72">
        <f t="shared" si="214"/>
        <v>0</v>
      </c>
      <c r="AE512" s="109" t="str">
        <f t="shared" si="215"/>
        <v>637-640</v>
      </c>
      <c r="AF512" s="109" t="str">
        <f t="shared" si="216"/>
        <v>Y</v>
      </c>
      <c r="AG512" s="109" t="str">
        <f t="shared" si="217"/>
        <v>B</v>
      </c>
      <c r="AH512" s="109">
        <v>8</v>
      </c>
      <c r="AI512" s="109" t="str">
        <f>IF(E499="SS",COUNTIFS(C509:C533,"TCF",E509:E533,"8"),"")</f>
        <v/>
      </c>
      <c r="AJ512" s="109" t="str">
        <f>IF(E499="RPX",COUNTIFS(C509:C533,"TCF",E509:E533,"8"),"")</f>
        <v/>
      </c>
      <c r="AK512" s="109" t="str">
        <f>IF(E499="RPX-T",COUNTIFS(C509:C533,"TCF",E509:E533,"8"),"")</f>
        <v/>
      </c>
      <c r="AL512" s="109">
        <f>IF(E499="EUC",COUNTIFS(C509:C533,"TCF",E509:E533,"8"),"")</f>
        <v>0</v>
      </c>
      <c r="AM512" s="109">
        <f t="shared" si="218"/>
        <v>0</v>
      </c>
      <c r="AN512" s="109">
        <f t="shared" si="219"/>
        <v>0</v>
      </c>
      <c r="AO512" s="109" t="str">
        <f t="shared" si="220"/>
        <v/>
      </c>
      <c r="AQ512" s="109" t="str">
        <f t="shared" si="221"/>
        <v/>
      </c>
      <c r="BA512" s="229">
        <f>MOD(SUM(E509:E513),12)</f>
        <v>0</v>
      </c>
    </row>
    <row r="513" spans="1:53" ht="15.75" thickBot="1" x14ac:dyDescent="0.3">
      <c r="A513" s="88"/>
      <c r="B513" s="66" t="s">
        <v>282</v>
      </c>
      <c r="C513" s="67"/>
      <c r="D513" s="102"/>
      <c r="E513" s="32"/>
      <c r="F513" s="32"/>
      <c r="G513" s="68" t="s">
        <v>277</v>
      </c>
      <c r="H513" s="69">
        <f t="shared" si="222"/>
        <v>0</v>
      </c>
      <c r="I513" s="70">
        <f t="shared" si="223"/>
        <v>0</v>
      </c>
      <c r="J513" s="73" t="str">
        <f t="shared" si="224"/>
        <v>--</v>
      </c>
      <c r="K513" s="32"/>
      <c r="L513" s="233"/>
      <c r="M513" s="277"/>
      <c r="N513" s="277"/>
      <c r="O513" s="277"/>
      <c r="P513" s="277"/>
      <c r="Q513" s="277"/>
      <c r="R513" s="277"/>
      <c r="S513" s="277"/>
      <c r="T513" s="277"/>
      <c r="U513" s="278"/>
      <c r="V513" s="103"/>
      <c r="W513" s="72"/>
      <c r="X513" s="72"/>
      <c r="Y513" s="72"/>
      <c r="Z513" s="45">
        <v>13</v>
      </c>
      <c r="AA513" s="77">
        <f t="shared" ref="AA513:AA518" si="225">AB512+1</f>
        <v>145</v>
      </c>
      <c r="AB513" s="77">
        <f t="shared" ref="AB513:AB518" si="226">AB512+12</f>
        <v>156</v>
      </c>
      <c r="AC513" s="72">
        <f t="shared" si="213"/>
        <v>1</v>
      </c>
      <c r="AD513" s="72">
        <f t="shared" si="214"/>
        <v>1</v>
      </c>
      <c r="AE513" s="109" t="str">
        <f t="shared" si="215"/>
        <v>0-0</v>
      </c>
      <c r="AF513" s="109" t="str">
        <f t="shared" si="216"/>
        <v>Y</v>
      </c>
      <c r="AG513" s="109" t="str">
        <f t="shared" si="217"/>
        <v>B</v>
      </c>
      <c r="AH513" s="109">
        <v>12</v>
      </c>
      <c r="AI513" s="109" t="str">
        <f>IF(E499="SS",COUNTIFS(C509:C533,"TCF",E509:E533,"12"),"")</f>
        <v/>
      </c>
      <c r="AJ513" s="109" t="str">
        <f>IF(E499="RPX",COUNTIFS(C509:C533,"TCF",E509:E533,"12"),"")</f>
        <v/>
      </c>
      <c r="AK513" s="109" t="str">
        <f>IF(E499="RPX-T",COUNTIFS(C509:C533,"TCF",E509:E533,"12"),"")</f>
        <v/>
      </c>
      <c r="AL513" s="109">
        <f>IF(E499="EUC",COUNTIFS(C509:C533,"TCF",E509:E533,"12"),"")</f>
        <v>0</v>
      </c>
      <c r="AM513" s="109">
        <f t="shared" si="218"/>
        <v>0</v>
      </c>
      <c r="AN513" s="109">
        <f t="shared" si="219"/>
        <v>0</v>
      </c>
      <c r="AO513" s="109" t="str">
        <f t="shared" si="220"/>
        <v/>
      </c>
      <c r="AQ513" s="109" t="str">
        <f t="shared" si="221"/>
        <v/>
      </c>
      <c r="BA513" s="229">
        <f>MOD(SUM(E509:E514),12)</f>
        <v>0</v>
      </c>
    </row>
    <row r="514" spans="1:53" ht="15.75" thickBot="1" x14ac:dyDescent="0.3">
      <c r="A514" s="88"/>
      <c r="B514" s="66" t="s">
        <v>283</v>
      </c>
      <c r="C514" s="67"/>
      <c r="D514" s="102"/>
      <c r="E514" s="32"/>
      <c r="F514" s="32"/>
      <c r="G514" s="68" t="s">
        <v>277</v>
      </c>
      <c r="H514" s="69">
        <f t="shared" si="222"/>
        <v>0</v>
      </c>
      <c r="I514" s="70">
        <f t="shared" si="223"/>
        <v>0</v>
      </c>
      <c r="J514" s="73" t="str">
        <f t="shared" si="224"/>
        <v>--</v>
      </c>
      <c r="K514" s="32"/>
      <c r="L514" s="233"/>
      <c r="M514" s="277"/>
      <c r="N514" s="277"/>
      <c r="O514" s="277"/>
      <c r="P514" s="277"/>
      <c r="Q514" s="277"/>
      <c r="R514" s="277"/>
      <c r="S514" s="277"/>
      <c r="T514" s="277"/>
      <c r="U514" s="278"/>
      <c r="V514" s="103"/>
      <c r="W514" s="72"/>
      <c r="X514" s="72"/>
      <c r="Y514" s="72"/>
      <c r="Z514" s="45">
        <v>14</v>
      </c>
      <c r="AA514" s="77">
        <f t="shared" si="225"/>
        <v>157</v>
      </c>
      <c r="AB514" s="77">
        <f t="shared" si="226"/>
        <v>168</v>
      </c>
      <c r="AC514" s="72">
        <f t="shared" si="213"/>
        <v>1</v>
      </c>
      <c r="AD514" s="72">
        <f t="shared" si="214"/>
        <v>1</v>
      </c>
      <c r="AE514" s="109" t="str">
        <f t="shared" si="215"/>
        <v>0-0</v>
      </c>
      <c r="AF514" s="109" t="str">
        <f t="shared" si="216"/>
        <v>Y</v>
      </c>
      <c r="AG514" s="109" t="str">
        <f t="shared" si="217"/>
        <v>B</v>
      </c>
      <c r="AM514" s="109">
        <f t="shared" si="218"/>
        <v>0</v>
      </c>
      <c r="AN514" s="109">
        <f t="shared" si="219"/>
        <v>0</v>
      </c>
      <c r="AO514" s="109" t="str">
        <f t="shared" si="220"/>
        <v/>
      </c>
      <c r="AQ514" s="109" t="str">
        <f t="shared" si="221"/>
        <v/>
      </c>
      <c r="BA514" s="229">
        <f>MOD(SUM(E509:E515),12)</f>
        <v>0</v>
      </c>
    </row>
    <row r="515" spans="1:53" ht="15.75" thickBot="1" x14ac:dyDescent="0.3">
      <c r="A515" s="88"/>
      <c r="B515" s="66" t="s">
        <v>284</v>
      </c>
      <c r="C515" s="67"/>
      <c r="D515" s="102"/>
      <c r="E515" s="32"/>
      <c r="F515" s="32"/>
      <c r="G515" s="68" t="s">
        <v>277</v>
      </c>
      <c r="H515" s="69">
        <f t="shared" si="222"/>
        <v>0</v>
      </c>
      <c r="I515" s="70">
        <f t="shared" si="223"/>
        <v>0</v>
      </c>
      <c r="J515" s="73" t="str">
        <f t="shared" si="224"/>
        <v>--</v>
      </c>
      <c r="K515" s="32"/>
      <c r="L515" s="233"/>
      <c r="M515" s="277"/>
      <c r="N515" s="277"/>
      <c r="O515" s="277"/>
      <c r="P515" s="277"/>
      <c r="Q515" s="277"/>
      <c r="R515" s="277"/>
      <c r="S515" s="277"/>
      <c r="T515" s="277"/>
      <c r="U515" s="278"/>
      <c r="V515" s="103"/>
      <c r="W515" s="72"/>
      <c r="X515" s="72"/>
      <c r="Y515" s="72"/>
      <c r="Z515" s="45">
        <v>15</v>
      </c>
      <c r="AA515" s="77">
        <f t="shared" si="225"/>
        <v>169</v>
      </c>
      <c r="AB515" s="77">
        <f t="shared" si="226"/>
        <v>180</v>
      </c>
      <c r="AC515" s="72">
        <f t="shared" si="213"/>
        <v>1</v>
      </c>
      <c r="AD515" s="72">
        <f t="shared" si="214"/>
        <v>1</v>
      </c>
      <c r="AE515" s="109" t="str">
        <f t="shared" si="215"/>
        <v>0-0</v>
      </c>
      <c r="AF515" s="109" t="str">
        <f t="shared" si="216"/>
        <v>Y</v>
      </c>
      <c r="AG515" s="109" t="str">
        <f t="shared" si="217"/>
        <v>B</v>
      </c>
      <c r="AM515" s="109">
        <f t="shared" si="218"/>
        <v>0</v>
      </c>
      <c r="AN515" s="109">
        <f t="shared" si="219"/>
        <v>0</v>
      </c>
      <c r="AO515" s="109" t="str">
        <f t="shared" si="220"/>
        <v/>
      </c>
      <c r="AQ515" s="109" t="str">
        <f t="shared" si="221"/>
        <v/>
      </c>
      <c r="BA515" s="229">
        <f>MOD(SUM(E509:E516),12)</f>
        <v>0</v>
      </c>
    </row>
    <row r="516" spans="1:53" ht="15.75" thickBot="1" x14ac:dyDescent="0.3">
      <c r="A516" s="88"/>
      <c r="B516" s="66" t="s">
        <v>285</v>
      </c>
      <c r="C516" s="67"/>
      <c r="D516" s="102"/>
      <c r="E516" s="32"/>
      <c r="F516" s="32"/>
      <c r="G516" s="68" t="s">
        <v>277</v>
      </c>
      <c r="H516" s="69">
        <f t="shared" si="222"/>
        <v>0</v>
      </c>
      <c r="I516" s="70">
        <f t="shared" si="223"/>
        <v>0</v>
      </c>
      <c r="J516" s="73" t="str">
        <f t="shared" si="224"/>
        <v>--</v>
      </c>
      <c r="K516" s="32"/>
      <c r="L516" s="233"/>
      <c r="M516" s="277"/>
      <c r="N516" s="277"/>
      <c r="O516" s="277"/>
      <c r="P516" s="277"/>
      <c r="Q516" s="277"/>
      <c r="R516" s="277"/>
      <c r="S516" s="277"/>
      <c r="T516" s="277"/>
      <c r="U516" s="278"/>
      <c r="V516" s="103"/>
      <c r="W516" s="72"/>
      <c r="X516" s="72"/>
      <c r="Y516" s="72"/>
      <c r="Z516" s="45">
        <f>Z515+1</f>
        <v>16</v>
      </c>
      <c r="AA516" s="77">
        <f t="shared" si="225"/>
        <v>181</v>
      </c>
      <c r="AB516" s="77">
        <f t="shared" si="226"/>
        <v>192</v>
      </c>
      <c r="AC516" s="72">
        <f t="shared" si="213"/>
        <v>1</v>
      </c>
      <c r="AD516" s="72">
        <f t="shared" si="214"/>
        <v>1</v>
      </c>
      <c r="AE516" s="109" t="str">
        <f t="shared" si="215"/>
        <v>0-0</v>
      </c>
      <c r="AF516" s="109" t="str">
        <f t="shared" si="216"/>
        <v>Y</v>
      </c>
      <c r="AG516" s="109" t="str">
        <f t="shared" si="217"/>
        <v>B</v>
      </c>
      <c r="AM516" s="109">
        <f t="shared" si="218"/>
        <v>0</v>
      </c>
      <c r="AN516" s="109">
        <f t="shared" si="219"/>
        <v>0</v>
      </c>
      <c r="AO516" s="109" t="str">
        <f t="shared" si="220"/>
        <v/>
      </c>
      <c r="AQ516" s="109" t="str">
        <f t="shared" si="221"/>
        <v/>
      </c>
      <c r="BA516" s="229">
        <f>MOD(SUM(E509:E517),12)</f>
        <v>0</v>
      </c>
    </row>
    <row r="517" spans="1:53" ht="15.75" thickBot="1" x14ac:dyDescent="0.3">
      <c r="A517" s="88"/>
      <c r="B517" s="66" t="s">
        <v>286</v>
      </c>
      <c r="C517" s="67"/>
      <c r="D517" s="102"/>
      <c r="E517" s="32"/>
      <c r="F517" s="32"/>
      <c r="G517" s="68" t="s">
        <v>277</v>
      </c>
      <c r="H517" s="69">
        <f t="shared" si="222"/>
        <v>0</v>
      </c>
      <c r="I517" s="70">
        <f t="shared" si="223"/>
        <v>0</v>
      </c>
      <c r="J517" s="73" t="str">
        <f t="shared" si="224"/>
        <v>--</v>
      </c>
      <c r="K517" s="32"/>
      <c r="L517" s="233"/>
      <c r="M517" s="277"/>
      <c r="N517" s="277"/>
      <c r="O517" s="277"/>
      <c r="P517" s="277"/>
      <c r="Q517" s="277"/>
      <c r="R517" s="277"/>
      <c r="S517" s="277"/>
      <c r="T517" s="277"/>
      <c r="U517" s="278"/>
      <c r="V517" s="103"/>
      <c r="W517" s="72"/>
      <c r="X517" s="72"/>
      <c r="Y517" s="72"/>
      <c r="Z517" s="45">
        <f>Z516+1</f>
        <v>17</v>
      </c>
      <c r="AA517" s="77">
        <f t="shared" si="225"/>
        <v>193</v>
      </c>
      <c r="AB517" s="77">
        <f t="shared" si="226"/>
        <v>204</v>
      </c>
      <c r="AC517" s="72">
        <f t="shared" si="213"/>
        <v>1</v>
      </c>
      <c r="AD517" s="72">
        <f t="shared" si="214"/>
        <v>1</v>
      </c>
      <c r="AE517" s="109" t="str">
        <f t="shared" si="215"/>
        <v>0-0</v>
      </c>
      <c r="AF517" s="109" t="str">
        <f t="shared" si="216"/>
        <v>Y</v>
      </c>
      <c r="AG517" s="109" t="str">
        <f t="shared" si="217"/>
        <v>B</v>
      </c>
      <c r="AM517" s="109">
        <f t="shared" si="218"/>
        <v>0</v>
      </c>
      <c r="AN517" s="109">
        <f t="shared" si="219"/>
        <v>0</v>
      </c>
      <c r="AO517" s="109" t="str">
        <f t="shared" si="220"/>
        <v/>
      </c>
      <c r="AQ517" s="109" t="str">
        <f t="shared" si="221"/>
        <v/>
      </c>
      <c r="BA517" s="229">
        <f>MOD(SUM(E509:E518),12)</f>
        <v>0</v>
      </c>
    </row>
    <row r="518" spans="1:53" ht="15.75" thickBot="1" x14ac:dyDescent="0.3">
      <c r="A518" s="88"/>
      <c r="B518" s="66" t="s">
        <v>287</v>
      </c>
      <c r="C518" s="67"/>
      <c r="D518" s="102"/>
      <c r="E518" s="32"/>
      <c r="F518" s="32"/>
      <c r="G518" s="68" t="s">
        <v>277</v>
      </c>
      <c r="H518" s="69">
        <f t="shared" si="222"/>
        <v>0</v>
      </c>
      <c r="I518" s="70">
        <f t="shared" si="223"/>
        <v>0</v>
      </c>
      <c r="J518" s="73" t="str">
        <f t="shared" si="224"/>
        <v>--</v>
      </c>
      <c r="K518" s="32"/>
      <c r="L518" s="233"/>
      <c r="M518" s="277"/>
      <c r="N518" s="277"/>
      <c r="O518" s="277"/>
      <c r="P518" s="277"/>
      <c r="Q518" s="277"/>
      <c r="R518" s="277"/>
      <c r="S518" s="277"/>
      <c r="T518" s="277"/>
      <c r="U518" s="278"/>
      <c r="V518" s="103"/>
      <c r="W518" s="72"/>
      <c r="X518" s="72"/>
      <c r="Y518" s="72"/>
      <c r="Z518" s="45">
        <f>Z517+1</f>
        <v>18</v>
      </c>
      <c r="AA518" s="77">
        <f t="shared" si="225"/>
        <v>205</v>
      </c>
      <c r="AB518" s="77">
        <f t="shared" si="226"/>
        <v>216</v>
      </c>
      <c r="AC518" s="72">
        <f t="shared" si="213"/>
        <v>1</v>
      </c>
      <c r="AD518" s="72">
        <f t="shared" si="214"/>
        <v>1</v>
      </c>
      <c r="AE518" s="109" t="str">
        <f t="shared" si="215"/>
        <v>0-0</v>
      </c>
      <c r="AF518" s="109" t="str">
        <f t="shared" si="216"/>
        <v>Y</v>
      </c>
      <c r="AG518" s="109" t="str">
        <f t="shared" si="217"/>
        <v>B</v>
      </c>
      <c r="AM518" s="109">
        <f t="shared" si="218"/>
        <v>0</v>
      </c>
      <c r="AN518" s="109">
        <f t="shared" si="219"/>
        <v>0</v>
      </c>
      <c r="AO518" s="109" t="str">
        <f t="shared" si="220"/>
        <v/>
      </c>
      <c r="AQ518" s="109" t="str">
        <f t="shared" si="221"/>
        <v/>
      </c>
      <c r="BA518" s="229">
        <f>MOD(SUM(E509:E519),12)</f>
        <v>0</v>
      </c>
    </row>
    <row r="519" spans="1:53" ht="15.75" thickBot="1" x14ac:dyDescent="0.3">
      <c r="A519" s="88"/>
      <c r="B519" s="66" t="s">
        <v>288</v>
      </c>
      <c r="C519" s="67"/>
      <c r="D519" s="102"/>
      <c r="E519" s="32"/>
      <c r="F519" s="32"/>
      <c r="G519" s="68" t="s">
        <v>277</v>
      </c>
      <c r="H519" s="69">
        <f t="shared" si="222"/>
        <v>0</v>
      </c>
      <c r="I519" s="70">
        <f t="shared" si="223"/>
        <v>0</v>
      </c>
      <c r="J519" s="73" t="str">
        <f t="shared" si="224"/>
        <v>--</v>
      </c>
      <c r="K519" s="32"/>
      <c r="L519" s="233"/>
      <c r="M519" s="277"/>
      <c r="N519" s="277"/>
      <c r="O519" s="277"/>
      <c r="P519" s="277"/>
      <c r="Q519" s="277"/>
      <c r="R519" s="277"/>
      <c r="S519" s="277"/>
      <c r="T519" s="277"/>
      <c r="U519" s="278"/>
      <c r="V519" s="103"/>
      <c r="W519" s="84"/>
      <c r="X519" s="84"/>
      <c r="Y519" s="72"/>
      <c r="Z519" s="72"/>
      <c r="AA519" s="72"/>
      <c r="AB519" s="72"/>
      <c r="AC519" s="72">
        <f t="shared" si="213"/>
        <v>1</v>
      </c>
      <c r="AD519" s="72">
        <f t="shared" si="214"/>
        <v>1</v>
      </c>
      <c r="AE519" s="109" t="str">
        <f t="shared" si="215"/>
        <v>0-0</v>
      </c>
      <c r="AF519" s="109" t="str">
        <f t="shared" si="216"/>
        <v>Y</v>
      </c>
      <c r="AG519" s="109" t="str">
        <f t="shared" si="217"/>
        <v>B</v>
      </c>
      <c r="AM519" s="109">
        <f t="shared" si="218"/>
        <v>0</v>
      </c>
      <c r="AN519" s="109">
        <f t="shared" si="219"/>
        <v>0</v>
      </c>
      <c r="AO519" s="109" t="str">
        <f t="shared" si="220"/>
        <v/>
      </c>
      <c r="AQ519" s="109" t="str">
        <f t="shared" si="221"/>
        <v/>
      </c>
      <c r="BA519" s="229">
        <f>MOD(SUM(E509:E520),12)</f>
        <v>0</v>
      </c>
    </row>
    <row r="520" spans="1:53" ht="15.75" thickBot="1" x14ac:dyDescent="0.3">
      <c r="A520" s="88"/>
      <c r="B520" s="66" t="s">
        <v>289</v>
      </c>
      <c r="C520" s="67"/>
      <c r="D520" s="102"/>
      <c r="E520" s="32"/>
      <c r="F520" s="32"/>
      <c r="G520" s="68" t="s">
        <v>277</v>
      </c>
      <c r="H520" s="69">
        <f t="shared" si="222"/>
        <v>0</v>
      </c>
      <c r="I520" s="70">
        <f t="shared" si="223"/>
        <v>0</v>
      </c>
      <c r="J520" s="73" t="str">
        <f t="shared" si="224"/>
        <v>--</v>
      </c>
      <c r="K520" s="32"/>
      <c r="L520" s="233"/>
      <c r="M520" s="277"/>
      <c r="N520" s="277"/>
      <c r="O520" s="277"/>
      <c r="P520" s="277"/>
      <c r="Q520" s="277"/>
      <c r="R520" s="277"/>
      <c r="S520" s="277"/>
      <c r="T520" s="277"/>
      <c r="U520" s="278"/>
      <c r="V520" s="103"/>
      <c r="W520" s="84">
        <f>Y520+1</f>
        <v>13</v>
      </c>
      <c r="X520" s="84"/>
      <c r="Y520" s="78">
        <f>SUM(E509:E520)</f>
        <v>12</v>
      </c>
      <c r="Z520" s="72"/>
      <c r="AA520" s="72"/>
      <c r="AB520" s="72"/>
      <c r="AC520" s="72">
        <f t="shared" si="213"/>
        <v>1</v>
      </c>
      <c r="AD520" s="72">
        <f t="shared" si="214"/>
        <v>1</v>
      </c>
      <c r="AE520" s="109" t="str">
        <f t="shared" si="215"/>
        <v>0-0</v>
      </c>
      <c r="AF520" s="109" t="str">
        <f t="shared" si="216"/>
        <v>Y</v>
      </c>
      <c r="AG520" s="109" t="str">
        <f t="shared" si="217"/>
        <v>B</v>
      </c>
      <c r="AM520" s="109">
        <f t="shared" si="218"/>
        <v>0</v>
      </c>
      <c r="AN520" s="109">
        <f t="shared" si="219"/>
        <v>0</v>
      </c>
      <c r="AO520" s="109" t="str">
        <f t="shared" si="220"/>
        <v/>
      </c>
      <c r="AQ520" s="109" t="str">
        <f t="shared" si="221"/>
        <v/>
      </c>
      <c r="BA520" s="229">
        <f>MOD(SUM(E509:E521),12)</f>
        <v>0</v>
      </c>
    </row>
    <row r="521" spans="1:53" ht="15.75" thickBot="1" x14ac:dyDescent="0.3">
      <c r="A521" s="88"/>
      <c r="B521" s="66" t="s">
        <v>290</v>
      </c>
      <c r="C521" s="67"/>
      <c r="D521" s="102"/>
      <c r="E521" s="32"/>
      <c r="F521" s="32"/>
      <c r="G521" s="68" t="s">
        <v>277</v>
      </c>
      <c r="H521" s="69">
        <f t="shared" si="222"/>
        <v>0</v>
      </c>
      <c r="I521" s="70">
        <f t="shared" si="223"/>
        <v>0</v>
      </c>
      <c r="J521" s="73" t="str">
        <f t="shared" si="224"/>
        <v>--</v>
      </c>
      <c r="K521" s="32"/>
      <c r="L521" s="233"/>
      <c r="M521" s="277"/>
      <c r="N521" s="277"/>
      <c r="O521" s="277"/>
      <c r="P521" s="277"/>
      <c r="Q521" s="277"/>
      <c r="R521" s="277"/>
      <c r="S521" s="277"/>
      <c r="T521" s="277"/>
      <c r="U521" s="278"/>
      <c r="V521" s="103"/>
      <c r="W521" s="84">
        <f>Y521+1</f>
        <v>13</v>
      </c>
      <c r="X521" s="84"/>
      <c r="Y521" s="78">
        <f>SUM(E509:E521)</f>
        <v>12</v>
      </c>
      <c r="Z521" s="72" t="str">
        <f t="shared" ref="Z521:Z533" si="227">IF(OR(AND(E$8=216,C520="DBL REV",C521="DBL REV",Y520&lt;=144,Y521&gt;144),AND(E$8=216,C520="TPL REV",C521="TPL REV",Y520&lt;=144,Y521&gt;144),AND(E$8=216,C520="QD REV",C521="QD REV",Y520&lt;=144,Y521&gt;144)),"ERROR","")</f>
        <v/>
      </c>
      <c r="AA521" s="72"/>
      <c r="AB521" s="72"/>
      <c r="AC521" s="72">
        <f t="shared" si="213"/>
        <v>1</v>
      </c>
      <c r="AD521" s="72">
        <f t="shared" si="214"/>
        <v>1</v>
      </c>
      <c r="AE521" s="109" t="str">
        <f t="shared" si="215"/>
        <v>0-0</v>
      </c>
      <c r="AF521" s="109" t="str">
        <f t="shared" si="216"/>
        <v>Y</v>
      </c>
      <c r="AG521" s="109" t="str">
        <f t="shared" si="217"/>
        <v>B</v>
      </c>
      <c r="AM521" s="109">
        <f t="shared" si="218"/>
        <v>0</v>
      </c>
      <c r="AN521" s="109">
        <f t="shared" si="219"/>
        <v>0</v>
      </c>
      <c r="AO521" s="109" t="str">
        <f t="shared" si="220"/>
        <v/>
      </c>
      <c r="AQ521" s="109" t="str">
        <f t="shared" si="221"/>
        <v/>
      </c>
      <c r="BA521" s="229">
        <f>MOD(SUM(E509:E522),12)</f>
        <v>0</v>
      </c>
    </row>
    <row r="522" spans="1:53" ht="15.75" thickBot="1" x14ac:dyDescent="0.3">
      <c r="A522" s="88"/>
      <c r="B522" s="66" t="s">
        <v>291</v>
      </c>
      <c r="C522" s="67"/>
      <c r="D522" s="102"/>
      <c r="E522" s="32"/>
      <c r="F522" s="32"/>
      <c r="G522" s="68" t="s">
        <v>277</v>
      </c>
      <c r="H522" s="69">
        <f t="shared" si="222"/>
        <v>0</v>
      </c>
      <c r="I522" s="70">
        <f t="shared" si="223"/>
        <v>0</v>
      </c>
      <c r="J522" s="73" t="str">
        <f t="shared" si="224"/>
        <v>--</v>
      </c>
      <c r="K522" s="32"/>
      <c r="L522" s="233"/>
      <c r="M522" s="277"/>
      <c r="N522" s="277"/>
      <c r="O522" s="277"/>
      <c r="P522" s="277"/>
      <c r="Q522" s="277"/>
      <c r="R522" s="277"/>
      <c r="S522" s="277"/>
      <c r="T522" s="277"/>
      <c r="U522" s="278"/>
      <c r="V522" s="103"/>
      <c r="W522" s="84">
        <f>Y522+1</f>
        <v>13</v>
      </c>
      <c r="X522" s="84"/>
      <c r="Y522" s="78">
        <f>SUM(E509:E522)</f>
        <v>12</v>
      </c>
      <c r="Z522" s="72" t="str">
        <f t="shared" si="227"/>
        <v/>
      </c>
      <c r="AA522" s="72"/>
      <c r="AB522" s="72"/>
      <c r="AC522" s="72">
        <f t="shared" si="213"/>
        <v>1</v>
      </c>
      <c r="AD522" s="72">
        <f t="shared" si="214"/>
        <v>1</v>
      </c>
      <c r="AE522" s="109" t="str">
        <f t="shared" si="215"/>
        <v>0-0</v>
      </c>
      <c r="AF522" s="109" t="str">
        <f t="shared" si="216"/>
        <v>Y</v>
      </c>
      <c r="AG522" s="109" t="str">
        <f t="shared" si="217"/>
        <v>B</v>
      </c>
      <c r="AM522" s="109">
        <f t="shared" si="218"/>
        <v>0</v>
      </c>
      <c r="AN522" s="109">
        <f t="shared" si="219"/>
        <v>0</v>
      </c>
      <c r="AO522" s="109" t="str">
        <f t="shared" si="220"/>
        <v/>
      </c>
      <c r="AQ522" s="109" t="str">
        <f t="shared" si="221"/>
        <v/>
      </c>
      <c r="BA522" s="229">
        <f>MOD(SUM(E509:E523),12)</f>
        <v>0</v>
      </c>
    </row>
    <row r="523" spans="1:53" ht="15.75" thickBot="1" x14ac:dyDescent="0.3">
      <c r="A523" s="88"/>
      <c r="B523" s="66" t="s">
        <v>292</v>
      </c>
      <c r="C523" s="67"/>
      <c r="D523" s="102"/>
      <c r="E523" s="32"/>
      <c r="F523" s="32"/>
      <c r="G523" s="68" t="s">
        <v>277</v>
      </c>
      <c r="H523" s="69">
        <f t="shared" si="222"/>
        <v>0</v>
      </c>
      <c r="I523" s="70">
        <f t="shared" si="223"/>
        <v>0</v>
      </c>
      <c r="J523" s="73" t="str">
        <f t="shared" si="224"/>
        <v>--</v>
      </c>
      <c r="K523" s="32"/>
      <c r="L523" s="233"/>
      <c r="M523" s="277"/>
      <c r="N523" s="277"/>
      <c r="O523" s="277"/>
      <c r="P523" s="277"/>
      <c r="Q523" s="277"/>
      <c r="R523" s="277"/>
      <c r="S523" s="277"/>
      <c r="T523" s="277"/>
      <c r="U523" s="278"/>
      <c r="V523" s="103"/>
      <c r="W523" s="84">
        <f>Y523+1</f>
        <v>13</v>
      </c>
      <c r="X523" s="84"/>
      <c r="Y523" s="78">
        <f>SUM(E509:E523)</f>
        <v>12</v>
      </c>
      <c r="Z523" s="72" t="str">
        <f t="shared" si="227"/>
        <v/>
      </c>
      <c r="AA523" s="72" t="str">
        <f t="shared" ref="AA523:AA535" si="228">IF(AND(C521&lt;&gt;"Field SPL",W520&lt;=144,Y521&gt;144),"ERROR","")</f>
        <v/>
      </c>
      <c r="AB523" s="72"/>
      <c r="AC523" s="72">
        <f t="shared" si="213"/>
        <v>1</v>
      </c>
      <c r="AD523" s="72">
        <f t="shared" si="214"/>
        <v>1</v>
      </c>
      <c r="AE523" s="109" t="str">
        <f t="shared" si="215"/>
        <v>0-0</v>
      </c>
      <c r="AF523" s="109" t="str">
        <f t="shared" si="216"/>
        <v>Y</v>
      </c>
      <c r="AG523" s="109" t="str">
        <f t="shared" si="217"/>
        <v>B</v>
      </c>
      <c r="AM523" s="109">
        <f t="shared" si="218"/>
        <v>0</v>
      </c>
      <c r="AN523" s="109">
        <f t="shared" si="219"/>
        <v>0</v>
      </c>
      <c r="AO523" s="109" t="str">
        <f t="shared" si="220"/>
        <v/>
      </c>
      <c r="AQ523" s="109" t="str">
        <f t="shared" si="221"/>
        <v/>
      </c>
      <c r="BA523" s="229">
        <f>MOD(SUM(E509:E524),12)</f>
        <v>0</v>
      </c>
    </row>
    <row r="524" spans="1:53" ht="15.75" thickBot="1" x14ac:dyDescent="0.3">
      <c r="A524" s="88"/>
      <c r="B524" s="66" t="s">
        <v>293</v>
      </c>
      <c r="C524" s="67"/>
      <c r="D524" s="102"/>
      <c r="E524" s="32"/>
      <c r="F524" s="32"/>
      <c r="G524" s="68" t="s">
        <v>277</v>
      </c>
      <c r="H524" s="69">
        <f t="shared" si="222"/>
        <v>0</v>
      </c>
      <c r="I524" s="70">
        <f t="shared" si="223"/>
        <v>0</v>
      </c>
      <c r="J524" s="73" t="str">
        <f t="shared" si="224"/>
        <v>--</v>
      </c>
      <c r="K524" s="32"/>
      <c r="L524" s="233"/>
      <c r="M524" s="277"/>
      <c r="N524" s="277"/>
      <c r="O524" s="277"/>
      <c r="P524" s="277"/>
      <c r="Q524" s="277"/>
      <c r="R524" s="277"/>
      <c r="S524" s="277"/>
      <c r="T524" s="277"/>
      <c r="U524" s="278"/>
      <c r="V524" s="103"/>
      <c r="W524" s="84">
        <f t="shared" ref="W524:W532" si="229">Y524+1</f>
        <v>13</v>
      </c>
      <c r="X524" s="84"/>
      <c r="Y524" s="78">
        <f>SUM(E509:E524)</f>
        <v>12</v>
      </c>
      <c r="Z524" s="72" t="str">
        <f t="shared" si="227"/>
        <v/>
      </c>
      <c r="AA524" s="72" t="str">
        <f t="shared" si="228"/>
        <v/>
      </c>
      <c r="AB524" s="72"/>
      <c r="AC524" s="72">
        <f t="shared" si="213"/>
        <v>1</v>
      </c>
      <c r="AD524" s="72">
        <f t="shared" si="214"/>
        <v>1</v>
      </c>
      <c r="AE524" s="109" t="str">
        <f t="shared" si="215"/>
        <v>0-0</v>
      </c>
      <c r="AF524" s="109" t="str">
        <f t="shared" si="216"/>
        <v>Y</v>
      </c>
      <c r="AG524" s="109" t="str">
        <f t="shared" si="217"/>
        <v>B</v>
      </c>
      <c r="AM524" s="109">
        <f t="shared" si="218"/>
        <v>0</v>
      </c>
      <c r="AN524" s="109">
        <f t="shared" si="219"/>
        <v>0</v>
      </c>
      <c r="AO524" s="109" t="str">
        <f t="shared" si="220"/>
        <v/>
      </c>
      <c r="AQ524" s="109" t="str">
        <f t="shared" si="221"/>
        <v/>
      </c>
      <c r="BA524" s="229">
        <f>MOD(SUM(E509:E525),12)</f>
        <v>0</v>
      </c>
    </row>
    <row r="525" spans="1:53" ht="15.75" thickBot="1" x14ac:dyDescent="0.3">
      <c r="A525" s="88"/>
      <c r="B525" s="66" t="s">
        <v>294</v>
      </c>
      <c r="C525" s="67"/>
      <c r="D525" s="102"/>
      <c r="E525" s="32"/>
      <c r="F525" s="32"/>
      <c r="G525" s="68" t="s">
        <v>277</v>
      </c>
      <c r="H525" s="69">
        <f t="shared" si="222"/>
        <v>0</v>
      </c>
      <c r="I525" s="70">
        <f t="shared" si="223"/>
        <v>0</v>
      </c>
      <c r="J525" s="73" t="str">
        <f t="shared" si="224"/>
        <v>--</v>
      </c>
      <c r="K525" s="32"/>
      <c r="L525" s="233"/>
      <c r="M525" s="277"/>
      <c r="N525" s="277"/>
      <c r="O525" s="277"/>
      <c r="P525" s="277"/>
      <c r="Q525" s="277"/>
      <c r="R525" s="277"/>
      <c r="S525" s="277"/>
      <c r="T525" s="277"/>
      <c r="U525" s="278"/>
      <c r="V525" s="103"/>
      <c r="W525" s="84">
        <f t="shared" si="229"/>
        <v>13</v>
      </c>
      <c r="X525" s="84"/>
      <c r="Y525" s="78">
        <f>SUM(E509:E525)</f>
        <v>12</v>
      </c>
      <c r="Z525" s="72" t="str">
        <f t="shared" si="227"/>
        <v/>
      </c>
      <c r="AA525" s="72" t="str">
        <f t="shared" si="228"/>
        <v/>
      </c>
      <c r="AB525" s="72"/>
      <c r="AC525" s="72">
        <f t="shared" si="213"/>
        <v>1</v>
      </c>
      <c r="AD525" s="72">
        <f t="shared" si="214"/>
        <v>1</v>
      </c>
      <c r="AE525" s="109" t="str">
        <f t="shared" si="215"/>
        <v>0-0</v>
      </c>
      <c r="AF525" s="109" t="str">
        <f t="shared" si="216"/>
        <v>Y</v>
      </c>
      <c r="AG525" s="109" t="str">
        <f t="shared" si="217"/>
        <v>B</v>
      </c>
      <c r="AM525" s="109">
        <f t="shared" si="218"/>
        <v>0</v>
      </c>
      <c r="AN525" s="109">
        <f t="shared" si="219"/>
        <v>0</v>
      </c>
      <c r="AO525" s="109" t="str">
        <f t="shared" si="220"/>
        <v/>
      </c>
      <c r="AQ525" s="109" t="str">
        <f t="shared" si="221"/>
        <v/>
      </c>
      <c r="BA525" s="229">
        <f>MOD(SUM(E509:E526),12)</f>
        <v>0</v>
      </c>
    </row>
    <row r="526" spans="1:53" ht="15.75" thickBot="1" x14ac:dyDescent="0.3">
      <c r="A526" s="88"/>
      <c r="B526" s="66" t="s">
        <v>295</v>
      </c>
      <c r="C526" s="67"/>
      <c r="D526" s="102"/>
      <c r="E526" s="32"/>
      <c r="F526" s="32"/>
      <c r="G526" s="68" t="s">
        <v>277</v>
      </c>
      <c r="H526" s="69">
        <f t="shared" si="222"/>
        <v>0</v>
      </c>
      <c r="I526" s="70">
        <f t="shared" si="223"/>
        <v>0</v>
      </c>
      <c r="J526" s="73" t="str">
        <f t="shared" si="224"/>
        <v>--</v>
      </c>
      <c r="K526" s="32"/>
      <c r="L526" s="233"/>
      <c r="M526" s="277"/>
      <c r="N526" s="277"/>
      <c r="O526" s="277"/>
      <c r="P526" s="277"/>
      <c r="Q526" s="277"/>
      <c r="R526" s="277"/>
      <c r="S526" s="277"/>
      <c r="T526" s="277"/>
      <c r="U526" s="278"/>
      <c r="V526" s="103"/>
      <c r="W526" s="84">
        <f t="shared" si="229"/>
        <v>13</v>
      </c>
      <c r="X526" s="84"/>
      <c r="Y526" s="78">
        <f>SUM(E509:E526)</f>
        <v>12</v>
      </c>
      <c r="Z526" s="72" t="str">
        <f t="shared" si="227"/>
        <v/>
      </c>
      <c r="AA526" s="72" t="str">
        <f t="shared" si="228"/>
        <v/>
      </c>
      <c r="AB526" s="72"/>
      <c r="AC526" s="72">
        <f t="shared" si="213"/>
        <v>1</v>
      </c>
      <c r="AD526" s="72">
        <f t="shared" si="214"/>
        <v>1</v>
      </c>
      <c r="AE526" s="109" t="str">
        <f t="shared" si="215"/>
        <v>0-0</v>
      </c>
      <c r="AF526" s="109" t="str">
        <f t="shared" si="216"/>
        <v>Y</v>
      </c>
      <c r="AG526" s="109" t="str">
        <f t="shared" si="217"/>
        <v>B</v>
      </c>
      <c r="AM526" s="109">
        <f t="shared" si="218"/>
        <v>0</v>
      </c>
      <c r="AN526" s="109">
        <f t="shared" si="219"/>
        <v>0</v>
      </c>
      <c r="AO526" s="109" t="str">
        <f t="shared" si="220"/>
        <v/>
      </c>
      <c r="AQ526" s="109" t="str">
        <f t="shared" si="221"/>
        <v/>
      </c>
      <c r="BA526" s="229">
        <f>MOD(SUM(E509:E527),12)</f>
        <v>0</v>
      </c>
    </row>
    <row r="527" spans="1:53" ht="15.75" thickBot="1" x14ac:dyDescent="0.3">
      <c r="A527" s="88"/>
      <c r="B527" s="66" t="s">
        <v>296</v>
      </c>
      <c r="C527" s="67"/>
      <c r="D527" s="102"/>
      <c r="E527" s="32"/>
      <c r="F527" s="32"/>
      <c r="G527" s="68" t="s">
        <v>277</v>
      </c>
      <c r="H527" s="69">
        <f t="shared" si="222"/>
        <v>0</v>
      </c>
      <c r="I527" s="70">
        <f t="shared" si="223"/>
        <v>0</v>
      </c>
      <c r="J527" s="73" t="str">
        <f t="shared" si="224"/>
        <v>--</v>
      </c>
      <c r="K527" s="32"/>
      <c r="L527" s="233"/>
      <c r="M527" s="277"/>
      <c r="N527" s="277"/>
      <c r="O527" s="277"/>
      <c r="P527" s="277"/>
      <c r="Q527" s="277"/>
      <c r="R527" s="277"/>
      <c r="S527" s="277"/>
      <c r="T527" s="277"/>
      <c r="U527" s="278"/>
      <c r="V527" s="103"/>
      <c r="W527" s="84">
        <f t="shared" si="229"/>
        <v>13</v>
      </c>
      <c r="X527" s="84"/>
      <c r="Y527" s="78">
        <f>SUM(E509:E527)</f>
        <v>12</v>
      </c>
      <c r="Z527" s="72" t="str">
        <f t="shared" si="227"/>
        <v/>
      </c>
      <c r="AA527" s="72" t="str">
        <f t="shared" si="228"/>
        <v/>
      </c>
      <c r="AB527" s="72"/>
      <c r="AC527" s="72">
        <f t="shared" si="213"/>
        <v>1</v>
      </c>
      <c r="AD527" s="72">
        <f t="shared" si="214"/>
        <v>1</v>
      </c>
      <c r="AE527" s="109" t="str">
        <f t="shared" si="215"/>
        <v>0-0</v>
      </c>
      <c r="AF527" s="109" t="str">
        <f t="shared" si="216"/>
        <v>Y</v>
      </c>
      <c r="AG527" s="109" t="str">
        <f t="shared" si="217"/>
        <v>B</v>
      </c>
      <c r="AM527" s="109">
        <f t="shared" si="218"/>
        <v>0</v>
      </c>
      <c r="AN527" s="109">
        <f t="shared" si="219"/>
        <v>0</v>
      </c>
      <c r="AO527" s="109" t="str">
        <f t="shared" si="220"/>
        <v/>
      </c>
      <c r="AQ527" s="109" t="str">
        <f t="shared" si="221"/>
        <v/>
      </c>
      <c r="BA527" s="229">
        <f>MOD(SUM(E509:E528),12)</f>
        <v>0</v>
      </c>
    </row>
    <row r="528" spans="1:53" ht="15.75" thickBot="1" x14ac:dyDescent="0.3">
      <c r="A528" s="88"/>
      <c r="B528" s="66" t="s">
        <v>297</v>
      </c>
      <c r="C528" s="67"/>
      <c r="D528" s="102"/>
      <c r="E528" s="32"/>
      <c r="F528" s="32"/>
      <c r="G528" s="68" t="s">
        <v>277</v>
      </c>
      <c r="H528" s="69">
        <f t="shared" si="222"/>
        <v>0</v>
      </c>
      <c r="I528" s="70">
        <f t="shared" si="223"/>
        <v>0</v>
      </c>
      <c r="J528" s="73" t="str">
        <f t="shared" si="224"/>
        <v>--</v>
      </c>
      <c r="K528" s="32"/>
      <c r="L528" s="233"/>
      <c r="M528" s="277"/>
      <c r="N528" s="277"/>
      <c r="O528" s="277"/>
      <c r="P528" s="277"/>
      <c r="Q528" s="277"/>
      <c r="R528" s="277"/>
      <c r="S528" s="277"/>
      <c r="T528" s="277"/>
      <c r="U528" s="278"/>
      <c r="V528" s="103"/>
      <c r="W528" s="84">
        <f t="shared" si="229"/>
        <v>13</v>
      </c>
      <c r="X528" s="84"/>
      <c r="Y528" s="78">
        <f>SUM(E509:E528)</f>
        <v>12</v>
      </c>
      <c r="Z528" s="72" t="str">
        <f t="shared" si="227"/>
        <v/>
      </c>
      <c r="AA528" s="72" t="str">
        <f t="shared" si="228"/>
        <v/>
      </c>
      <c r="AB528" s="72"/>
      <c r="AC528" s="72">
        <f t="shared" si="213"/>
        <v>1</v>
      </c>
      <c r="AD528" s="72">
        <f t="shared" si="214"/>
        <v>1</v>
      </c>
      <c r="AE528" s="109" t="str">
        <f t="shared" si="215"/>
        <v>0-0</v>
      </c>
      <c r="AF528" s="109" t="str">
        <f t="shared" si="216"/>
        <v>Y</v>
      </c>
      <c r="AG528" s="109" t="str">
        <f t="shared" si="217"/>
        <v>B</v>
      </c>
      <c r="AM528" s="109">
        <f t="shared" si="218"/>
        <v>0</v>
      </c>
      <c r="AN528" s="109">
        <f t="shared" si="219"/>
        <v>0</v>
      </c>
      <c r="AO528" s="109" t="str">
        <f t="shared" si="220"/>
        <v/>
      </c>
      <c r="AQ528" s="109" t="str">
        <f t="shared" si="221"/>
        <v/>
      </c>
      <c r="BA528" s="229">
        <f>MOD(SUM(E509:E529),12)</f>
        <v>0</v>
      </c>
    </row>
    <row r="529" spans="1:53" ht="15.75" thickBot="1" x14ac:dyDescent="0.3">
      <c r="A529" s="88"/>
      <c r="B529" s="66" t="s">
        <v>298</v>
      </c>
      <c r="C529" s="67"/>
      <c r="D529" s="102"/>
      <c r="E529" s="32"/>
      <c r="F529" s="32"/>
      <c r="G529" s="68" t="s">
        <v>277</v>
      </c>
      <c r="H529" s="69">
        <f t="shared" si="222"/>
        <v>0</v>
      </c>
      <c r="I529" s="70">
        <f t="shared" si="223"/>
        <v>0</v>
      </c>
      <c r="J529" s="73" t="str">
        <f t="shared" si="224"/>
        <v>--</v>
      </c>
      <c r="K529" s="32"/>
      <c r="L529" s="233"/>
      <c r="M529" s="277"/>
      <c r="N529" s="277"/>
      <c r="O529" s="277"/>
      <c r="P529" s="277"/>
      <c r="Q529" s="277"/>
      <c r="R529" s="277"/>
      <c r="S529" s="277"/>
      <c r="T529" s="277"/>
      <c r="U529" s="278"/>
      <c r="V529" s="103"/>
      <c r="W529" s="84">
        <f t="shared" si="229"/>
        <v>13</v>
      </c>
      <c r="X529" s="84"/>
      <c r="Y529" s="78">
        <f>SUM(E509:E529)</f>
        <v>12</v>
      </c>
      <c r="Z529" s="72" t="str">
        <f t="shared" si="227"/>
        <v/>
      </c>
      <c r="AA529" s="72" t="str">
        <f t="shared" si="228"/>
        <v/>
      </c>
      <c r="AB529" s="72"/>
      <c r="AC529" s="72">
        <f t="shared" si="213"/>
        <v>1</v>
      </c>
      <c r="AD529" s="72">
        <f t="shared" si="214"/>
        <v>1</v>
      </c>
      <c r="AE529" s="109" t="str">
        <f t="shared" si="215"/>
        <v>0-0</v>
      </c>
      <c r="AF529" s="109" t="str">
        <f t="shared" si="216"/>
        <v>Y</v>
      </c>
      <c r="AG529" s="109" t="str">
        <f t="shared" si="217"/>
        <v>B</v>
      </c>
      <c r="AM529" s="109">
        <f t="shared" si="218"/>
        <v>0</v>
      </c>
      <c r="AN529" s="109">
        <f t="shared" si="219"/>
        <v>0</v>
      </c>
      <c r="AO529" s="109" t="str">
        <f t="shared" si="220"/>
        <v/>
      </c>
      <c r="AQ529" s="109" t="str">
        <f t="shared" si="221"/>
        <v/>
      </c>
      <c r="BA529" s="229">
        <f>MOD(SUM(E509:E530),12)</f>
        <v>0</v>
      </c>
    </row>
    <row r="530" spans="1:53" ht="15.75" thickBot="1" x14ac:dyDescent="0.3">
      <c r="A530" s="88"/>
      <c r="B530" s="66" t="s">
        <v>299</v>
      </c>
      <c r="C530" s="67"/>
      <c r="D530" s="102"/>
      <c r="E530" s="32"/>
      <c r="F530" s="32"/>
      <c r="G530" s="68" t="s">
        <v>277</v>
      </c>
      <c r="H530" s="69">
        <f t="shared" si="222"/>
        <v>0</v>
      </c>
      <c r="I530" s="70">
        <f t="shared" si="223"/>
        <v>0</v>
      </c>
      <c r="J530" s="73" t="str">
        <f t="shared" si="224"/>
        <v>--</v>
      </c>
      <c r="K530" s="32"/>
      <c r="L530" s="233"/>
      <c r="M530" s="277"/>
      <c r="N530" s="277"/>
      <c r="O530" s="277"/>
      <c r="P530" s="277"/>
      <c r="Q530" s="277"/>
      <c r="R530" s="277"/>
      <c r="S530" s="277"/>
      <c r="T530" s="277"/>
      <c r="U530" s="278"/>
      <c r="V530" s="103"/>
      <c r="W530" s="84">
        <f t="shared" si="229"/>
        <v>13</v>
      </c>
      <c r="X530" s="84"/>
      <c r="Y530" s="78">
        <f>SUM(E509:E530)</f>
        <v>12</v>
      </c>
      <c r="Z530" s="72" t="str">
        <f t="shared" si="227"/>
        <v/>
      </c>
      <c r="AA530" s="72" t="str">
        <f t="shared" si="228"/>
        <v/>
      </c>
      <c r="AB530" s="72"/>
      <c r="AC530" s="72">
        <f t="shared" si="213"/>
        <v>1</v>
      </c>
      <c r="AD530" s="72">
        <f t="shared" si="214"/>
        <v>1</v>
      </c>
      <c r="AE530" s="109" t="str">
        <f t="shared" si="215"/>
        <v>0-0</v>
      </c>
      <c r="AF530" s="109" t="str">
        <f t="shared" si="216"/>
        <v>Y</v>
      </c>
      <c r="AG530" s="109" t="str">
        <f t="shared" si="217"/>
        <v>B</v>
      </c>
      <c r="AM530" s="109">
        <f t="shared" si="218"/>
        <v>0</v>
      </c>
      <c r="AN530" s="109">
        <f t="shared" si="219"/>
        <v>0</v>
      </c>
      <c r="AO530" s="109" t="str">
        <f t="shared" si="220"/>
        <v/>
      </c>
      <c r="AQ530" s="109" t="str">
        <f t="shared" si="221"/>
        <v/>
      </c>
      <c r="BA530" s="229">
        <f>MOD(SUM(E509:E531),12)</f>
        <v>0</v>
      </c>
    </row>
    <row r="531" spans="1:53" ht="15.75" thickBot="1" x14ac:dyDescent="0.3">
      <c r="A531" s="88"/>
      <c r="B531" s="66" t="s">
        <v>300</v>
      </c>
      <c r="C531" s="67"/>
      <c r="D531" s="102"/>
      <c r="E531" s="32"/>
      <c r="F531" s="32"/>
      <c r="G531" s="68" t="s">
        <v>277</v>
      </c>
      <c r="H531" s="69">
        <f t="shared" si="222"/>
        <v>0</v>
      </c>
      <c r="I531" s="70">
        <f t="shared" si="223"/>
        <v>0</v>
      </c>
      <c r="J531" s="73" t="str">
        <f t="shared" si="224"/>
        <v>--</v>
      </c>
      <c r="K531" s="32"/>
      <c r="L531" s="233"/>
      <c r="M531" s="277"/>
      <c r="N531" s="277"/>
      <c r="O531" s="277"/>
      <c r="P531" s="277"/>
      <c r="Q531" s="277"/>
      <c r="R531" s="277"/>
      <c r="S531" s="277"/>
      <c r="T531" s="277"/>
      <c r="U531" s="278"/>
      <c r="V531" s="103"/>
      <c r="W531" s="84">
        <f t="shared" si="229"/>
        <v>13</v>
      </c>
      <c r="X531" s="84"/>
      <c r="Y531" s="78">
        <f>SUM(E509:E531)</f>
        <v>12</v>
      </c>
      <c r="Z531" s="72" t="str">
        <f t="shared" si="227"/>
        <v/>
      </c>
      <c r="AA531" s="72" t="str">
        <f t="shared" si="228"/>
        <v/>
      </c>
      <c r="AB531" s="72"/>
      <c r="AC531" s="72">
        <f t="shared" si="213"/>
        <v>1</v>
      </c>
      <c r="AD531" s="72">
        <f t="shared" si="214"/>
        <v>1</v>
      </c>
      <c r="AE531" s="109" t="str">
        <f t="shared" si="215"/>
        <v>0-0</v>
      </c>
      <c r="AF531" s="109" t="str">
        <f t="shared" si="216"/>
        <v>Y</v>
      </c>
      <c r="AG531" s="109" t="str">
        <f t="shared" si="217"/>
        <v>B</v>
      </c>
      <c r="AM531" s="109">
        <f t="shared" si="218"/>
        <v>0</v>
      </c>
      <c r="AN531" s="109">
        <f t="shared" si="219"/>
        <v>0</v>
      </c>
      <c r="AO531" s="109" t="str">
        <f t="shared" si="220"/>
        <v/>
      </c>
      <c r="AQ531" s="109" t="str">
        <f t="shared" si="221"/>
        <v/>
      </c>
      <c r="BA531" s="229">
        <f>MOD(SUM(E509:E532),12)</f>
        <v>0</v>
      </c>
    </row>
    <row r="532" spans="1:53" ht="15.75" thickBot="1" x14ac:dyDescent="0.3">
      <c r="A532" s="88"/>
      <c r="B532" s="66" t="s">
        <v>301</v>
      </c>
      <c r="C532" s="67"/>
      <c r="D532" s="102"/>
      <c r="E532" s="32"/>
      <c r="F532" s="32"/>
      <c r="G532" s="68" t="s">
        <v>277</v>
      </c>
      <c r="H532" s="69">
        <f t="shared" si="222"/>
        <v>0</v>
      </c>
      <c r="I532" s="70">
        <f t="shared" si="223"/>
        <v>0</v>
      </c>
      <c r="J532" s="73" t="str">
        <f t="shared" si="224"/>
        <v>--</v>
      </c>
      <c r="K532" s="32"/>
      <c r="L532" s="233"/>
      <c r="M532" s="277"/>
      <c r="N532" s="277"/>
      <c r="O532" s="277"/>
      <c r="P532" s="277"/>
      <c r="Q532" s="277"/>
      <c r="R532" s="277"/>
      <c r="S532" s="277"/>
      <c r="T532" s="277"/>
      <c r="U532" s="278"/>
      <c r="V532" s="103"/>
      <c r="W532" s="84">
        <f t="shared" si="229"/>
        <v>13</v>
      </c>
      <c r="X532" s="84"/>
      <c r="Y532" s="78">
        <f>SUM(E509:E532)</f>
        <v>12</v>
      </c>
      <c r="Z532" s="72" t="str">
        <f t="shared" si="227"/>
        <v/>
      </c>
      <c r="AA532" s="72" t="str">
        <f t="shared" si="228"/>
        <v/>
      </c>
      <c r="AB532" s="72"/>
      <c r="AC532" s="72">
        <f t="shared" si="213"/>
        <v>1</v>
      </c>
      <c r="AD532" s="72">
        <f t="shared" si="214"/>
        <v>1</v>
      </c>
      <c r="AE532" s="109" t="str">
        <f t="shared" si="215"/>
        <v>0-0</v>
      </c>
      <c r="AF532" s="109" t="str">
        <f t="shared" si="216"/>
        <v>Y</v>
      </c>
      <c r="AG532" s="109" t="str">
        <f t="shared" si="217"/>
        <v>B</v>
      </c>
      <c r="AM532" s="109">
        <f t="shared" si="218"/>
        <v>0</v>
      </c>
      <c r="AN532" s="109">
        <f t="shared" si="219"/>
        <v>0</v>
      </c>
      <c r="AO532" s="109" t="str">
        <f t="shared" si="220"/>
        <v/>
      </c>
      <c r="AQ532" s="109" t="str">
        <f t="shared" si="221"/>
        <v/>
      </c>
      <c r="BA532" s="229">
        <f>MOD(SUM(E509:E533),12)</f>
        <v>0</v>
      </c>
    </row>
    <row r="533" spans="1:53" ht="15.75" thickBot="1" x14ac:dyDescent="0.3">
      <c r="A533" s="88"/>
      <c r="B533" s="66" t="s">
        <v>302</v>
      </c>
      <c r="C533" s="67"/>
      <c r="D533" s="102"/>
      <c r="E533" s="32"/>
      <c r="F533" s="32"/>
      <c r="G533" s="68" t="s">
        <v>277</v>
      </c>
      <c r="H533" s="69">
        <f t="shared" si="222"/>
        <v>0</v>
      </c>
      <c r="I533" s="70">
        <f t="shared" si="223"/>
        <v>0</v>
      </c>
      <c r="J533" s="73" t="str">
        <f t="shared" si="224"/>
        <v>--</v>
      </c>
      <c r="K533" s="32"/>
      <c r="L533" s="234"/>
      <c r="M533" s="277"/>
      <c r="N533" s="277"/>
      <c r="O533" s="277"/>
      <c r="P533" s="277"/>
      <c r="Q533" s="277"/>
      <c r="R533" s="277"/>
      <c r="S533" s="277"/>
      <c r="T533" s="277"/>
      <c r="U533" s="278"/>
      <c r="V533" s="103"/>
      <c r="W533" s="72"/>
      <c r="X533" s="72"/>
      <c r="Y533" s="78">
        <f>SUM(E509:E533)</f>
        <v>12</v>
      </c>
      <c r="Z533" s="72" t="str">
        <f t="shared" si="227"/>
        <v/>
      </c>
      <c r="AA533" s="72" t="str">
        <f t="shared" si="228"/>
        <v/>
      </c>
      <c r="AB533" s="72"/>
      <c r="AC533" s="72">
        <f t="shared" si="213"/>
        <v>1</v>
      </c>
      <c r="AD533" s="72">
        <f t="shared" si="214"/>
        <v>1</v>
      </c>
      <c r="AE533" s="109" t="str">
        <f t="shared" si="215"/>
        <v>0-0</v>
      </c>
      <c r="AF533" s="109" t="str">
        <f t="shared" si="216"/>
        <v>Y</v>
      </c>
      <c r="AG533" s="109" t="str">
        <f t="shared" si="217"/>
        <v>B</v>
      </c>
      <c r="AM533" s="109">
        <f t="shared" si="218"/>
        <v>0</v>
      </c>
      <c r="AN533" s="109">
        <f t="shared" si="219"/>
        <v>0</v>
      </c>
      <c r="AO533" s="109" t="str">
        <f t="shared" si="220"/>
        <v/>
      </c>
      <c r="AQ533" s="109" t="str">
        <f t="shared" si="221"/>
        <v/>
      </c>
      <c r="BA533" s="228"/>
    </row>
    <row r="534" spans="1:53" ht="16.5" thickBot="1" x14ac:dyDescent="0.3">
      <c r="A534" s="88"/>
      <c r="B534" s="319" t="s">
        <v>329</v>
      </c>
      <c r="C534" s="320"/>
      <c r="D534" s="79"/>
      <c r="E534" s="80"/>
      <c r="F534" s="80"/>
      <c r="G534" s="81"/>
      <c r="H534" s="192"/>
      <c r="I534" s="192"/>
      <c r="J534" s="192"/>
      <c r="K534" s="82"/>
      <c r="L534" s="319" t="s">
        <v>306</v>
      </c>
      <c r="M534" s="330"/>
      <c r="N534" s="330"/>
      <c r="O534" s="330"/>
      <c r="P534" s="330"/>
      <c r="Q534" s="330"/>
      <c r="R534" s="330"/>
      <c r="S534" s="330"/>
      <c r="T534" s="330"/>
      <c r="U534" s="320"/>
      <c r="V534" s="104"/>
      <c r="W534" s="72"/>
      <c r="X534" s="72"/>
      <c r="Y534" s="72"/>
      <c r="Z534" s="72"/>
      <c r="AA534" s="72" t="str">
        <f t="shared" si="228"/>
        <v/>
      </c>
      <c r="AB534" s="72"/>
      <c r="AC534" s="72">
        <f>SUM(AC509:AC533)</f>
        <v>25</v>
      </c>
      <c r="AD534" s="72">
        <f>SUM(AD509:AD533)</f>
        <v>21</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319" t="s">
        <v>307</v>
      </c>
      <c r="C535" s="320"/>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28"/>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312" t="s">
        <v>222</v>
      </c>
      <c r="C539" s="313"/>
      <c r="D539" s="314" t="s">
        <v>223</v>
      </c>
      <c r="E539" s="305"/>
      <c r="F539" s="88"/>
      <c r="G539" s="315" t="s">
        <v>224</v>
      </c>
      <c r="H539" s="316"/>
      <c r="I539" s="28">
        <f>SUM(E550:E574)</f>
        <v>36</v>
      </c>
      <c r="J539" s="317" t="s">
        <v>225</v>
      </c>
      <c r="K539" s="318"/>
      <c r="L539" s="305"/>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5" t="s">
        <v>226</v>
      </c>
      <c r="AA539" s="296"/>
      <c r="AB539" s="297"/>
      <c r="AC539" s="25"/>
      <c r="AD539" s="25"/>
      <c r="AH539" s="109">
        <v>2</v>
      </c>
      <c r="AI539" s="109" t="str">
        <f>IF($E540="SS",COUNTIFS($C550:$C574,"FST",$E550:$E574,"2"),"0")</f>
        <v>0</v>
      </c>
      <c r="AJ539" s="109" t="str">
        <f>IF($E540="RPX",COUNTIFS($C550:$C574,"FST",$E550:$E574,"2"),"0")</f>
        <v>0</v>
      </c>
      <c r="AK539" s="109">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EUC</v>
      </c>
      <c r="F540" s="88"/>
      <c r="G540" s="304" t="s">
        <v>230</v>
      </c>
      <c r="H540" s="305"/>
      <c r="I540" s="33">
        <f>E541-I539</f>
        <v>12</v>
      </c>
      <c r="J540" s="289" t="s">
        <v>231</v>
      </c>
      <c r="K540" s="290"/>
      <c r="L540" s="34">
        <f>I544</f>
        <v>601</v>
      </c>
      <c r="M540" s="196">
        <v>4</v>
      </c>
      <c r="N540" s="35">
        <f>SUM(AI540,AI551)</f>
        <v>0</v>
      </c>
      <c r="O540" s="35">
        <v>0</v>
      </c>
      <c r="P540" s="35">
        <f>SUM(AJ540,AJ551)</f>
        <v>0</v>
      </c>
      <c r="Q540" s="35">
        <v>0</v>
      </c>
      <c r="R540" s="35">
        <f>COUNTIFS($E550:$E574,"4",$F550:$F574,"Pole",$C550:$C574,"FST")</f>
        <v>0</v>
      </c>
      <c r="S540" s="35">
        <f>SUM(AL540,AK551)</f>
        <v>0</v>
      </c>
      <c r="T540" s="35">
        <v>0</v>
      </c>
      <c r="U540" s="35">
        <f>SUM(AK540,AL551)</f>
        <v>7</v>
      </c>
      <c r="V540" s="35">
        <v>0</v>
      </c>
      <c r="W540" s="34">
        <f>COUNTIFS($E550:$E574,"4",$F550:$F574,"HH",$C550:$C574,"FST")</f>
        <v>7</v>
      </c>
      <c r="X540" s="35">
        <f>COUNTIFS($E550:$E574,"4",$F550:$F574,"Ped",$C550:$C574,"FST")</f>
        <v>0</v>
      </c>
      <c r="Y540" s="25"/>
      <c r="Z540" s="298" t="s">
        <v>232</v>
      </c>
      <c r="AA540" s="300" t="s">
        <v>233</v>
      </c>
      <c r="AB540" s="301"/>
      <c r="AC540" s="25"/>
      <c r="AD540" s="25"/>
      <c r="AH540" s="109">
        <v>4</v>
      </c>
      <c r="AI540" s="109" t="str">
        <f>IF($E540="SS",COUNTIFS($C550:$C574,"FST",$E550:$E574,"4"),"0")</f>
        <v>0</v>
      </c>
      <c r="AJ540" s="109" t="str">
        <f>IF($E540="RPX",COUNTIFS($C550:$C574,"FST",$E550:$E574,"4"),"0")</f>
        <v>0</v>
      </c>
      <c r="AK540" s="109">
        <f>IF($E540="EUC",COUNTIFS($C550:$C574,"FST",$E550:$E574,"4"),"0")</f>
        <v>7</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48</v>
      </c>
      <c r="F541" s="88"/>
      <c r="G541" s="291" t="s">
        <v>237</v>
      </c>
      <c r="H541" s="292"/>
      <c r="I541" s="35">
        <f>IF(E541=0,0,12-(MOD(I539,12)))</f>
        <v>12</v>
      </c>
      <c r="J541" s="289" t="s">
        <v>238</v>
      </c>
      <c r="K541" s="290"/>
      <c r="L541" s="39">
        <f>I545-I539</f>
        <v>600</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299"/>
      <c r="AA541" s="302"/>
      <c r="AB541" s="303"/>
      <c r="AC541" s="25"/>
      <c r="AD541" s="25"/>
      <c r="AH541" s="109">
        <v>6</v>
      </c>
      <c r="AI541" s="109" t="str">
        <f>IF($E540="SS",COUNTIFS($C550:$C574,"FST",$E550:$E574,"6"),"0")</f>
        <v>0</v>
      </c>
      <c r="AJ541" s="109" t="str">
        <f>IF($E540="RPX",COUNTIFS($C550:$C574,"FST",$E550:$E574,"6"),"0")</f>
        <v>0</v>
      </c>
      <c r="AK541" s="109">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12</v>
      </c>
      <c r="F542" s="88"/>
      <c r="G542" s="321" t="s">
        <v>242</v>
      </c>
      <c r="H542" s="43" t="s">
        <v>243</v>
      </c>
      <c r="I542" s="35">
        <f>IF(E542&lt;&gt;0,1,0)</f>
        <v>1</v>
      </c>
      <c r="J542" s="291" t="s">
        <v>244</v>
      </c>
      <c r="K542" s="292"/>
      <c r="L542" s="44">
        <f>'Cable Calculator'!BQ3</f>
        <v>1070</v>
      </c>
      <c r="M542" s="196">
        <v>8</v>
      </c>
      <c r="N542" s="35">
        <f>SUM(AI542,AI553)</f>
        <v>0</v>
      </c>
      <c r="O542" s="35">
        <v>0</v>
      </c>
      <c r="P542" s="35">
        <f>SUM(AJ542,AJ553)</f>
        <v>0</v>
      </c>
      <c r="Q542" s="35">
        <v>0</v>
      </c>
      <c r="R542" s="35">
        <f>COUNTIFS($E550:$E574,"8",$F550:$F574,"Pole",$C550:$C574,"FST")</f>
        <v>0</v>
      </c>
      <c r="S542" s="35">
        <f>SUM(AL542,AK553)</f>
        <v>0</v>
      </c>
      <c r="T542" s="35">
        <v>0</v>
      </c>
      <c r="U542" s="35">
        <f>SUM(AK542,AL553)</f>
        <v>1</v>
      </c>
      <c r="V542" s="35">
        <v>0</v>
      </c>
      <c r="W542" s="34">
        <f>COUNTIFS($E550:$E574,"8",$F550:$F574,"HH",$C550:$C574,"FST")</f>
        <v>1</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f>IF($E540="EUC",COUNTIFS($C550:$C574,"FST",$E550:$E574,"8"),"0")</f>
        <v>1</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601</v>
      </c>
      <c r="F543" s="88"/>
      <c r="G543" s="322"/>
      <c r="H543" s="47" t="s">
        <v>248</v>
      </c>
      <c r="I543" s="35">
        <f>IF(E542&lt;&gt;0,E542,0)</f>
        <v>12</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f>IF($E540="EUC",SUM(AK543,AL554,AM575,AO575,AQ575),"0")</f>
        <v>0</v>
      </c>
      <c r="V543" s="35">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4</v>
      </c>
      <c r="F544" s="88"/>
      <c r="G544" s="321" t="s">
        <v>251</v>
      </c>
      <c r="H544" s="51" t="s">
        <v>252</v>
      </c>
      <c r="I544" s="112">
        <f>E543</f>
        <v>601</v>
      </c>
      <c r="J544" s="323" t="s">
        <v>253</v>
      </c>
      <c r="K544" s="324"/>
      <c r="L544" s="325"/>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322"/>
      <c r="H545" s="47" t="s">
        <v>257</v>
      </c>
      <c r="I545" s="35">
        <f>IF(E543="","0",IF(AND(E540="EUC",E541=432), I544+(203-E542),IF(E543=0,0,(E543+(E541-E542)-1))))</f>
        <v>636</v>
      </c>
      <c r="J545" s="285" t="str">
        <f>IFERROR(IF(OR(E540="EUC",E540="SS"),"---",IF(OR(P539,S539),"NO 2F Tethers for RPX!",IF(OR(P541,S541),"NO 6F Tethers for RPX!","---"))),"---")</f>
        <v>---</v>
      </c>
      <c r="K545" s="286"/>
      <c r="L545" s="287"/>
      <c r="M545" s="285" t="str">
        <f>IF(E542&gt;60,"Dead Count &gt;60: Consider Downsize","---")</f>
        <v>---</v>
      </c>
      <c r="N545" s="286"/>
      <c r="O545" s="286"/>
      <c r="P545" s="286"/>
      <c r="Q545" s="286"/>
      <c r="R545" s="286"/>
      <c r="S545" s="286"/>
      <c r="T545" s="286"/>
      <c r="U545" s="287"/>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36</v>
      </c>
      <c r="D546" s="31" t="s">
        <v>259</v>
      </c>
      <c r="E546" s="101" t="str">
        <f>IF(AS540="Y","DBL",IF(AS541="Y","TRPL",IF(AS542="Y","QUAD","")))</f>
        <v/>
      </c>
      <c r="F546" s="88"/>
      <c r="G546" s="192"/>
      <c r="H546" s="57"/>
      <c r="I546" s="192"/>
      <c r="J546" s="285"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86"/>
      <c r="L546" s="287"/>
      <c r="M546" s="285" t="str">
        <f>IF(AND(OR(E540="SS",E540="RPX",E540="EUC",E540="RPX-T"),(OR(C550="",C550="Field SPL"))),"Cannot have FlexNap cables without tethers","---")</f>
        <v>---</v>
      </c>
      <c r="N546" s="286"/>
      <c r="O546" s="286"/>
      <c r="P546" s="286"/>
      <c r="Q546" s="286"/>
      <c r="R546" s="286"/>
      <c r="S546" s="286"/>
      <c r="T546" s="286"/>
      <c r="U546" s="287"/>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85" t="str">
        <f>IF(AND(OR(E540="RPX", E540="RPX-T", E540="SS"),E541=216),"NO 216 For RPX, RPX-T, OR SS CABLE","---")</f>
        <v>---</v>
      </c>
      <c r="K547" s="286"/>
      <c r="L547" s="287"/>
      <c r="M547" s="285" t="str" cm="1">
        <f t="array" ref="M547">IF(AND(E540="",OR(C550:C574="FST",C550:C574="REV T",C550:C574="DBL REV",C550:C574="TPL REV", C550:C574="QD REV")),"Non-FlexNap cables cannot have tethers","---")</f>
        <v>---</v>
      </c>
      <c r="N547" s="286"/>
      <c r="O547" s="286"/>
      <c r="P547" s="286"/>
      <c r="Q547" s="286"/>
      <c r="R547" s="286"/>
      <c r="S547" s="286"/>
      <c r="T547" s="286"/>
      <c r="U547" s="287"/>
      <c r="V547" s="25"/>
      <c r="W547" s="58"/>
      <c r="X547" s="58"/>
      <c r="Y547" s="25"/>
      <c r="Z547" s="45">
        <v>6</v>
      </c>
      <c r="AA547" s="65">
        <v>61</v>
      </c>
      <c r="AB547" s="65">
        <v>72</v>
      </c>
      <c r="AC547" s="25"/>
      <c r="AD547" s="25"/>
      <c r="BA547" s="226"/>
    </row>
    <row r="548" spans="1:53" ht="15.75" customHeight="1" thickBot="1" x14ac:dyDescent="0.3">
      <c r="A548" s="88"/>
      <c r="B548" s="321" t="s">
        <v>260</v>
      </c>
      <c r="C548" s="293" t="s">
        <v>261</v>
      </c>
      <c r="D548" s="293" t="s">
        <v>262</v>
      </c>
      <c r="E548" s="306" t="s">
        <v>263</v>
      </c>
      <c r="F548" s="293" t="s">
        <v>264</v>
      </c>
      <c r="G548" s="308" t="s">
        <v>265</v>
      </c>
      <c r="H548" s="308" t="s">
        <v>266</v>
      </c>
      <c r="I548" s="308" t="s">
        <v>267</v>
      </c>
      <c r="J548" s="310" t="s">
        <v>268</v>
      </c>
      <c r="K548" s="293" t="s">
        <v>269</v>
      </c>
      <c r="L548" s="279" t="s">
        <v>270</v>
      </c>
      <c r="M548" s="281" t="s">
        <v>271</v>
      </c>
      <c r="N548" s="281"/>
      <c r="O548" s="281"/>
      <c r="P548" s="281"/>
      <c r="Q548" s="281"/>
      <c r="R548" s="281"/>
      <c r="S548" s="281"/>
      <c r="T548" s="281"/>
      <c r="U548" s="282"/>
      <c r="V548" s="107"/>
      <c r="W548" s="72"/>
      <c r="X548" s="72"/>
      <c r="Y548" s="72"/>
      <c r="Z548" s="45">
        <v>7</v>
      </c>
      <c r="AA548" s="65">
        <v>73</v>
      </c>
      <c r="AB548" s="65">
        <v>84</v>
      </c>
      <c r="AC548" s="25"/>
      <c r="AD548" s="25"/>
      <c r="BA548" s="228"/>
    </row>
    <row r="549" spans="1:53" ht="15.75" thickBot="1" x14ac:dyDescent="0.3">
      <c r="A549" s="88"/>
      <c r="B549" s="322"/>
      <c r="C549" s="294"/>
      <c r="D549" s="294"/>
      <c r="E549" s="307"/>
      <c r="F549" s="294"/>
      <c r="G549" s="309"/>
      <c r="H549" s="309"/>
      <c r="I549" s="309"/>
      <c r="J549" s="311"/>
      <c r="K549" s="294"/>
      <c r="L549" s="280"/>
      <c r="M549" s="283"/>
      <c r="N549" s="283"/>
      <c r="O549" s="283"/>
      <c r="P549" s="283"/>
      <c r="Q549" s="283"/>
      <c r="R549" s="283"/>
      <c r="S549" s="283"/>
      <c r="T549" s="283"/>
      <c r="U549" s="284"/>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811</v>
      </c>
      <c r="E550" s="32">
        <v>4</v>
      </c>
      <c r="F550" s="32" t="s">
        <v>488</v>
      </c>
      <c r="G550" s="68" t="s">
        <v>277</v>
      </c>
      <c r="H550" s="69">
        <f>IF(I550=0,0,I550-(E550-1))</f>
        <v>633</v>
      </c>
      <c r="I550" s="70">
        <f>IF(E550=0,0,I545)</f>
        <v>636</v>
      </c>
      <c r="J550" s="71" t="s">
        <v>278</v>
      </c>
      <c r="K550" s="32"/>
      <c r="L550" s="233"/>
      <c r="M550" s="277"/>
      <c r="N550" s="277"/>
      <c r="O550" s="277"/>
      <c r="P550" s="277"/>
      <c r="Q550" s="277"/>
      <c r="R550" s="277"/>
      <c r="S550" s="277"/>
      <c r="T550" s="277"/>
      <c r="U550" s="278"/>
      <c r="V550" s="103"/>
      <c r="W550" s="72"/>
      <c r="X550" s="72"/>
      <c r="Y550" s="72"/>
      <c r="Z550" s="45">
        <v>9</v>
      </c>
      <c r="AA550" s="46">
        <v>97</v>
      </c>
      <c r="AB550" s="46">
        <v>108</v>
      </c>
      <c r="AC550" s="72">
        <f t="shared" ref="AC550:AC574" si="230">IF(B550&lt;&gt;"FST",1,0)</f>
        <v>1</v>
      </c>
      <c r="AD550" s="72">
        <f t="shared" ref="AD550:AD574" si="231">IF(C550&lt;&gt;"FST",1,0)</f>
        <v>0</v>
      </c>
      <c r="AE550" s="109" t="str">
        <f t="shared" ref="AE550:AE574" si="232">CONCATENATE(H550,"-",I550)</f>
        <v>633-636</v>
      </c>
      <c r="AF550" s="109" t="str">
        <f t="shared" ref="AF550:AF574" si="233">IF(C550="Field SPL","N","Y")</f>
        <v>Y</v>
      </c>
      <c r="AG550" s="109" t="str">
        <f t="shared" ref="AG550:AG574" si="234">IF(OR(E$540="RPX",E$540="SS"),"A","B")</f>
        <v>B</v>
      </c>
      <c r="AH550" s="109">
        <v>2</v>
      </c>
      <c r="AI550" s="109" t="str">
        <f>IF(E540="SS",COUNTIFS(C550:C574,"TCF",E550:E574,"2"),"")</f>
        <v/>
      </c>
      <c r="AJ550" s="109" t="str">
        <f>IF(E540="RPX",COUNTIFS(C550:C574,"TCF",E550:E574,"2"),"")</f>
        <v/>
      </c>
      <c r="AK550" s="109" t="str">
        <f>IF(E540="RPX-T",COUNTIFS(C550:C574,"TCF",E550:E574,"2"),"")</f>
        <v/>
      </c>
      <c r="AL550" s="109">
        <f>IF(E540="EUC",COUNTIFS(C550:C574,"TCF",E550:E574,"2"),"")</f>
        <v>0</v>
      </c>
      <c r="AM550" s="109">
        <f t="shared" ref="AM550:AM574" si="235">VALUE(IF(C550="FST","0",IF(C550="REV T","1",IF(C550="DBL REV",".5","0"))))</f>
        <v>0</v>
      </c>
      <c r="AN550" s="109">
        <f t="shared" ref="AN550:AN574" si="236">VALUE(IF(C550="FST","0",IF(C550="REV T","0",IF(C550="DBL REV",".5","0"))))</f>
        <v>0</v>
      </c>
      <c r="AO550" s="109" t="str">
        <f t="shared" ref="AO550:AO574" si="237">IF(C550="TPL REV","Y","")</f>
        <v/>
      </c>
      <c r="AQ550" s="109" t="str">
        <f t="shared" ref="AQ550:AQ574" si="238">IF(C550="QD REV","Y","")</f>
        <v/>
      </c>
      <c r="BA550" s="229">
        <f>MOD(E550,12)</f>
        <v>4</v>
      </c>
    </row>
    <row r="551" spans="1:53" ht="15.75" thickBot="1" x14ac:dyDescent="0.3">
      <c r="A551" s="88"/>
      <c r="B551" s="66" t="s">
        <v>279</v>
      </c>
      <c r="C551" s="67" t="s">
        <v>484</v>
      </c>
      <c r="D551" s="102" t="s">
        <v>765</v>
      </c>
      <c r="E551" s="32">
        <v>4</v>
      </c>
      <c r="F551" s="32" t="s">
        <v>488</v>
      </c>
      <c r="G551" s="68" t="s">
        <v>277</v>
      </c>
      <c r="H551" s="69">
        <f t="shared" ref="H551:H574" si="239">IF(E551=0,0,I551-(E551-1))</f>
        <v>629</v>
      </c>
      <c r="I551" s="70">
        <f t="shared" ref="I551:I574" si="240">IF(E551=0,0,H550-1)</f>
        <v>632</v>
      </c>
      <c r="J551" s="73" t="str">
        <f>IF(C551="","--",IF(AND(C551&lt;&gt;"FST",C551&lt;&gt;"TCF",BA550&lt;&gt;0),BA550,"--"))</f>
        <v>--</v>
      </c>
      <c r="K551" s="32"/>
      <c r="L551" s="233"/>
      <c r="M551" s="277"/>
      <c r="N551" s="277"/>
      <c r="O551" s="277"/>
      <c r="P551" s="277"/>
      <c r="Q551" s="277"/>
      <c r="R551" s="277"/>
      <c r="S551" s="277"/>
      <c r="T551" s="277"/>
      <c r="U551" s="278"/>
      <c r="V551" s="103"/>
      <c r="W551" s="72"/>
      <c r="X551" s="72"/>
      <c r="Y551" s="72"/>
      <c r="Z551" s="45">
        <v>10</v>
      </c>
      <c r="AA551" s="46">
        <v>109</v>
      </c>
      <c r="AB551" s="46">
        <v>120</v>
      </c>
      <c r="AC551" s="72">
        <f t="shared" si="230"/>
        <v>1</v>
      </c>
      <c r="AD551" s="72">
        <f t="shared" si="231"/>
        <v>0</v>
      </c>
      <c r="AE551" s="109" t="str">
        <f t="shared" si="232"/>
        <v>629-632</v>
      </c>
      <c r="AF551" s="109" t="str">
        <f t="shared" si="233"/>
        <v>Y</v>
      </c>
      <c r="AG551" s="109" t="str">
        <f t="shared" si="234"/>
        <v>B</v>
      </c>
      <c r="AH551" s="109">
        <v>4</v>
      </c>
      <c r="AI551" s="109" t="str">
        <f>IF(E540="SS",COUNTIFS(C550:C574,"TCF",E550:E574,"4"),"")</f>
        <v/>
      </c>
      <c r="AJ551" s="109" t="str">
        <f>IF(E540="RPX",COUNTIFS(C550:C574,"TCF",E550:E574,"4"),"")</f>
        <v/>
      </c>
      <c r="AK551" s="109" t="str">
        <f>IF(E540="RPX-T",COUNTIFS(C550:C574,"TCF",E550:E574,"4"),"")</f>
        <v/>
      </c>
      <c r="AL551" s="109">
        <f>IF(E540="EUC",COUNTIFS(C550:C574,"TCF",E550:E574,"4"),"")</f>
        <v>0</v>
      </c>
      <c r="AM551" s="109">
        <f t="shared" si="235"/>
        <v>0</v>
      </c>
      <c r="AN551" s="109">
        <f t="shared" si="236"/>
        <v>0</v>
      </c>
      <c r="AO551" s="109" t="str">
        <f t="shared" si="237"/>
        <v/>
      </c>
      <c r="AQ551" s="109" t="str">
        <f t="shared" si="238"/>
        <v/>
      </c>
      <c r="BA551" s="229">
        <f>MOD(SUM(E550:E551),12)</f>
        <v>8</v>
      </c>
    </row>
    <row r="552" spans="1:53" ht="15.75" thickBot="1" x14ac:dyDescent="0.3">
      <c r="A552" s="88"/>
      <c r="B552" s="74" t="s">
        <v>280</v>
      </c>
      <c r="C552" s="67" t="s">
        <v>484</v>
      </c>
      <c r="D552" s="102" t="s">
        <v>766</v>
      </c>
      <c r="E552" s="32">
        <v>4</v>
      </c>
      <c r="F552" s="32" t="s">
        <v>488</v>
      </c>
      <c r="G552" s="75" t="s">
        <v>277</v>
      </c>
      <c r="H552" s="69">
        <f t="shared" si="239"/>
        <v>625</v>
      </c>
      <c r="I552" s="70">
        <f t="shared" si="240"/>
        <v>628</v>
      </c>
      <c r="J552" s="73" t="str">
        <f t="shared" ref="J552:J574" si="241">IF(C552="","--",IF(AND(C552&lt;&gt;"FST",C552&lt;&gt;"TCF",BA551&lt;&gt;0),BA551,"--"))</f>
        <v>--</v>
      </c>
      <c r="K552" s="32"/>
      <c r="L552" s="233"/>
      <c r="M552" s="277"/>
      <c r="N552" s="277"/>
      <c r="O552" s="277"/>
      <c r="P552" s="277"/>
      <c r="Q552" s="277"/>
      <c r="R552" s="277"/>
      <c r="S552" s="277"/>
      <c r="T552" s="277"/>
      <c r="U552" s="278"/>
      <c r="V552" s="103"/>
      <c r="W552" s="72"/>
      <c r="X552" s="72"/>
      <c r="Y552" s="72"/>
      <c r="Z552" s="45">
        <v>11</v>
      </c>
      <c r="AA552" s="46">
        <v>121</v>
      </c>
      <c r="AB552" s="46">
        <v>132</v>
      </c>
      <c r="AC552" s="72">
        <f t="shared" si="230"/>
        <v>1</v>
      </c>
      <c r="AD552" s="72">
        <f t="shared" si="231"/>
        <v>0</v>
      </c>
      <c r="AE552" s="109" t="str">
        <f t="shared" si="232"/>
        <v>625-628</v>
      </c>
      <c r="AF552" s="109" t="str">
        <f t="shared" si="233"/>
        <v>Y</v>
      </c>
      <c r="AG552" s="109" t="str">
        <f t="shared" si="234"/>
        <v>B</v>
      </c>
      <c r="AH552" s="109">
        <v>6</v>
      </c>
      <c r="AI552" s="109" t="str">
        <f>IF(E540="SS",COUNTIFS(C550:C574,"TCF",E550:E574,"6"),"")</f>
        <v/>
      </c>
      <c r="AJ552" s="109" t="str">
        <f>IF(E540="RPX",COUNTIFS(C550:C574,"TCF",E550:E574,"6"),"")</f>
        <v/>
      </c>
      <c r="AK552" s="109" t="str">
        <f>IF(E540="RPX-T",COUNTIFS(C550:C574,"TCF",E550:E574,"6"),"")</f>
        <v/>
      </c>
      <c r="AL552" s="109">
        <f>IF(E540="EUC",COUNTIFS(C550:C574,"TCF",E550:E574,"6"),"")</f>
        <v>0</v>
      </c>
      <c r="AM552" s="109">
        <f t="shared" si="235"/>
        <v>0</v>
      </c>
      <c r="AN552" s="109">
        <f t="shared" si="236"/>
        <v>0</v>
      </c>
      <c r="AO552" s="109" t="str">
        <f t="shared" si="237"/>
        <v/>
      </c>
      <c r="AQ552" s="109" t="str">
        <f t="shared" si="238"/>
        <v/>
      </c>
      <c r="BA552" s="229">
        <f>MOD(SUM(E550:E553),12)</f>
        <v>4</v>
      </c>
    </row>
    <row r="553" spans="1:53" ht="15.75" thickBot="1" x14ac:dyDescent="0.3">
      <c r="A553" s="88"/>
      <c r="B553" s="66" t="s">
        <v>281</v>
      </c>
      <c r="C553" s="67" t="s">
        <v>484</v>
      </c>
      <c r="D553" s="102" t="s">
        <v>767</v>
      </c>
      <c r="E553" s="32">
        <v>4</v>
      </c>
      <c r="F553" s="32" t="s">
        <v>488</v>
      </c>
      <c r="G553" s="68" t="s">
        <v>277</v>
      </c>
      <c r="H553" s="69">
        <f t="shared" si="239"/>
        <v>621</v>
      </c>
      <c r="I553" s="70">
        <f t="shared" si="240"/>
        <v>624</v>
      </c>
      <c r="J553" s="73" t="str">
        <f t="shared" si="241"/>
        <v>--</v>
      </c>
      <c r="K553" s="32"/>
      <c r="L553" s="233"/>
      <c r="M553" s="277"/>
      <c r="N553" s="277"/>
      <c r="O553" s="277"/>
      <c r="P553" s="277"/>
      <c r="Q553" s="277"/>
      <c r="R553" s="277"/>
      <c r="S553" s="277"/>
      <c r="T553" s="277"/>
      <c r="U553" s="278"/>
      <c r="V553" s="103"/>
      <c r="W553" s="72"/>
      <c r="X553" s="72"/>
      <c r="Y553" s="72"/>
      <c r="Z553" s="45">
        <v>12</v>
      </c>
      <c r="AA553" s="76">
        <v>133</v>
      </c>
      <c r="AB553" s="76">
        <v>144</v>
      </c>
      <c r="AC553" s="72">
        <f t="shared" si="230"/>
        <v>1</v>
      </c>
      <c r="AD553" s="72">
        <f t="shared" si="231"/>
        <v>0</v>
      </c>
      <c r="AE553" s="109" t="str">
        <f t="shared" si="232"/>
        <v>621-624</v>
      </c>
      <c r="AF553" s="109" t="str">
        <f t="shared" si="233"/>
        <v>Y</v>
      </c>
      <c r="AG553" s="109" t="str">
        <f t="shared" si="234"/>
        <v>B</v>
      </c>
      <c r="AH553" s="109">
        <v>8</v>
      </c>
      <c r="AI553" s="109" t="str">
        <f>IF(E540="SS",COUNTIFS(C550:C574,"TCF",E550:E574,"8"),"")</f>
        <v/>
      </c>
      <c r="AJ553" s="109" t="str">
        <f>IF(E540="RPX",COUNTIFS(C550:C574,"TCF",E550:E574,"8"),"")</f>
        <v/>
      </c>
      <c r="AK553" s="109" t="str">
        <f>IF(E540="RPX-T",COUNTIFS(C550:C574,"TCF",E550:E574,"8"),"")</f>
        <v/>
      </c>
      <c r="AL553" s="109">
        <f>IF(E540="EUC",COUNTIFS(C550:C574,"TCF",E550:E574,"8"),"")</f>
        <v>0</v>
      </c>
      <c r="AM553" s="109">
        <f t="shared" si="235"/>
        <v>0</v>
      </c>
      <c r="AN553" s="109">
        <f t="shared" si="236"/>
        <v>0</v>
      </c>
      <c r="AO553" s="109" t="str">
        <f t="shared" si="237"/>
        <v/>
      </c>
      <c r="AQ553" s="109" t="str">
        <f t="shared" si="238"/>
        <v/>
      </c>
      <c r="BA553" s="229">
        <f>MOD(SUM(E550:E554),12)</f>
        <v>8</v>
      </c>
    </row>
    <row r="554" spans="1:53" ht="15.75" thickBot="1" x14ac:dyDescent="0.3">
      <c r="A554" s="88"/>
      <c r="B554" s="66" t="s">
        <v>282</v>
      </c>
      <c r="C554" s="67" t="s">
        <v>484</v>
      </c>
      <c r="D554" s="102" t="s">
        <v>812</v>
      </c>
      <c r="E554" s="32">
        <v>4</v>
      </c>
      <c r="F554" s="32" t="s">
        <v>488</v>
      </c>
      <c r="G554" s="68" t="s">
        <v>277</v>
      </c>
      <c r="H554" s="69">
        <f t="shared" si="239"/>
        <v>617</v>
      </c>
      <c r="I554" s="70">
        <f t="shared" si="240"/>
        <v>620</v>
      </c>
      <c r="J554" s="73" t="str">
        <f t="shared" si="241"/>
        <v>--</v>
      </c>
      <c r="K554" s="32"/>
      <c r="L554" s="233"/>
      <c r="M554" s="277"/>
      <c r="N554" s="277"/>
      <c r="O554" s="277"/>
      <c r="P554" s="277"/>
      <c r="Q554" s="277"/>
      <c r="R554" s="277"/>
      <c r="S554" s="277"/>
      <c r="T554" s="277"/>
      <c r="U554" s="278"/>
      <c r="V554" s="103"/>
      <c r="W554" s="72"/>
      <c r="X554" s="72"/>
      <c r="Y554" s="72"/>
      <c r="Z554" s="45">
        <v>13</v>
      </c>
      <c r="AA554" s="77">
        <f t="shared" ref="AA554:AA559" si="242">AB553+1</f>
        <v>145</v>
      </c>
      <c r="AB554" s="77">
        <f t="shared" ref="AB554:AB559" si="243">AB553+12</f>
        <v>156</v>
      </c>
      <c r="AC554" s="72">
        <f t="shared" si="230"/>
        <v>1</v>
      </c>
      <c r="AD554" s="72">
        <f t="shared" si="231"/>
        <v>0</v>
      </c>
      <c r="AE554" s="109" t="str">
        <f t="shared" si="232"/>
        <v>617-620</v>
      </c>
      <c r="AF554" s="109" t="str">
        <f t="shared" si="233"/>
        <v>Y</v>
      </c>
      <c r="AG554" s="109" t="str">
        <f t="shared" si="234"/>
        <v>B</v>
      </c>
      <c r="AH554" s="109">
        <v>12</v>
      </c>
      <c r="AI554" s="109" t="str">
        <f>IF(E540="SS",COUNTIFS(C550:C574,"TCF",E550:E574,"12"),"")</f>
        <v/>
      </c>
      <c r="AJ554" s="109" t="str">
        <f>IF(E540="RPX",COUNTIFS(C550:C574,"TCF",E550:E574,"12"),"")</f>
        <v/>
      </c>
      <c r="AK554" s="109" t="str">
        <f>IF(E540="RPX-T",COUNTIFS(C550:C574,"TCF",E550:E574,"12"),"")</f>
        <v/>
      </c>
      <c r="AL554" s="109">
        <f>IF(E540="EUC",COUNTIFS(C550:C574,"TCF",E550:E574,"12"),"")</f>
        <v>0</v>
      </c>
      <c r="AM554" s="109">
        <f t="shared" si="235"/>
        <v>0</v>
      </c>
      <c r="AN554" s="109">
        <f t="shared" si="236"/>
        <v>0</v>
      </c>
      <c r="AO554" s="109" t="str">
        <f t="shared" si="237"/>
        <v/>
      </c>
      <c r="AQ554" s="109" t="str">
        <f t="shared" si="238"/>
        <v/>
      </c>
      <c r="BA554" s="229">
        <f>MOD(SUM(E550:E555),12)</f>
        <v>4</v>
      </c>
    </row>
    <row r="555" spans="1:53" ht="15.75" thickBot="1" x14ac:dyDescent="0.3">
      <c r="A555" s="88"/>
      <c r="B555" s="66" t="s">
        <v>283</v>
      </c>
      <c r="C555" s="67" t="s">
        <v>484</v>
      </c>
      <c r="D555" s="102" t="s">
        <v>768</v>
      </c>
      <c r="E555" s="32">
        <v>8</v>
      </c>
      <c r="F555" s="32" t="s">
        <v>488</v>
      </c>
      <c r="G555" s="68" t="s">
        <v>277</v>
      </c>
      <c r="H555" s="69">
        <f t="shared" si="239"/>
        <v>609</v>
      </c>
      <c r="I555" s="70">
        <f t="shared" si="240"/>
        <v>616</v>
      </c>
      <c r="J555" s="73" t="str">
        <f t="shared" si="241"/>
        <v>--</v>
      </c>
      <c r="K555" s="32"/>
      <c r="L555" s="233"/>
      <c r="M555" s="277"/>
      <c r="N555" s="277"/>
      <c r="O555" s="277"/>
      <c r="P555" s="277"/>
      <c r="Q555" s="277"/>
      <c r="R555" s="277"/>
      <c r="S555" s="277"/>
      <c r="T555" s="277"/>
      <c r="U555" s="278"/>
      <c r="V555" s="103"/>
      <c r="W555" s="72"/>
      <c r="X555" s="72"/>
      <c r="Y555" s="72"/>
      <c r="Z555" s="45">
        <v>14</v>
      </c>
      <c r="AA555" s="77">
        <f t="shared" si="242"/>
        <v>157</v>
      </c>
      <c r="AB555" s="77">
        <f t="shared" si="243"/>
        <v>168</v>
      </c>
      <c r="AC555" s="72">
        <f t="shared" si="230"/>
        <v>1</v>
      </c>
      <c r="AD555" s="72">
        <f t="shared" si="231"/>
        <v>0</v>
      </c>
      <c r="AE555" s="109" t="str">
        <f t="shared" si="232"/>
        <v>609-616</v>
      </c>
      <c r="AF555" s="109" t="str">
        <f t="shared" si="233"/>
        <v>Y</v>
      </c>
      <c r="AG555" s="109" t="str">
        <f t="shared" si="234"/>
        <v>B</v>
      </c>
      <c r="AM555" s="109">
        <f t="shared" si="235"/>
        <v>0</v>
      </c>
      <c r="AN555" s="109">
        <f t="shared" si="236"/>
        <v>0</v>
      </c>
      <c r="AO555" s="109" t="str">
        <f t="shared" si="237"/>
        <v/>
      </c>
      <c r="AQ555" s="109" t="str">
        <f t="shared" si="238"/>
        <v/>
      </c>
      <c r="BA555" s="229">
        <f>MOD(SUM(E550:E556),12)</f>
        <v>8</v>
      </c>
    </row>
    <row r="556" spans="1:53" ht="15.75" thickBot="1" x14ac:dyDescent="0.3">
      <c r="A556" s="88"/>
      <c r="B556" s="66" t="s">
        <v>284</v>
      </c>
      <c r="C556" s="67" t="s">
        <v>484</v>
      </c>
      <c r="D556" s="102" t="s">
        <v>813</v>
      </c>
      <c r="E556" s="32">
        <v>4</v>
      </c>
      <c r="F556" s="32" t="s">
        <v>488</v>
      </c>
      <c r="G556" s="68" t="s">
        <v>277</v>
      </c>
      <c r="H556" s="69">
        <f t="shared" si="239"/>
        <v>605</v>
      </c>
      <c r="I556" s="70">
        <f t="shared" si="240"/>
        <v>608</v>
      </c>
      <c r="J556" s="73" t="str">
        <f t="shared" si="241"/>
        <v>--</v>
      </c>
      <c r="K556" s="32"/>
      <c r="L556" s="233"/>
      <c r="M556" s="277"/>
      <c r="N556" s="277"/>
      <c r="O556" s="277"/>
      <c r="P556" s="277"/>
      <c r="Q556" s="277"/>
      <c r="R556" s="277"/>
      <c r="S556" s="277"/>
      <c r="T556" s="277"/>
      <c r="U556" s="278"/>
      <c r="V556" s="103"/>
      <c r="W556" s="72"/>
      <c r="X556" s="72"/>
      <c r="Y556" s="72"/>
      <c r="Z556" s="45">
        <v>15</v>
      </c>
      <c r="AA556" s="77">
        <f t="shared" si="242"/>
        <v>169</v>
      </c>
      <c r="AB556" s="77">
        <f t="shared" si="243"/>
        <v>180</v>
      </c>
      <c r="AC556" s="72">
        <f t="shared" si="230"/>
        <v>1</v>
      </c>
      <c r="AD556" s="72">
        <f t="shared" si="231"/>
        <v>0</v>
      </c>
      <c r="AE556" s="109" t="str">
        <f t="shared" si="232"/>
        <v>605-608</v>
      </c>
      <c r="AF556" s="109" t="str">
        <f t="shared" si="233"/>
        <v>Y</v>
      </c>
      <c r="AG556" s="109" t="str">
        <f t="shared" si="234"/>
        <v>B</v>
      </c>
      <c r="AM556" s="109">
        <f t="shared" si="235"/>
        <v>0</v>
      </c>
      <c r="AN556" s="109">
        <f t="shared" si="236"/>
        <v>0</v>
      </c>
      <c r="AO556" s="109" t="str">
        <f t="shared" si="237"/>
        <v/>
      </c>
      <c r="AQ556" s="109" t="str">
        <f t="shared" si="238"/>
        <v/>
      </c>
      <c r="BA556" s="229">
        <f>MOD(SUM(E550:E557),12)</f>
        <v>0</v>
      </c>
    </row>
    <row r="557" spans="1:53" ht="15.75" thickBot="1" x14ac:dyDescent="0.3">
      <c r="A557" s="88"/>
      <c r="B557" s="66" t="s">
        <v>285</v>
      </c>
      <c r="C557" s="67" t="s">
        <v>484</v>
      </c>
      <c r="D557" s="102" t="s">
        <v>769</v>
      </c>
      <c r="E557" s="32">
        <v>4</v>
      </c>
      <c r="F557" s="32" t="s">
        <v>488</v>
      </c>
      <c r="G557" s="68" t="s">
        <v>277</v>
      </c>
      <c r="H557" s="69">
        <f t="shared" si="239"/>
        <v>601</v>
      </c>
      <c r="I557" s="70">
        <f t="shared" si="240"/>
        <v>604</v>
      </c>
      <c r="J557" s="73" t="str">
        <f t="shared" si="241"/>
        <v>--</v>
      </c>
      <c r="K557" s="32"/>
      <c r="L557" s="233"/>
      <c r="M557" s="277"/>
      <c r="N557" s="277"/>
      <c r="O557" s="277"/>
      <c r="P557" s="277"/>
      <c r="Q557" s="277"/>
      <c r="R557" s="277"/>
      <c r="S557" s="277"/>
      <c r="T557" s="277"/>
      <c r="U557" s="278"/>
      <c r="V557" s="103"/>
      <c r="W557" s="72"/>
      <c r="X557" s="72"/>
      <c r="Y557" s="72"/>
      <c r="Z557" s="45">
        <f>Z556+1</f>
        <v>16</v>
      </c>
      <c r="AA557" s="77">
        <f t="shared" si="242"/>
        <v>181</v>
      </c>
      <c r="AB557" s="77">
        <f t="shared" si="243"/>
        <v>192</v>
      </c>
      <c r="AC557" s="72">
        <f t="shared" si="230"/>
        <v>1</v>
      </c>
      <c r="AD557" s="72">
        <f t="shared" si="231"/>
        <v>0</v>
      </c>
      <c r="AE557" s="109" t="str">
        <f t="shared" si="232"/>
        <v>601-604</v>
      </c>
      <c r="AF557" s="109" t="str">
        <f t="shared" si="233"/>
        <v>Y</v>
      </c>
      <c r="AG557" s="109" t="str">
        <f t="shared" si="234"/>
        <v>B</v>
      </c>
      <c r="AM557" s="109">
        <f t="shared" si="235"/>
        <v>0</v>
      </c>
      <c r="AN557" s="109">
        <f t="shared" si="236"/>
        <v>0</v>
      </c>
      <c r="AO557" s="109" t="str">
        <f t="shared" si="237"/>
        <v/>
      </c>
      <c r="AQ557" s="109" t="str">
        <f t="shared" si="238"/>
        <v/>
      </c>
      <c r="BA557" s="229">
        <f>MOD(SUM(E550:E558),12)</f>
        <v>0</v>
      </c>
    </row>
    <row r="558" spans="1:53" ht="15.75" thickBot="1" x14ac:dyDescent="0.3">
      <c r="A558" s="88"/>
      <c r="B558" s="66" t="s">
        <v>286</v>
      </c>
      <c r="C558" s="67"/>
      <c r="D558" s="102"/>
      <c r="E558" s="32"/>
      <c r="F558" s="32"/>
      <c r="G558" s="68" t="s">
        <v>277</v>
      </c>
      <c r="H558" s="69">
        <f t="shared" si="239"/>
        <v>0</v>
      </c>
      <c r="I558" s="70">
        <f t="shared" si="240"/>
        <v>0</v>
      </c>
      <c r="J558" s="73" t="str">
        <f t="shared" si="241"/>
        <v>--</v>
      </c>
      <c r="K558" s="32"/>
      <c r="L558" s="233"/>
      <c r="M558" s="277"/>
      <c r="N558" s="277"/>
      <c r="O558" s="277"/>
      <c r="P558" s="277"/>
      <c r="Q558" s="277"/>
      <c r="R558" s="277"/>
      <c r="S558" s="277"/>
      <c r="T558" s="277"/>
      <c r="U558" s="278"/>
      <c r="V558" s="103"/>
      <c r="W558" s="72"/>
      <c r="X558" s="72"/>
      <c r="Y558" s="72"/>
      <c r="Z558" s="45">
        <f>Z557+1</f>
        <v>17</v>
      </c>
      <c r="AA558" s="77">
        <f t="shared" si="242"/>
        <v>193</v>
      </c>
      <c r="AB558" s="77">
        <f t="shared" si="243"/>
        <v>204</v>
      </c>
      <c r="AC558" s="72">
        <f t="shared" si="230"/>
        <v>1</v>
      </c>
      <c r="AD558" s="72">
        <f t="shared" si="231"/>
        <v>1</v>
      </c>
      <c r="AE558" s="109" t="str">
        <f t="shared" si="232"/>
        <v>0-0</v>
      </c>
      <c r="AF558" s="109" t="str">
        <f t="shared" si="233"/>
        <v>Y</v>
      </c>
      <c r="AG558" s="109" t="str">
        <f t="shared" si="234"/>
        <v>B</v>
      </c>
      <c r="AM558" s="109">
        <f t="shared" si="235"/>
        <v>0</v>
      </c>
      <c r="AN558" s="109">
        <f t="shared" si="236"/>
        <v>0</v>
      </c>
      <c r="AO558" s="109" t="str">
        <f t="shared" si="237"/>
        <v/>
      </c>
      <c r="AQ558" s="109" t="str">
        <f t="shared" si="238"/>
        <v/>
      </c>
      <c r="BA558" s="229">
        <f>MOD(SUM(E550:E559),12)</f>
        <v>0</v>
      </c>
    </row>
    <row r="559" spans="1:53" ht="15.75" thickBot="1" x14ac:dyDescent="0.3">
      <c r="A559" s="88"/>
      <c r="B559" s="66" t="s">
        <v>287</v>
      </c>
      <c r="C559" s="67"/>
      <c r="D559" s="102"/>
      <c r="E559" s="32"/>
      <c r="F559" s="32"/>
      <c r="G559" s="68" t="s">
        <v>277</v>
      </c>
      <c r="H559" s="69">
        <f t="shared" si="239"/>
        <v>0</v>
      </c>
      <c r="I559" s="70">
        <f t="shared" si="240"/>
        <v>0</v>
      </c>
      <c r="J559" s="73" t="str">
        <f t="shared" si="241"/>
        <v>--</v>
      </c>
      <c r="K559" s="32"/>
      <c r="L559" s="233"/>
      <c r="M559" s="277"/>
      <c r="N559" s="277"/>
      <c r="O559" s="277"/>
      <c r="P559" s="277"/>
      <c r="Q559" s="277"/>
      <c r="R559" s="277"/>
      <c r="S559" s="277"/>
      <c r="T559" s="277"/>
      <c r="U559" s="278"/>
      <c r="V559" s="103"/>
      <c r="W559" s="72"/>
      <c r="X559" s="72"/>
      <c r="Y559" s="72"/>
      <c r="Z559" s="45">
        <f>Z558+1</f>
        <v>18</v>
      </c>
      <c r="AA559" s="77">
        <f t="shared" si="242"/>
        <v>205</v>
      </c>
      <c r="AB559" s="77">
        <f t="shared" si="243"/>
        <v>216</v>
      </c>
      <c r="AC559" s="72">
        <f t="shared" si="230"/>
        <v>1</v>
      </c>
      <c r="AD559" s="72">
        <f t="shared" si="231"/>
        <v>1</v>
      </c>
      <c r="AE559" s="109" t="str">
        <f t="shared" si="232"/>
        <v>0-0</v>
      </c>
      <c r="AF559" s="109" t="str">
        <f t="shared" si="233"/>
        <v>Y</v>
      </c>
      <c r="AG559" s="109" t="str">
        <f t="shared" si="234"/>
        <v>B</v>
      </c>
      <c r="AM559" s="109">
        <f t="shared" si="235"/>
        <v>0</v>
      </c>
      <c r="AN559" s="109">
        <f t="shared" si="236"/>
        <v>0</v>
      </c>
      <c r="AO559" s="109" t="str">
        <f t="shared" si="237"/>
        <v/>
      </c>
      <c r="AQ559" s="109" t="str">
        <f t="shared" si="238"/>
        <v/>
      </c>
      <c r="BA559" s="229">
        <f>MOD(SUM(E550:E560),12)</f>
        <v>0</v>
      </c>
    </row>
    <row r="560" spans="1:53" ht="15.75" thickBot="1" x14ac:dyDescent="0.3">
      <c r="A560" s="88"/>
      <c r="B560" s="66" t="s">
        <v>288</v>
      </c>
      <c r="C560" s="67"/>
      <c r="D560" s="102"/>
      <c r="E560" s="32"/>
      <c r="F560" s="32"/>
      <c r="G560" s="68" t="s">
        <v>277</v>
      </c>
      <c r="H560" s="69">
        <f t="shared" si="239"/>
        <v>0</v>
      </c>
      <c r="I560" s="70">
        <f t="shared" si="240"/>
        <v>0</v>
      </c>
      <c r="J560" s="73" t="str">
        <f t="shared" si="241"/>
        <v>--</v>
      </c>
      <c r="K560" s="32"/>
      <c r="L560" s="233"/>
      <c r="M560" s="277"/>
      <c r="N560" s="277"/>
      <c r="O560" s="277"/>
      <c r="P560" s="277"/>
      <c r="Q560" s="277"/>
      <c r="R560" s="277"/>
      <c r="S560" s="277"/>
      <c r="T560" s="277"/>
      <c r="U560" s="278"/>
      <c r="V560" s="103"/>
      <c r="W560" s="84"/>
      <c r="X560" s="84"/>
      <c r="Y560" s="72"/>
      <c r="Z560" s="72"/>
      <c r="AA560" s="72"/>
      <c r="AB560" s="72"/>
      <c r="AC560" s="72">
        <f t="shared" si="230"/>
        <v>1</v>
      </c>
      <c r="AD560" s="72">
        <f t="shared" si="231"/>
        <v>1</v>
      </c>
      <c r="AE560" s="109" t="str">
        <f t="shared" si="232"/>
        <v>0-0</v>
      </c>
      <c r="AF560" s="109" t="str">
        <f t="shared" si="233"/>
        <v>Y</v>
      </c>
      <c r="AG560" s="109" t="str">
        <f t="shared" si="234"/>
        <v>B</v>
      </c>
      <c r="AM560" s="109">
        <f t="shared" si="235"/>
        <v>0</v>
      </c>
      <c r="AN560" s="109">
        <f t="shared" si="236"/>
        <v>0</v>
      </c>
      <c r="AO560" s="109" t="str">
        <f t="shared" si="237"/>
        <v/>
      </c>
      <c r="AQ560" s="109" t="str">
        <f t="shared" si="238"/>
        <v/>
      </c>
      <c r="BA560" s="229">
        <f>MOD(SUM(E550:E561),12)</f>
        <v>0</v>
      </c>
    </row>
    <row r="561" spans="1:53" ht="15.75" thickBot="1" x14ac:dyDescent="0.3">
      <c r="A561" s="88"/>
      <c r="B561" s="66" t="s">
        <v>289</v>
      </c>
      <c r="C561" s="67"/>
      <c r="D561" s="102"/>
      <c r="E561" s="32"/>
      <c r="F561" s="32"/>
      <c r="G561" s="68" t="s">
        <v>277</v>
      </c>
      <c r="H561" s="69">
        <f t="shared" si="239"/>
        <v>0</v>
      </c>
      <c r="I561" s="70">
        <f t="shared" si="240"/>
        <v>0</v>
      </c>
      <c r="J561" s="73" t="str">
        <f t="shared" si="241"/>
        <v>--</v>
      </c>
      <c r="K561" s="32"/>
      <c r="L561" s="233"/>
      <c r="M561" s="277"/>
      <c r="N561" s="277"/>
      <c r="O561" s="277"/>
      <c r="P561" s="277"/>
      <c r="Q561" s="277"/>
      <c r="R561" s="277"/>
      <c r="S561" s="277"/>
      <c r="T561" s="277"/>
      <c r="U561" s="278"/>
      <c r="V561" s="103"/>
      <c r="W561" s="84">
        <f>Y561+1</f>
        <v>37</v>
      </c>
      <c r="X561" s="84"/>
      <c r="Y561" s="78">
        <f>SUM(E550:E561)</f>
        <v>36</v>
      </c>
      <c r="Z561" s="72"/>
      <c r="AA561" s="72"/>
      <c r="AB561" s="72"/>
      <c r="AC561" s="72">
        <f t="shared" si="230"/>
        <v>1</v>
      </c>
      <c r="AD561" s="72">
        <f t="shared" si="231"/>
        <v>1</v>
      </c>
      <c r="AE561" s="109" t="str">
        <f t="shared" si="232"/>
        <v>0-0</v>
      </c>
      <c r="AF561" s="109" t="str">
        <f t="shared" si="233"/>
        <v>Y</v>
      </c>
      <c r="AG561" s="109" t="str">
        <f t="shared" si="234"/>
        <v>B</v>
      </c>
      <c r="AM561" s="109">
        <f t="shared" si="235"/>
        <v>0</v>
      </c>
      <c r="AN561" s="109">
        <f t="shared" si="236"/>
        <v>0</v>
      </c>
      <c r="AO561" s="109" t="str">
        <f t="shared" si="237"/>
        <v/>
      </c>
      <c r="AQ561" s="109" t="str">
        <f t="shared" si="238"/>
        <v/>
      </c>
      <c r="BA561" s="229">
        <f>MOD(SUM(E550:E562),12)</f>
        <v>0</v>
      </c>
    </row>
    <row r="562" spans="1:53" ht="15.75" thickBot="1" x14ac:dyDescent="0.3">
      <c r="A562" s="88"/>
      <c r="B562" s="66" t="s">
        <v>290</v>
      </c>
      <c r="C562" s="67"/>
      <c r="D562" s="102"/>
      <c r="E562" s="32"/>
      <c r="F562" s="32"/>
      <c r="G562" s="68" t="s">
        <v>277</v>
      </c>
      <c r="H562" s="69">
        <f t="shared" si="239"/>
        <v>0</v>
      </c>
      <c r="I562" s="70">
        <f t="shared" si="240"/>
        <v>0</v>
      </c>
      <c r="J562" s="73" t="str">
        <f t="shared" si="241"/>
        <v>--</v>
      </c>
      <c r="K562" s="32"/>
      <c r="L562" s="233"/>
      <c r="M562" s="277"/>
      <c r="N562" s="277"/>
      <c r="O562" s="277"/>
      <c r="P562" s="277"/>
      <c r="Q562" s="277"/>
      <c r="R562" s="277"/>
      <c r="S562" s="277"/>
      <c r="T562" s="277"/>
      <c r="U562" s="278"/>
      <c r="V562" s="103"/>
      <c r="W562" s="84">
        <f>Y562+1</f>
        <v>37</v>
      </c>
      <c r="X562" s="84"/>
      <c r="Y562" s="78">
        <f>SUM(E550:E562)</f>
        <v>36</v>
      </c>
      <c r="Z562" s="72" t="str">
        <f t="shared" ref="Z562:Z574" si="244">IF(OR(AND(E$8=216,C561="DBL REV",C562="DBL REV",Y561&lt;=144,Y562&gt;144),AND(E$8=216,C561="TPL REV",C562="TPL REV",Y561&lt;=144,Y562&gt;144),AND(E$8=216,C561="QD REV",C562="QD REV",Y561&lt;=144,Y562&gt;144)),"ERROR","")</f>
        <v/>
      </c>
      <c r="AA562" s="72"/>
      <c r="AB562" s="72"/>
      <c r="AC562" s="72">
        <f t="shared" si="230"/>
        <v>1</v>
      </c>
      <c r="AD562" s="72">
        <f t="shared" si="231"/>
        <v>1</v>
      </c>
      <c r="AE562" s="109" t="str">
        <f t="shared" si="232"/>
        <v>0-0</v>
      </c>
      <c r="AF562" s="109" t="str">
        <f t="shared" si="233"/>
        <v>Y</v>
      </c>
      <c r="AG562" s="109" t="str">
        <f t="shared" si="234"/>
        <v>B</v>
      </c>
      <c r="AM562" s="109">
        <f t="shared" si="235"/>
        <v>0</v>
      </c>
      <c r="AN562" s="109">
        <f t="shared" si="236"/>
        <v>0</v>
      </c>
      <c r="AO562" s="109" t="str">
        <f t="shared" si="237"/>
        <v/>
      </c>
      <c r="AQ562" s="109" t="str">
        <f t="shared" si="238"/>
        <v/>
      </c>
      <c r="BA562" s="229">
        <f>MOD(SUM(E550:E563),12)</f>
        <v>0</v>
      </c>
    </row>
    <row r="563" spans="1:53" ht="15.75" thickBot="1" x14ac:dyDescent="0.3">
      <c r="A563" s="88"/>
      <c r="B563" s="66" t="s">
        <v>291</v>
      </c>
      <c r="C563" s="67"/>
      <c r="D563" s="102"/>
      <c r="E563" s="32"/>
      <c r="F563" s="32"/>
      <c r="G563" s="68" t="s">
        <v>277</v>
      </c>
      <c r="H563" s="69">
        <f t="shared" si="239"/>
        <v>0</v>
      </c>
      <c r="I563" s="70">
        <f t="shared" si="240"/>
        <v>0</v>
      </c>
      <c r="J563" s="73" t="str">
        <f t="shared" si="241"/>
        <v>--</v>
      </c>
      <c r="K563" s="32"/>
      <c r="L563" s="233"/>
      <c r="M563" s="277"/>
      <c r="N563" s="277"/>
      <c r="O563" s="277"/>
      <c r="P563" s="277"/>
      <c r="Q563" s="277"/>
      <c r="R563" s="277"/>
      <c r="S563" s="277"/>
      <c r="T563" s="277"/>
      <c r="U563" s="278"/>
      <c r="V563" s="103"/>
      <c r="W563" s="84">
        <f>Y563+1</f>
        <v>37</v>
      </c>
      <c r="X563" s="84"/>
      <c r="Y563" s="78">
        <f>SUM(E550:E563)</f>
        <v>36</v>
      </c>
      <c r="Z563" s="72" t="str">
        <f t="shared" si="244"/>
        <v/>
      </c>
      <c r="AA563" s="72"/>
      <c r="AB563" s="72"/>
      <c r="AC563" s="72">
        <f t="shared" si="230"/>
        <v>1</v>
      </c>
      <c r="AD563" s="72">
        <f t="shared" si="231"/>
        <v>1</v>
      </c>
      <c r="AE563" s="109" t="str">
        <f t="shared" si="232"/>
        <v>0-0</v>
      </c>
      <c r="AF563" s="109" t="str">
        <f t="shared" si="233"/>
        <v>Y</v>
      </c>
      <c r="AG563" s="109" t="str">
        <f t="shared" si="234"/>
        <v>B</v>
      </c>
      <c r="AM563" s="109">
        <f t="shared" si="235"/>
        <v>0</v>
      </c>
      <c r="AN563" s="109">
        <f t="shared" si="236"/>
        <v>0</v>
      </c>
      <c r="AO563" s="109" t="str">
        <f t="shared" si="237"/>
        <v/>
      </c>
      <c r="AQ563" s="109" t="str">
        <f t="shared" si="238"/>
        <v/>
      </c>
      <c r="BA563" s="229">
        <f>MOD(SUM(E550:E564),12)</f>
        <v>0</v>
      </c>
    </row>
    <row r="564" spans="1:53" ht="15.75" thickBot="1" x14ac:dyDescent="0.3">
      <c r="A564" s="88"/>
      <c r="B564" s="66" t="s">
        <v>292</v>
      </c>
      <c r="C564" s="67"/>
      <c r="D564" s="102"/>
      <c r="E564" s="32"/>
      <c r="F564" s="32"/>
      <c r="G564" s="68" t="s">
        <v>277</v>
      </c>
      <c r="H564" s="69">
        <f t="shared" si="239"/>
        <v>0</v>
      </c>
      <c r="I564" s="70">
        <f t="shared" si="240"/>
        <v>0</v>
      </c>
      <c r="J564" s="73" t="str">
        <f t="shared" si="241"/>
        <v>--</v>
      </c>
      <c r="K564" s="32"/>
      <c r="L564" s="233"/>
      <c r="M564" s="277"/>
      <c r="N564" s="277"/>
      <c r="O564" s="277"/>
      <c r="P564" s="277"/>
      <c r="Q564" s="277"/>
      <c r="R564" s="277"/>
      <c r="S564" s="277"/>
      <c r="T564" s="277"/>
      <c r="U564" s="278"/>
      <c r="V564" s="103"/>
      <c r="W564" s="84">
        <f>Y564+1</f>
        <v>37</v>
      </c>
      <c r="X564" s="84"/>
      <c r="Y564" s="78">
        <f>SUM(E550:E564)</f>
        <v>36</v>
      </c>
      <c r="Z564" s="72" t="str">
        <f t="shared" si="244"/>
        <v/>
      </c>
      <c r="AA564" s="72" t="str">
        <f t="shared" ref="AA564:AA576" si="245">IF(AND(C562&lt;&gt;"Field SPL",W561&lt;=144,Y562&gt;144),"ERROR","")</f>
        <v/>
      </c>
      <c r="AB564" s="72"/>
      <c r="AC564" s="72">
        <f t="shared" si="230"/>
        <v>1</v>
      </c>
      <c r="AD564" s="72">
        <f t="shared" si="231"/>
        <v>1</v>
      </c>
      <c r="AE564" s="109" t="str">
        <f t="shared" si="232"/>
        <v>0-0</v>
      </c>
      <c r="AF564" s="109" t="str">
        <f t="shared" si="233"/>
        <v>Y</v>
      </c>
      <c r="AG564" s="109" t="str">
        <f t="shared" si="234"/>
        <v>B</v>
      </c>
      <c r="AM564" s="109">
        <f t="shared" si="235"/>
        <v>0</v>
      </c>
      <c r="AN564" s="109">
        <f t="shared" si="236"/>
        <v>0</v>
      </c>
      <c r="AO564" s="109" t="str">
        <f t="shared" si="237"/>
        <v/>
      </c>
      <c r="AQ564" s="109" t="str">
        <f t="shared" si="238"/>
        <v/>
      </c>
      <c r="BA564" s="229">
        <f>MOD(SUM(E550:E565),12)</f>
        <v>0</v>
      </c>
    </row>
    <row r="565" spans="1:53" ht="15.75" thickBot="1" x14ac:dyDescent="0.3">
      <c r="A565" s="88"/>
      <c r="B565" s="66" t="s">
        <v>293</v>
      </c>
      <c r="C565" s="67"/>
      <c r="D565" s="102"/>
      <c r="E565" s="32"/>
      <c r="F565" s="32"/>
      <c r="G565" s="68" t="s">
        <v>277</v>
      </c>
      <c r="H565" s="69">
        <f t="shared" si="239"/>
        <v>0</v>
      </c>
      <c r="I565" s="70">
        <f t="shared" si="240"/>
        <v>0</v>
      </c>
      <c r="J565" s="73" t="str">
        <f t="shared" si="241"/>
        <v>--</v>
      </c>
      <c r="K565" s="32"/>
      <c r="L565" s="233"/>
      <c r="M565" s="277"/>
      <c r="N565" s="277"/>
      <c r="O565" s="277"/>
      <c r="P565" s="277"/>
      <c r="Q565" s="277"/>
      <c r="R565" s="277"/>
      <c r="S565" s="277"/>
      <c r="T565" s="277"/>
      <c r="U565" s="278"/>
      <c r="V565" s="103"/>
      <c r="W565" s="84">
        <f t="shared" ref="W565:W573" si="246">Y565+1</f>
        <v>37</v>
      </c>
      <c r="X565" s="84"/>
      <c r="Y565" s="78">
        <f>SUM(E550:E565)</f>
        <v>36</v>
      </c>
      <c r="Z565" s="72" t="str">
        <f t="shared" si="244"/>
        <v/>
      </c>
      <c r="AA565" s="72" t="str">
        <f t="shared" si="245"/>
        <v/>
      </c>
      <c r="AB565" s="72"/>
      <c r="AC565" s="72">
        <f t="shared" si="230"/>
        <v>1</v>
      </c>
      <c r="AD565" s="72">
        <f t="shared" si="231"/>
        <v>1</v>
      </c>
      <c r="AE565" s="109" t="str">
        <f t="shared" si="232"/>
        <v>0-0</v>
      </c>
      <c r="AF565" s="109" t="str">
        <f t="shared" si="233"/>
        <v>Y</v>
      </c>
      <c r="AG565" s="109" t="str">
        <f t="shared" si="234"/>
        <v>B</v>
      </c>
      <c r="AM565" s="109">
        <f t="shared" si="235"/>
        <v>0</v>
      </c>
      <c r="AN565" s="109">
        <f t="shared" si="236"/>
        <v>0</v>
      </c>
      <c r="AO565" s="109" t="str">
        <f t="shared" si="237"/>
        <v/>
      </c>
      <c r="AQ565" s="109" t="str">
        <f t="shared" si="238"/>
        <v/>
      </c>
      <c r="BA565" s="229">
        <f>MOD(SUM(E550:E566),12)</f>
        <v>0</v>
      </c>
    </row>
    <row r="566" spans="1:53" ht="15.75" thickBot="1" x14ac:dyDescent="0.3">
      <c r="A566" s="88"/>
      <c r="B566" s="66" t="s">
        <v>294</v>
      </c>
      <c r="C566" s="67"/>
      <c r="D566" s="102"/>
      <c r="E566" s="32"/>
      <c r="F566" s="32"/>
      <c r="G566" s="68" t="s">
        <v>277</v>
      </c>
      <c r="H566" s="69">
        <f t="shared" si="239"/>
        <v>0</v>
      </c>
      <c r="I566" s="70">
        <f t="shared" si="240"/>
        <v>0</v>
      </c>
      <c r="J566" s="73" t="str">
        <f t="shared" si="241"/>
        <v>--</v>
      </c>
      <c r="K566" s="32"/>
      <c r="L566" s="233"/>
      <c r="M566" s="277"/>
      <c r="N566" s="277"/>
      <c r="O566" s="277"/>
      <c r="P566" s="277"/>
      <c r="Q566" s="277"/>
      <c r="R566" s="277"/>
      <c r="S566" s="277"/>
      <c r="T566" s="277"/>
      <c r="U566" s="278"/>
      <c r="V566" s="103"/>
      <c r="W566" s="84">
        <f t="shared" si="246"/>
        <v>37</v>
      </c>
      <c r="X566" s="84"/>
      <c r="Y566" s="78">
        <f>SUM(E550:E566)</f>
        <v>36</v>
      </c>
      <c r="Z566" s="72" t="str">
        <f t="shared" si="244"/>
        <v/>
      </c>
      <c r="AA566" s="72" t="str">
        <f t="shared" si="245"/>
        <v/>
      </c>
      <c r="AB566" s="72"/>
      <c r="AC566" s="72">
        <f t="shared" si="230"/>
        <v>1</v>
      </c>
      <c r="AD566" s="72">
        <f t="shared" si="231"/>
        <v>1</v>
      </c>
      <c r="AE566" s="109" t="str">
        <f t="shared" si="232"/>
        <v>0-0</v>
      </c>
      <c r="AF566" s="109" t="str">
        <f t="shared" si="233"/>
        <v>Y</v>
      </c>
      <c r="AG566" s="109" t="str">
        <f t="shared" si="234"/>
        <v>B</v>
      </c>
      <c r="AM566" s="109">
        <f t="shared" si="235"/>
        <v>0</v>
      </c>
      <c r="AN566" s="109">
        <f t="shared" si="236"/>
        <v>0</v>
      </c>
      <c r="AO566" s="109" t="str">
        <f t="shared" si="237"/>
        <v/>
      </c>
      <c r="AQ566" s="109" t="str">
        <f t="shared" si="238"/>
        <v/>
      </c>
      <c r="BA566" s="229">
        <f>MOD(SUM(E550:E567),12)</f>
        <v>0</v>
      </c>
    </row>
    <row r="567" spans="1:53" ht="15.75" thickBot="1" x14ac:dyDescent="0.3">
      <c r="A567" s="88"/>
      <c r="B567" s="66" t="s">
        <v>295</v>
      </c>
      <c r="C567" s="67"/>
      <c r="D567" s="102"/>
      <c r="E567" s="32"/>
      <c r="F567" s="32"/>
      <c r="G567" s="68" t="s">
        <v>277</v>
      </c>
      <c r="H567" s="69">
        <f t="shared" si="239"/>
        <v>0</v>
      </c>
      <c r="I567" s="70">
        <f t="shared" si="240"/>
        <v>0</v>
      </c>
      <c r="J567" s="73" t="str">
        <f t="shared" si="241"/>
        <v>--</v>
      </c>
      <c r="K567" s="32"/>
      <c r="L567" s="233"/>
      <c r="M567" s="277"/>
      <c r="N567" s="277"/>
      <c r="O567" s="277"/>
      <c r="P567" s="277"/>
      <c r="Q567" s="277"/>
      <c r="R567" s="277"/>
      <c r="S567" s="277"/>
      <c r="T567" s="277"/>
      <c r="U567" s="278"/>
      <c r="V567" s="103"/>
      <c r="W567" s="84">
        <f t="shared" si="246"/>
        <v>37</v>
      </c>
      <c r="X567" s="84"/>
      <c r="Y567" s="78">
        <f>SUM(E550:E567)</f>
        <v>36</v>
      </c>
      <c r="Z567" s="72" t="str">
        <f t="shared" si="244"/>
        <v/>
      </c>
      <c r="AA567" s="72" t="str">
        <f t="shared" si="245"/>
        <v/>
      </c>
      <c r="AB567" s="72"/>
      <c r="AC567" s="72">
        <f t="shared" si="230"/>
        <v>1</v>
      </c>
      <c r="AD567" s="72">
        <f t="shared" si="231"/>
        <v>1</v>
      </c>
      <c r="AE567" s="109" t="str">
        <f t="shared" si="232"/>
        <v>0-0</v>
      </c>
      <c r="AF567" s="109" t="str">
        <f t="shared" si="233"/>
        <v>Y</v>
      </c>
      <c r="AG567" s="109" t="str">
        <f t="shared" si="234"/>
        <v>B</v>
      </c>
      <c r="AM567" s="109">
        <f t="shared" si="235"/>
        <v>0</v>
      </c>
      <c r="AN567" s="109">
        <f t="shared" si="236"/>
        <v>0</v>
      </c>
      <c r="AO567" s="109" t="str">
        <f t="shared" si="237"/>
        <v/>
      </c>
      <c r="AQ567" s="109" t="str">
        <f t="shared" si="238"/>
        <v/>
      </c>
      <c r="BA567" s="229">
        <f>MOD(SUM(E550:E568),12)</f>
        <v>0</v>
      </c>
    </row>
    <row r="568" spans="1:53" ht="15.75" thickBot="1" x14ac:dyDescent="0.3">
      <c r="A568" s="88"/>
      <c r="B568" s="66" t="s">
        <v>296</v>
      </c>
      <c r="C568" s="67"/>
      <c r="D568" s="102"/>
      <c r="E568" s="32"/>
      <c r="F568" s="32"/>
      <c r="G568" s="68" t="s">
        <v>277</v>
      </c>
      <c r="H568" s="69">
        <f t="shared" si="239"/>
        <v>0</v>
      </c>
      <c r="I568" s="70">
        <f t="shared" si="240"/>
        <v>0</v>
      </c>
      <c r="J568" s="73" t="str">
        <f t="shared" si="241"/>
        <v>--</v>
      </c>
      <c r="K568" s="32"/>
      <c r="L568" s="233"/>
      <c r="M568" s="277"/>
      <c r="N568" s="277"/>
      <c r="O568" s="277"/>
      <c r="P568" s="277"/>
      <c r="Q568" s="277"/>
      <c r="R568" s="277"/>
      <c r="S568" s="277"/>
      <c r="T568" s="277"/>
      <c r="U568" s="278"/>
      <c r="V568" s="103"/>
      <c r="W568" s="84">
        <f t="shared" si="246"/>
        <v>37</v>
      </c>
      <c r="X568" s="84"/>
      <c r="Y568" s="78">
        <f>SUM(E550:E568)</f>
        <v>36</v>
      </c>
      <c r="Z568" s="72" t="str">
        <f t="shared" si="244"/>
        <v/>
      </c>
      <c r="AA568" s="72" t="str">
        <f t="shared" si="245"/>
        <v/>
      </c>
      <c r="AB568" s="72"/>
      <c r="AC568" s="72">
        <f t="shared" si="230"/>
        <v>1</v>
      </c>
      <c r="AD568" s="72">
        <f t="shared" si="231"/>
        <v>1</v>
      </c>
      <c r="AE568" s="109" t="str">
        <f t="shared" si="232"/>
        <v>0-0</v>
      </c>
      <c r="AF568" s="109" t="str">
        <f t="shared" si="233"/>
        <v>Y</v>
      </c>
      <c r="AG568" s="109" t="str">
        <f t="shared" si="234"/>
        <v>B</v>
      </c>
      <c r="AM568" s="109">
        <f t="shared" si="235"/>
        <v>0</v>
      </c>
      <c r="AN568" s="109">
        <f t="shared" si="236"/>
        <v>0</v>
      </c>
      <c r="AO568" s="109" t="str">
        <f t="shared" si="237"/>
        <v/>
      </c>
      <c r="AQ568" s="109" t="str">
        <f t="shared" si="238"/>
        <v/>
      </c>
      <c r="BA568" s="229">
        <f>MOD(SUM(E550:E569),12)</f>
        <v>0</v>
      </c>
    </row>
    <row r="569" spans="1:53" ht="15.75" thickBot="1" x14ac:dyDescent="0.3">
      <c r="A569" s="88"/>
      <c r="B569" s="66" t="s">
        <v>297</v>
      </c>
      <c r="C569" s="67"/>
      <c r="D569" s="102"/>
      <c r="E569" s="32"/>
      <c r="F569" s="32"/>
      <c r="G569" s="68" t="s">
        <v>277</v>
      </c>
      <c r="H569" s="69">
        <f t="shared" si="239"/>
        <v>0</v>
      </c>
      <c r="I569" s="70">
        <f t="shared" si="240"/>
        <v>0</v>
      </c>
      <c r="J569" s="73" t="str">
        <f t="shared" si="241"/>
        <v>--</v>
      </c>
      <c r="K569" s="32"/>
      <c r="L569" s="233"/>
      <c r="M569" s="277"/>
      <c r="N569" s="277"/>
      <c r="O569" s="277"/>
      <c r="P569" s="277"/>
      <c r="Q569" s="277"/>
      <c r="R569" s="277"/>
      <c r="S569" s="277"/>
      <c r="T569" s="277"/>
      <c r="U569" s="278"/>
      <c r="V569" s="103"/>
      <c r="W569" s="84">
        <f t="shared" si="246"/>
        <v>37</v>
      </c>
      <c r="X569" s="84"/>
      <c r="Y569" s="78">
        <f>SUM(E550:E569)</f>
        <v>36</v>
      </c>
      <c r="Z569" s="72" t="str">
        <f t="shared" si="244"/>
        <v/>
      </c>
      <c r="AA569" s="72" t="str">
        <f t="shared" si="245"/>
        <v/>
      </c>
      <c r="AB569" s="72"/>
      <c r="AC569" s="72">
        <f t="shared" si="230"/>
        <v>1</v>
      </c>
      <c r="AD569" s="72">
        <f t="shared" si="231"/>
        <v>1</v>
      </c>
      <c r="AE569" s="109" t="str">
        <f t="shared" si="232"/>
        <v>0-0</v>
      </c>
      <c r="AF569" s="109" t="str">
        <f t="shared" si="233"/>
        <v>Y</v>
      </c>
      <c r="AG569" s="109" t="str">
        <f t="shared" si="234"/>
        <v>B</v>
      </c>
      <c r="AM569" s="109">
        <f t="shared" si="235"/>
        <v>0</v>
      </c>
      <c r="AN569" s="109">
        <f t="shared" si="236"/>
        <v>0</v>
      </c>
      <c r="AO569" s="109" t="str">
        <f t="shared" si="237"/>
        <v/>
      </c>
      <c r="AQ569" s="109" t="str">
        <f t="shared" si="238"/>
        <v/>
      </c>
      <c r="BA569" s="229">
        <f>MOD(SUM(E550:E570),12)</f>
        <v>0</v>
      </c>
    </row>
    <row r="570" spans="1:53" ht="15.75" thickBot="1" x14ac:dyDescent="0.3">
      <c r="A570" s="88"/>
      <c r="B570" s="66" t="s">
        <v>298</v>
      </c>
      <c r="C570" s="67"/>
      <c r="D570" s="102"/>
      <c r="E570" s="32"/>
      <c r="F570" s="32"/>
      <c r="G570" s="68" t="s">
        <v>277</v>
      </c>
      <c r="H570" s="69">
        <f t="shared" si="239"/>
        <v>0</v>
      </c>
      <c r="I570" s="70">
        <f t="shared" si="240"/>
        <v>0</v>
      </c>
      <c r="J570" s="73" t="str">
        <f t="shared" si="241"/>
        <v>--</v>
      </c>
      <c r="K570" s="32"/>
      <c r="L570" s="233"/>
      <c r="M570" s="277"/>
      <c r="N570" s="277"/>
      <c r="O570" s="277"/>
      <c r="P570" s="277"/>
      <c r="Q570" s="277"/>
      <c r="R570" s="277"/>
      <c r="S570" s="277"/>
      <c r="T570" s="277"/>
      <c r="U570" s="278"/>
      <c r="V570" s="103"/>
      <c r="W570" s="84">
        <f t="shared" si="246"/>
        <v>37</v>
      </c>
      <c r="X570" s="84"/>
      <c r="Y570" s="78">
        <f>SUM(E550:E570)</f>
        <v>36</v>
      </c>
      <c r="Z570" s="72" t="str">
        <f t="shared" si="244"/>
        <v/>
      </c>
      <c r="AA570" s="72" t="str">
        <f t="shared" si="245"/>
        <v/>
      </c>
      <c r="AB570" s="72"/>
      <c r="AC570" s="72">
        <f t="shared" si="230"/>
        <v>1</v>
      </c>
      <c r="AD570" s="72">
        <f t="shared" si="231"/>
        <v>1</v>
      </c>
      <c r="AE570" s="109" t="str">
        <f t="shared" si="232"/>
        <v>0-0</v>
      </c>
      <c r="AF570" s="109" t="str">
        <f t="shared" si="233"/>
        <v>Y</v>
      </c>
      <c r="AG570" s="109" t="str">
        <f t="shared" si="234"/>
        <v>B</v>
      </c>
      <c r="AM570" s="109">
        <f t="shared" si="235"/>
        <v>0</v>
      </c>
      <c r="AN570" s="109">
        <f t="shared" si="236"/>
        <v>0</v>
      </c>
      <c r="AO570" s="109" t="str">
        <f t="shared" si="237"/>
        <v/>
      </c>
      <c r="AQ570" s="109" t="str">
        <f t="shared" si="238"/>
        <v/>
      </c>
      <c r="BA570" s="229">
        <f>MOD(SUM(E550:E571),12)</f>
        <v>0</v>
      </c>
    </row>
    <row r="571" spans="1:53" ht="15.75" thickBot="1" x14ac:dyDescent="0.3">
      <c r="A571" s="88"/>
      <c r="B571" s="66" t="s">
        <v>299</v>
      </c>
      <c r="C571" s="67"/>
      <c r="D571" s="102"/>
      <c r="E571" s="32"/>
      <c r="F571" s="32"/>
      <c r="G571" s="68" t="s">
        <v>277</v>
      </c>
      <c r="H571" s="69">
        <f t="shared" si="239"/>
        <v>0</v>
      </c>
      <c r="I571" s="70">
        <f t="shared" si="240"/>
        <v>0</v>
      </c>
      <c r="J571" s="73" t="str">
        <f t="shared" si="241"/>
        <v>--</v>
      </c>
      <c r="K571" s="32"/>
      <c r="L571" s="233"/>
      <c r="M571" s="277"/>
      <c r="N571" s="277"/>
      <c r="O571" s="277"/>
      <c r="P571" s="277"/>
      <c r="Q571" s="277"/>
      <c r="R571" s="277"/>
      <c r="S571" s="277"/>
      <c r="T571" s="277"/>
      <c r="U571" s="278"/>
      <c r="V571" s="103"/>
      <c r="W571" s="84">
        <f t="shared" si="246"/>
        <v>37</v>
      </c>
      <c r="X571" s="84"/>
      <c r="Y571" s="78">
        <f>SUM(E550:E571)</f>
        <v>36</v>
      </c>
      <c r="Z571" s="72" t="str">
        <f t="shared" si="244"/>
        <v/>
      </c>
      <c r="AA571" s="72" t="str">
        <f t="shared" si="245"/>
        <v/>
      </c>
      <c r="AB571" s="72"/>
      <c r="AC571" s="72">
        <f t="shared" si="230"/>
        <v>1</v>
      </c>
      <c r="AD571" s="72">
        <f t="shared" si="231"/>
        <v>1</v>
      </c>
      <c r="AE571" s="109" t="str">
        <f t="shared" si="232"/>
        <v>0-0</v>
      </c>
      <c r="AF571" s="109" t="str">
        <f t="shared" si="233"/>
        <v>Y</v>
      </c>
      <c r="AG571" s="109" t="str">
        <f t="shared" si="234"/>
        <v>B</v>
      </c>
      <c r="AM571" s="109">
        <f t="shared" si="235"/>
        <v>0</v>
      </c>
      <c r="AN571" s="109">
        <f t="shared" si="236"/>
        <v>0</v>
      </c>
      <c r="AO571" s="109" t="str">
        <f t="shared" si="237"/>
        <v/>
      </c>
      <c r="AQ571" s="109" t="str">
        <f t="shared" si="238"/>
        <v/>
      </c>
      <c r="BA571" s="229">
        <f>MOD(SUM(E550:E572),12)</f>
        <v>0</v>
      </c>
    </row>
    <row r="572" spans="1:53" ht="15.75" thickBot="1" x14ac:dyDescent="0.3">
      <c r="A572" s="88"/>
      <c r="B572" s="66" t="s">
        <v>300</v>
      </c>
      <c r="C572" s="67"/>
      <c r="D572" s="102"/>
      <c r="E572" s="32"/>
      <c r="F572" s="32"/>
      <c r="G572" s="68" t="s">
        <v>277</v>
      </c>
      <c r="H572" s="69">
        <f t="shared" si="239"/>
        <v>0</v>
      </c>
      <c r="I572" s="70">
        <f t="shared" si="240"/>
        <v>0</v>
      </c>
      <c r="J572" s="73" t="str">
        <f t="shared" si="241"/>
        <v>--</v>
      </c>
      <c r="K572" s="32"/>
      <c r="L572" s="233"/>
      <c r="M572" s="277"/>
      <c r="N572" s="277"/>
      <c r="O572" s="277"/>
      <c r="P572" s="277"/>
      <c r="Q572" s="277"/>
      <c r="R572" s="277"/>
      <c r="S572" s="277"/>
      <c r="T572" s="277"/>
      <c r="U572" s="278"/>
      <c r="V572" s="103"/>
      <c r="W572" s="84">
        <f t="shared" si="246"/>
        <v>37</v>
      </c>
      <c r="X572" s="84"/>
      <c r="Y572" s="78">
        <f>SUM(E550:E572)</f>
        <v>36</v>
      </c>
      <c r="Z572" s="72" t="str">
        <f t="shared" si="244"/>
        <v/>
      </c>
      <c r="AA572" s="72" t="str">
        <f t="shared" si="245"/>
        <v/>
      </c>
      <c r="AB572" s="72"/>
      <c r="AC572" s="72">
        <f t="shared" si="230"/>
        <v>1</v>
      </c>
      <c r="AD572" s="72">
        <f t="shared" si="231"/>
        <v>1</v>
      </c>
      <c r="AE572" s="109" t="str">
        <f t="shared" si="232"/>
        <v>0-0</v>
      </c>
      <c r="AF572" s="109" t="str">
        <f t="shared" si="233"/>
        <v>Y</v>
      </c>
      <c r="AG572" s="109" t="str">
        <f t="shared" si="234"/>
        <v>B</v>
      </c>
      <c r="AM572" s="109">
        <f t="shared" si="235"/>
        <v>0</v>
      </c>
      <c r="AN572" s="109">
        <f t="shared" si="236"/>
        <v>0</v>
      </c>
      <c r="AO572" s="109" t="str">
        <f t="shared" si="237"/>
        <v/>
      </c>
      <c r="AQ572" s="109" t="str">
        <f t="shared" si="238"/>
        <v/>
      </c>
      <c r="BA572" s="229">
        <f>MOD(SUM(E550:E573),12)</f>
        <v>0</v>
      </c>
    </row>
    <row r="573" spans="1:53" ht="15.75" thickBot="1" x14ac:dyDescent="0.3">
      <c r="A573" s="88"/>
      <c r="B573" s="66" t="s">
        <v>301</v>
      </c>
      <c r="C573" s="67"/>
      <c r="D573" s="102"/>
      <c r="E573" s="32"/>
      <c r="F573" s="32"/>
      <c r="G573" s="68" t="s">
        <v>277</v>
      </c>
      <c r="H573" s="69">
        <f t="shared" si="239"/>
        <v>0</v>
      </c>
      <c r="I573" s="70">
        <f t="shared" si="240"/>
        <v>0</v>
      </c>
      <c r="J573" s="73" t="str">
        <f t="shared" si="241"/>
        <v>--</v>
      </c>
      <c r="K573" s="32"/>
      <c r="L573" s="233"/>
      <c r="M573" s="277"/>
      <c r="N573" s="277"/>
      <c r="O573" s="277"/>
      <c r="P573" s="277"/>
      <c r="Q573" s="277"/>
      <c r="R573" s="277"/>
      <c r="S573" s="277"/>
      <c r="T573" s="277"/>
      <c r="U573" s="278"/>
      <c r="V573" s="103"/>
      <c r="W573" s="84">
        <f t="shared" si="246"/>
        <v>37</v>
      </c>
      <c r="X573" s="84"/>
      <c r="Y573" s="78">
        <f>SUM(E550:E573)</f>
        <v>36</v>
      </c>
      <c r="Z573" s="72" t="str">
        <f t="shared" si="244"/>
        <v/>
      </c>
      <c r="AA573" s="72" t="str">
        <f t="shared" si="245"/>
        <v/>
      </c>
      <c r="AB573" s="72"/>
      <c r="AC573" s="72">
        <f t="shared" si="230"/>
        <v>1</v>
      </c>
      <c r="AD573" s="72">
        <f t="shared" si="231"/>
        <v>1</v>
      </c>
      <c r="AE573" s="109" t="str">
        <f t="shared" si="232"/>
        <v>0-0</v>
      </c>
      <c r="AF573" s="109" t="str">
        <f t="shared" si="233"/>
        <v>Y</v>
      </c>
      <c r="AG573" s="109" t="str">
        <f t="shared" si="234"/>
        <v>B</v>
      </c>
      <c r="AM573" s="109">
        <f t="shared" si="235"/>
        <v>0</v>
      </c>
      <c r="AN573" s="109">
        <f t="shared" si="236"/>
        <v>0</v>
      </c>
      <c r="AO573" s="109" t="str">
        <f t="shared" si="237"/>
        <v/>
      </c>
      <c r="AQ573" s="109" t="str">
        <f t="shared" si="238"/>
        <v/>
      </c>
      <c r="BA573" s="229">
        <f>MOD(SUM(E550:E574),12)</f>
        <v>0</v>
      </c>
    </row>
    <row r="574" spans="1:53" ht="15.75" thickBot="1" x14ac:dyDescent="0.3">
      <c r="A574" s="88"/>
      <c r="B574" s="66" t="s">
        <v>302</v>
      </c>
      <c r="C574" s="67"/>
      <c r="D574" s="102"/>
      <c r="E574" s="32"/>
      <c r="F574" s="32"/>
      <c r="G574" s="68" t="s">
        <v>277</v>
      </c>
      <c r="H574" s="69">
        <f t="shared" si="239"/>
        <v>0</v>
      </c>
      <c r="I574" s="70">
        <f t="shared" si="240"/>
        <v>0</v>
      </c>
      <c r="J574" s="73" t="str">
        <f t="shared" si="241"/>
        <v>--</v>
      </c>
      <c r="K574" s="32"/>
      <c r="L574" s="234"/>
      <c r="M574" s="277"/>
      <c r="N574" s="277"/>
      <c r="O574" s="277"/>
      <c r="P574" s="277"/>
      <c r="Q574" s="277"/>
      <c r="R574" s="277"/>
      <c r="S574" s="277"/>
      <c r="T574" s="277"/>
      <c r="U574" s="278"/>
      <c r="V574" s="103"/>
      <c r="W574" s="72"/>
      <c r="X574" s="72"/>
      <c r="Y574" s="78">
        <f>SUM(E550:E574)</f>
        <v>36</v>
      </c>
      <c r="Z574" s="72" t="str">
        <f t="shared" si="244"/>
        <v/>
      </c>
      <c r="AA574" s="72" t="str">
        <f t="shared" si="245"/>
        <v/>
      </c>
      <c r="AB574" s="72"/>
      <c r="AC574" s="72">
        <f t="shared" si="230"/>
        <v>1</v>
      </c>
      <c r="AD574" s="72">
        <f t="shared" si="231"/>
        <v>1</v>
      </c>
      <c r="AE574" s="109" t="str">
        <f t="shared" si="232"/>
        <v>0-0</v>
      </c>
      <c r="AF574" s="109" t="str">
        <f t="shared" si="233"/>
        <v>Y</v>
      </c>
      <c r="AG574" s="109" t="str">
        <f t="shared" si="234"/>
        <v>B</v>
      </c>
      <c r="AM574" s="109">
        <f t="shared" si="235"/>
        <v>0</v>
      </c>
      <c r="AN574" s="109">
        <f t="shared" si="236"/>
        <v>0</v>
      </c>
      <c r="AO574" s="109" t="str">
        <f t="shared" si="237"/>
        <v/>
      </c>
      <c r="AQ574" s="109" t="str">
        <f t="shared" si="238"/>
        <v/>
      </c>
      <c r="BA574" s="228"/>
    </row>
    <row r="575" spans="1:53" ht="16.5" thickBot="1" x14ac:dyDescent="0.3">
      <c r="A575" s="88"/>
      <c r="B575" s="319" t="s">
        <v>331</v>
      </c>
      <c r="C575" s="320"/>
      <c r="D575" s="79"/>
      <c r="E575" s="80"/>
      <c r="F575" s="80"/>
      <c r="G575" s="81"/>
      <c r="H575" s="192"/>
      <c r="I575" s="192"/>
      <c r="J575" s="192"/>
      <c r="K575" s="82"/>
      <c r="L575" s="319" t="s">
        <v>306</v>
      </c>
      <c r="M575" s="330"/>
      <c r="N575" s="330"/>
      <c r="O575" s="330"/>
      <c r="P575" s="330"/>
      <c r="Q575" s="330"/>
      <c r="R575" s="330"/>
      <c r="S575" s="330"/>
      <c r="T575" s="330"/>
      <c r="U575" s="320"/>
      <c r="V575" s="104"/>
      <c r="W575" s="72"/>
      <c r="X575" s="72"/>
      <c r="Y575" s="72"/>
      <c r="Z575" s="72"/>
      <c r="AA575" s="72" t="str">
        <f t="shared" si="245"/>
        <v/>
      </c>
      <c r="AB575" s="72"/>
      <c r="AC575" s="72">
        <f>SUM(AC550:AC574)</f>
        <v>25</v>
      </c>
      <c r="AD575" s="72">
        <f>SUM(AD550:AD574)</f>
        <v>17</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319" t="s">
        <v>307</v>
      </c>
      <c r="C576" s="320"/>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45"/>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312" t="s">
        <v>222</v>
      </c>
      <c r="C580" s="313"/>
      <c r="D580" s="314" t="s">
        <v>223</v>
      </c>
      <c r="E580" s="305"/>
      <c r="F580" s="88"/>
      <c r="G580" s="315" t="s">
        <v>224</v>
      </c>
      <c r="H580" s="316"/>
      <c r="I580" s="28">
        <f>SUM(E591:E615)</f>
        <v>24</v>
      </c>
      <c r="J580" s="317" t="s">
        <v>225</v>
      </c>
      <c r="K580" s="318"/>
      <c r="L580" s="305"/>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5" t="s">
        <v>226</v>
      </c>
      <c r="AA580" s="296"/>
      <c r="AB580" s="297"/>
      <c r="AC580" s="25"/>
      <c r="AD580" s="25"/>
      <c r="AH580" s="109">
        <v>2</v>
      </c>
      <c r="AI580" s="109" t="str">
        <f>IF($E581="SS",COUNTIFS($C591:$C615,"FST",$E591:$E615,"2"),"0")</f>
        <v>0</v>
      </c>
      <c r="AJ580" s="109" t="str">
        <f>IF($E581="RPX",COUNTIFS($C591:$C615,"FST",$E591:$E615,"2"),"0")</f>
        <v>0</v>
      </c>
      <c r="AK580" s="109">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EUC</v>
      </c>
      <c r="F581" s="88"/>
      <c r="G581" s="304" t="s">
        <v>230</v>
      </c>
      <c r="H581" s="305"/>
      <c r="I581" s="33">
        <f>E582-I580</f>
        <v>408</v>
      </c>
      <c r="J581" s="289" t="s">
        <v>231</v>
      </c>
      <c r="K581" s="290"/>
      <c r="L581" s="34">
        <f>I585</f>
        <v>577</v>
      </c>
      <c r="M581" s="196">
        <v>4</v>
      </c>
      <c r="N581" s="35">
        <f>SUM(AI581,AI592)</f>
        <v>0</v>
      </c>
      <c r="O581" s="35">
        <v>0</v>
      </c>
      <c r="P581" s="35">
        <f>SUM(AJ581,AJ592)</f>
        <v>0</v>
      </c>
      <c r="Q581" s="35">
        <v>0</v>
      </c>
      <c r="R581" s="35">
        <f>COUNTIFS($E591:$E615,"4",$F591:$F615,"Pole",$C591:$C615,"FST")</f>
        <v>0</v>
      </c>
      <c r="S581" s="35">
        <f>SUM(AL581,AK592)</f>
        <v>0</v>
      </c>
      <c r="T581" s="35">
        <v>0</v>
      </c>
      <c r="U581" s="35">
        <f>SUM(AK581,AL592)</f>
        <v>0</v>
      </c>
      <c r="V581" s="35">
        <v>0</v>
      </c>
      <c r="W581" s="34">
        <f>COUNTIFS($E591:$E615,"4",$F591:$F615,"HH",$C591:$C615,"FST")</f>
        <v>0</v>
      </c>
      <c r="X581" s="35">
        <f>COUNTIFS($E591:$E615,"4",$F591:$F615,"Ped",$C591:$C615,"FST")</f>
        <v>0</v>
      </c>
      <c r="Y581" s="25"/>
      <c r="Z581" s="298" t="s">
        <v>232</v>
      </c>
      <c r="AA581" s="300" t="s">
        <v>233</v>
      </c>
      <c r="AB581" s="301"/>
      <c r="AC581" s="25"/>
      <c r="AD581" s="25"/>
      <c r="AH581" s="109">
        <v>4</v>
      </c>
      <c r="AI581" s="109" t="str">
        <f>IF($E581="SS",COUNTIFS($C591:$C615,"FST",$E591:$E615,"4"),"0")</f>
        <v>0</v>
      </c>
      <c r="AJ581" s="109" t="str">
        <f>IF($E581="RPX",COUNTIFS($C591:$C615,"FST",$E591:$E615,"4"),"0")</f>
        <v>0</v>
      </c>
      <c r="AK581" s="109">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432</v>
      </c>
      <c r="F582" s="88"/>
      <c r="G582" s="291" t="s">
        <v>237</v>
      </c>
      <c r="H582" s="292"/>
      <c r="I582" s="35">
        <f>IF(E582=0,0,12-(MOD(I580,12)))</f>
        <v>12</v>
      </c>
      <c r="J582" s="289" t="s">
        <v>238</v>
      </c>
      <c r="K582" s="290"/>
      <c r="L582" s="39">
        <f>I586-I580</f>
        <v>564</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299"/>
      <c r="AA582" s="302"/>
      <c r="AB582" s="303"/>
      <c r="AC582" s="25"/>
      <c r="AD582" s="25"/>
      <c r="AH582" s="109">
        <v>6</v>
      </c>
      <c r="AI582" s="109" t="str">
        <f>IF($E581="SS",COUNTIFS($C591:$C615,"FST",$E591:$E615,"6"),"0")</f>
        <v>0</v>
      </c>
      <c r="AJ582" s="109" t="str">
        <f>IF($E581="RPX",COUNTIFS($C591:$C615,"FST",$E591:$E615,"6"),"0")</f>
        <v>0</v>
      </c>
      <c r="AK582" s="109">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192</v>
      </c>
      <c r="F583" s="88"/>
      <c r="G583" s="321" t="s">
        <v>242</v>
      </c>
      <c r="H583" s="43" t="s">
        <v>243</v>
      </c>
      <c r="I583" s="35">
        <f>IF(E583&lt;&gt;0,1,0)</f>
        <v>1</v>
      </c>
      <c r="J583" s="291" t="s">
        <v>244</v>
      </c>
      <c r="K583" s="292"/>
      <c r="L583" s="44">
        <f>'Cable Calculator'!BV3</f>
        <v>1589</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577</v>
      </c>
      <c r="F584" s="88"/>
      <c r="G584" s="322"/>
      <c r="H584" s="47" t="s">
        <v>248</v>
      </c>
      <c r="I584" s="35">
        <f>IF(E583&lt;&gt;0,E583,0)</f>
        <v>192</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f>IF($E581="EUC",SUM(AK584,AL595,AM616,AO616,AQ616),"0")</f>
        <v>1</v>
      </c>
      <c r="V584" s="35">
        <f>IF($E581="EUC",SUM($AN616,AP616,AR616),"0")</f>
        <v>0</v>
      </c>
      <c r="W584" s="34">
        <f>COUNTIFS($E591:$E615,"12",$F591:$F615,"HH",$C591:$C615,"FST")</f>
        <v>1</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f>IF($E581="EUC",COUNTIFS($C591:$C615,"FST",$E591:$E615,"12"),"0")</f>
        <v>1</v>
      </c>
      <c r="AL584" s="109" t="str">
        <f>IF($E581="RPX-T",COUNTIFS($C591:$C615,"FST",$E591:$E615,"12"),"0")</f>
        <v>0</v>
      </c>
      <c r="BA584" s="227"/>
    </row>
    <row r="585" spans="1:53" ht="16.5" customHeight="1" thickTop="1" thickBot="1" x14ac:dyDescent="0.3">
      <c r="A585" s="88"/>
      <c r="B585" s="36" t="s">
        <v>249</v>
      </c>
      <c r="C585" s="30">
        <v>0</v>
      </c>
      <c r="D585" s="49" t="s">
        <v>250</v>
      </c>
      <c r="E585" s="50">
        <f>E582/12</f>
        <v>36</v>
      </c>
      <c r="F585" s="88"/>
      <c r="G585" s="321" t="s">
        <v>251</v>
      </c>
      <c r="H585" s="51" t="s">
        <v>252</v>
      </c>
      <c r="I585" s="112">
        <f>E584</f>
        <v>577</v>
      </c>
      <c r="J585" s="323" t="s">
        <v>253</v>
      </c>
      <c r="K585" s="324"/>
      <c r="L585" s="325"/>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216</v>
      </c>
      <c r="D586" s="31" t="s">
        <v>256</v>
      </c>
      <c r="E586" s="101" t="str">
        <f>IF('Cable Calculator'!BV5="","",'Cable Calculator'!BV5)</f>
        <v>N</v>
      </c>
      <c r="F586" s="88"/>
      <c r="G586" s="322"/>
      <c r="H586" s="47" t="s">
        <v>257</v>
      </c>
      <c r="I586" s="35">
        <f>IF(E584="","0",IF(AND(E581="EUC",E582=432), I585+(203-E583),IF(E584=0,0,(E584+(E582-E583)-1))))</f>
        <v>588</v>
      </c>
      <c r="J586" s="285" t="str">
        <f>IFERROR(IF(OR(E581="EUC",E581="SS"),"---",IF(OR(P580,S580),"NO 2F Tethers for RPX!",IF(OR(P582,S582),"NO 6F Tethers for RPX!","---"))),"---")</f>
        <v>---</v>
      </c>
      <c r="K586" s="286"/>
      <c r="L586" s="287"/>
      <c r="M586" s="285" t="str">
        <f>IF(E583&gt;60,"Dead Count &gt;60: Consider Downsize","---")</f>
        <v>Dead Count &gt;60: Consider Downsize</v>
      </c>
      <c r="N586" s="286"/>
      <c r="O586" s="286"/>
      <c r="P586" s="286"/>
      <c r="Q586" s="286"/>
      <c r="R586" s="286"/>
      <c r="S586" s="286"/>
      <c r="T586" s="286"/>
      <c r="U586" s="287"/>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240</v>
      </c>
      <c r="D587" s="31" t="s">
        <v>259</v>
      </c>
      <c r="E587" s="101" t="str">
        <f>IF(AS581="Y","DBL",IF(AS582="Y","TRPL",IF(AS583="Y","QUAD","")))</f>
        <v/>
      </c>
      <c r="F587" s="88"/>
      <c r="G587" s="192"/>
      <c r="H587" s="57"/>
      <c r="I587" s="192"/>
      <c r="J587" s="285"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86"/>
      <c r="L587" s="287"/>
      <c r="M587" s="285" t="str">
        <f>IF(AND(OR(E581="SS",E581="RPX",E581="EUC",E581="RPX-T"),(OR(C591="",C591="Field SPL"))),"Cannot have FlexNap cables without tethers","---")</f>
        <v>---</v>
      </c>
      <c r="N587" s="286"/>
      <c r="O587" s="286"/>
      <c r="P587" s="286"/>
      <c r="Q587" s="286"/>
      <c r="R587" s="286"/>
      <c r="S587" s="286"/>
      <c r="T587" s="286"/>
      <c r="U587" s="287"/>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85" t="str">
        <f>IF(AND(OR(E581="RPX", E581="RPX-T", E581="SS"),E582=216),"NO 216 For RPX, RPX-T, OR SS CABLE","---")</f>
        <v>---</v>
      </c>
      <c r="K588" s="286"/>
      <c r="L588" s="287"/>
      <c r="M588" s="285" t="str" cm="1">
        <f t="array" ref="M588">IF(AND(E581="",OR(C591:C615="FST",C591:C615="REV T",C591:C615="DBL REV",C591:C615="TPL REV", C591:C615="QD REV")),"Non-FlexNap cables cannot have tethers","---")</f>
        <v>---</v>
      </c>
      <c r="N588" s="286"/>
      <c r="O588" s="286"/>
      <c r="P588" s="286"/>
      <c r="Q588" s="286"/>
      <c r="R588" s="286"/>
      <c r="S588" s="286"/>
      <c r="T588" s="286"/>
      <c r="U588" s="287"/>
      <c r="V588" s="25"/>
      <c r="W588" s="58"/>
      <c r="X588" s="58"/>
      <c r="Y588" s="25"/>
      <c r="Z588" s="45">
        <v>6</v>
      </c>
      <c r="AA588" s="65">
        <v>61</v>
      </c>
      <c r="AB588" s="65">
        <v>72</v>
      </c>
      <c r="AC588" s="25"/>
      <c r="AD588" s="25"/>
      <c r="BA588" s="226"/>
    </row>
    <row r="589" spans="1:53" ht="15.75" customHeight="1" thickBot="1" x14ac:dyDescent="0.3">
      <c r="A589" s="88"/>
      <c r="B589" s="321" t="s">
        <v>260</v>
      </c>
      <c r="C589" s="293" t="s">
        <v>261</v>
      </c>
      <c r="D589" s="293" t="s">
        <v>262</v>
      </c>
      <c r="E589" s="306" t="s">
        <v>263</v>
      </c>
      <c r="F589" s="293" t="s">
        <v>264</v>
      </c>
      <c r="G589" s="308" t="s">
        <v>265</v>
      </c>
      <c r="H589" s="308" t="s">
        <v>266</v>
      </c>
      <c r="I589" s="308" t="s">
        <v>267</v>
      </c>
      <c r="J589" s="310" t="s">
        <v>268</v>
      </c>
      <c r="K589" s="293" t="s">
        <v>269</v>
      </c>
      <c r="L589" s="279" t="s">
        <v>270</v>
      </c>
      <c r="M589" s="281" t="s">
        <v>271</v>
      </c>
      <c r="N589" s="281"/>
      <c r="O589" s="281"/>
      <c r="P589" s="281"/>
      <c r="Q589" s="281"/>
      <c r="R589" s="281"/>
      <c r="S589" s="281"/>
      <c r="T589" s="281"/>
      <c r="U589" s="282"/>
      <c r="V589" s="107"/>
      <c r="W589" s="72"/>
      <c r="X589" s="72"/>
      <c r="Y589" s="72"/>
      <c r="Z589" s="45">
        <v>7</v>
      </c>
      <c r="AA589" s="65">
        <v>73</v>
      </c>
      <c r="AB589" s="65">
        <v>84</v>
      </c>
      <c r="AC589" s="25"/>
      <c r="AD589" s="25"/>
      <c r="BA589" s="228"/>
    </row>
    <row r="590" spans="1:53" ht="15.75" thickBot="1" x14ac:dyDescent="0.3">
      <c r="A590" s="88"/>
      <c r="B590" s="322"/>
      <c r="C590" s="294"/>
      <c r="D590" s="294"/>
      <c r="E590" s="307"/>
      <c r="F590" s="294"/>
      <c r="G590" s="309"/>
      <c r="H590" s="309"/>
      <c r="I590" s="309"/>
      <c r="J590" s="311"/>
      <c r="K590" s="294"/>
      <c r="L590" s="280"/>
      <c r="M590" s="283"/>
      <c r="N590" s="283"/>
      <c r="O590" s="283"/>
      <c r="P590" s="283"/>
      <c r="Q590" s="283"/>
      <c r="R590" s="283"/>
      <c r="S590" s="283"/>
      <c r="T590" s="283"/>
      <c r="U590" s="284"/>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770</v>
      </c>
      <c r="E591" s="32">
        <v>12</v>
      </c>
      <c r="F591" s="32" t="s">
        <v>488</v>
      </c>
      <c r="G591" s="68" t="s">
        <v>277</v>
      </c>
      <c r="H591" s="69">
        <f>IF(I591=0,0,I591-(E591-1))</f>
        <v>577</v>
      </c>
      <c r="I591" s="70">
        <f>IF(E591=0,0,I586)</f>
        <v>588</v>
      </c>
      <c r="J591" s="71" t="s">
        <v>278</v>
      </c>
      <c r="K591" s="32"/>
      <c r="L591" s="233"/>
      <c r="M591" s="277"/>
      <c r="N591" s="277"/>
      <c r="O591" s="277"/>
      <c r="P591" s="277"/>
      <c r="Q591" s="277"/>
      <c r="R591" s="277"/>
      <c r="S591" s="277"/>
      <c r="T591" s="277"/>
      <c r="U591" s="278"/>
      <c r="V591" s="103"/>
      <c r="W591" s="72"/>
      <c r="X591" s="72"/>
      <c r="Y591" s="72"/>
      <c r="Z591" s="45">
        <v>9</v>
      </c>
      <c r="AA591" s="46">
        <v>97</v>
      </c>
      <c r="AB591" s="46">
        <v>108</v>
      </c>
      <c r="AC591" s="72">
        <f t="shared" ref="AC591:AC615" si="247">IF(B591&lt;&gt;"FST",1,0)</f>
        <v>1</v>
      </c>
      <c r="AD591" s="72">
        <f t="shared" ref="AD591:AD615" si="248">IF(C591&lt;&gt;"FST",1,0)</f>
        <v>0</v>
      </c>
      <c r="AE591" s="109" t="str">
        <f t="shared" ref="AE591:AE615" si="249">CONCATENATE(H591,"-",I591)</f>
        <v>577-588</v>
      </c>
      <c r="AF591" s="109" t="str">
        <f t="shared" ref="AF591:AF615" si="250">IF(C591="Field SPL","N","Y")</f>
        <v>Y</v>
      </c>
      <c r="AG591" s="109" t="str">
        <f t="shared" ref="AG591:AG615" si="251">IF(OR(E$581="RPX",E$581="SS"),"A","B")</f>
        <v>B</v>
      </c>
      <c r="AH591" s="109">
        <v>2</v>
      </c>
      <c r="AI591" s="109" t="str">
        <f>IF(E581="SS",COUNTIFS(C591:C615,"TCF",E591:E615,"2"),"")</f>
        <v/>
      </c>
      <c r="AJ591" s="109" t="str">
        <f>IF(E581="RPX",COUNTIFS(C591:C615,"TCF",E591:E615,"2"),"")</f>
        <v/>
      </c>
      <c r="AK591" s="109" t="str">
        <f>IF(E581="RPX-T",COUNTIFS(C591:C615,"TCF",E591:E615,"2"),"")</f>
        <v/>
      </c>
      <c r="AL591" s="109">
        <f>IF(E581="EUC",COUNTIFS(C591:C615,"TCF",E591:E615,"2"),"")</f>
        <v>0</v>
      </c>
      <c r="AM591" s="109">
        <f t="shared" ref="AM591:AM615" si="252">VALUE(IF(C591="FST","0",IF(C591="REV T","1",IF(C591="DBL REV",".5","0"))))</f>
        <v>0</v>
      </c>
      <c r="AN591" s="109">
        <f t="shared" ref="AN591:AN615" si="253">VALUE(IF(C591="FST","0",IF(C591="REV T","0",IF(C591="DBL REV",".5","0"))))</f>
        <v>0</v>
      </c>
      <c r="AO591" s="109" t="str">
        <f t="shared" ref="AO591:AO615" si="254">IF(C591="TPL REV","Y","")</f>
        <v/>
      </c>
      <c r="AQ591" s="109" t="str">
        <f t="shared" ref="AQ591:AQ615" si="255">IF(C591="QD REV","Y","")</f>
        <v/>
      </c>
      <c r="BA591" s="229">
        <f>MOD(E591,12)</f>
        <v>0</v>
      </c>
    </row>
    <row r="592" spans="1:53" ht="15.75" thickBot="1" x14ac:dyDescent="0.3">
      <c r="A592" s="88"/>
      <c r="B592" s="66" t="s">
        <v>279</v>
      </c>
      <c r="C592" s="67" t="s">
        <v>502</v>
      </c>
      <c r="D592" s="102"/>
      <c r="E592" s="32">
        <v>12</v>
      </c>
      <c r="F592" s="32"/>
      <c r="G592" s="68" t="s">
        <v>277</v>
      </c>
      <c r="H592" s="69">
        <f t="shared" ref="H592:H615" si="256">IF(E592=0,0,I592-(E592-1))</f>
        <v>565</v>
      </c>
      <c r="I592" s="70">
        <f t="shared" ref="I592:I615" si="257">IF(E592=0,0,H591-1)</f>
        <v>576</v>
      </c>
      <c r="J592" s="73" t="str">
        <f>IF(C592="","--",IF(AND(C592&lt;&gt;"FST",C592&lt;&gt;"TCF",BA591&lt;&gt;0),BA591,"--"))</f>
        <v>--</v>
      </c>
      <c r="K592" s="32"/>
      <c r="L592" s="233"/>
      <c r="M592" s="277" t="s">
        <v>418</v>
      </c>
      <c r="N592" s="277"/>
      <c r="O592" s="277"/>
      <c r="P592" s="277"/>
      <c r="Q592" s="277"/>
      <c r="R592" s="277"/>
      <c r="S592" s="277"/>
      <c r="T592" s="277"/>
      <c r="U592" s="278"/>
      <c r="V592" s="103"/>
      <c r="W592" s="72"/>
      <c r="X592" s="72"/>
      <c r="Y592" s="72"/>
      <c r="Z592" s="45">
        <v>10</v>
      </c>
      <c r="AA592" s="46">
        <v>109</v>
      </c>
      <c r="AB592" s="46">
        <v>120</v>
      </c>
      <c r="AC592" s="72">
        <f t="shared" si="247"/>
        <v>1</v>
      </c>
      <c r="AD592" s="72">
        <f t="shared" si="248"/>
        <v>1</v>
      </c>
      <c r="AE592" s="109" t="str">
        <f t="shared" si="249"/>
        <v>565-576</v>
      </c>
      <c r="AF592" s="109" t="str">
        <f t="shared" si="250"/>
        <v>N</v>
      </c>
      <c r="AG592" s="109" t="str">
        <f t="shared" si="251"/>
        <v>B</v>
      </c>
      <c r="AH592" s="109">
        <v>4</v>
      </c>
      <c r="AI592" s="109" t="str">
        <f>IF(E581="SS",COUNTIFS(C591:C615,"TCF",E591:E615,"4"),"")</f>
        <v/>
      </c>
      <c r="AJ592" s="109" t="str">
        <f>IF(E581="RPX",COUNTIFS(C591:C615,"TCF",E591:E615,"4"),"")</f>
        <v/>
      </c>
      <c r="AK592" s="109" t="str">
        <f>IF(E581="RPX-T",COUNTIFS(C591:C615,"TCF",E591:E615,"4"),"")</f>
        <v/>
      </c>
      <c r="AL592" s="109">
        <f>IF(E581="EUC",COUNTIFS(C591:C615,"TCF",E591:E615,"4"),"")</f>
        <v>0</v>
      </c>
      <c r="AM592" s="109">
        <f t="shared" si="252"/>
        <v>0</v>
      </c>
      <c r="AN592" s="109">
        <f t="shared" si="253"/>
        <v>0</v>
      </c>
      <c r="AO592" s="109" t="str">
        <f t="shared" si="254"/>
        <v/>
      </c>
      <c r="AQ592" s="109" t="str">
        <f t="shared" si="255"/>
        <v/>
      </c>
      <c r="BA592" s="229">
        <f>MOD(SUM(E591:E592),12)</f>
        <v>0</v>
      </c>
    </row>
    <row r="593" spans="1:53" ht="15.75" thickBot="1" x14ac:dyDescent="0.3">
      <c r="A593" s="88"/>
      <c r="B593" s="74" t="s">
        <v>280</v>
      </c>
      <c r="C593" s="67"/>
      <c r="D593" s="102"/>
      <c r="E593" s="32"/>
      <c r="F593" s="32"/>
      <c r="G593" s="75" t="s">
        <v>277</v>
      </c>
      <c r="H593" s="69">
        <f t="shared" si="256"/>
        <v>0</v>
      </c>
      <c r="I593" s="70">
        <f t="shared" si="257"/>
        <v>0</v>
      </c>
      <c r="J593" s="73" t="str">
        <f t="shared" ref="J593:J615" si="258">IF(C593="","--",IF(AND(C593&lt;&gt;"FST",C593&lt;&gt;"TCF",BA592&lt;&gt;0),BA592,"--"))</f>
        <v>--</v>
      </c>
      <c r="K593" s="32"/>
      <c r="L593" s="233"/>
      <c r="M593" s="277" t="s">
        <v>822</v>
      </c>
      <c r="N593" s="277"/>
      <c r="O593" s="277"/>
      <c r="P593" s="277"/>
      <c r="Q593" s="277"/>
      <c r="R593" s="277"/>
      <c r="S593" s="277"/>
      <c r="T593" s="277"/>
      <c r="U593" s="278"/>
      <c r="V593" s="103"/>
      <c r="W593" s="72"/>
      <c r="X593" s="72"/>
      <c r="Y593" s="72"/>
      <c r="Z593" s="45">
        <v>11</v>
      </c>
      <c r="AA593" s="46">
        <v>121</v>
      </c>
      <c r="AB593" s="46">
        <v>132</v>
      </c>
      <c r="AC593" s="72">
        <f t="shared" si="247"/>
        <v>1</v>
      </c>
      <c r="AD593" s="72">
        <f t="shared" si="248"/>
        <v>1</v>
      </c>
      <c r="AE593" s="109" t="str">
        <f t="shared" si="249"/>
        <v>0-0</v>
      </c>
      <c r="AF593" s="109" t="str">
        <f t="shared" si="250"/>
        <v>Y</v>
      </c>
      <c r="AG593" s="109" t="str">
        <f t="shared" si="251"/>
        <v>B</v>
      </c>
      <c r="AH593" s="109">
        <v>6</v>
      </c>
      <c r="AI593" s="109" t="str">
        <f>IF(E581="SS",COUNTIFS(C591:C615,"TCF",E591:E615,"6"),"")</f>
        <v/>
      </c>
      <c r="AJ593" s="109" t="str">
        <f>IF(E581="RPX",COUNTIFS(C591:C615,"TCF",E591:E615,"6"),"")</f>
        <v/>
      </c>
      <c r="AK593" s="109" t="str">
        <f>IF(E581="RPX-T",COUNTIFS(C591:C615,"TCF",E591:E615,"6"),"")</f>
        <v/>
      </c>
      <c r="AL593" s="109">
        <f>IF(E581="EUC",COUNTIFS(C591:C615,"TCF",E591:E615,"6"),"")</f>
        <v>0</v>
      </c>
      <c r="AM593" s="109">
        <f t="shared" si="252"/>
        <v>0</v>
      </c>
      <c r="AN593" s="109">
        <f t="shared" si="253"/>
        <v>0</v>
      </c>
      <c r="AO593" s="109" t="str">
        <f t="shared" si="254"/>
        <v/>
      </c>
      <c r="AQ593" s="109" t="str">
        <f t="shared" si="255"/>
        <v/>
      </c>
      <c r="BA593" s="229">
        <f>MOD(SUM(E591:E594),12)</f>
        <v>0</v>
      </c>
    </row>
    <row r="594" spans="1:53" ht="15.75" thickBot="1" x14ac:dyDescent="0.3">
      <c r="A594" s="88"/>
      <c r="B594" s="66" t="s">
        <v>281</v>
      </c>
      <c r="C594" s="67"/>
      <c r="D594" s="102"/>
      <c r="E594" s="32"/>
      <c r="F594" s="32"/>
      <c r="G594" s="68" t="s">
        <v>277</v>
      </c>
      <c r="H594" s="69">
        <f t="shared" si="256"/>
        <v>0</v>
      </c>
      <c r="I594" s="70">
        <f t="shared" si="257"/>
        <v>0</v>
      </c>
      <c r="J594" s="73" t="str">
        <f t="shared" si="258"/>
        <v>--</v>
      </c>
      <c r="K594" s="32"/>
      <c r="L594" s="233"/>
      <c r="M594" s="277"/>
      <c r="N594" s="277"/>
      <c r="O594" s="277"/>
      <c r="P594" s="277"/>
      <c r="Q594" s="277"/>
      <c r="R594" s="277"/>
      <c r="S594" s="277"/>
      <c r="T594" s="277"/>
      <c r="U594" s="278"/>
      <c r="V594" s="103"/>
      <c r="W594" s="72"/>
      <c r="X594" s="72"/>
      <c r="Y594" s="72"/>
      <c r="Z594" s="45">
        <v>12</v>
      </c>
      <c r="AA594" s="76">
        <v>133</v>
      </c>
      <c r="AB594" s="76">
        <v>144</v>
      </c>
      <c r="AC594" s="72">
        <f t="shared" si="247"/>
        <v>1</v>
      </c>
      <c r="AD594" s="72">
        <f t="shared" si="248"/>
        <v>1</v>
      </c>
      <c r="AE594" s="109" t="str">
        <f t="shared" si="249"/>
        <v>0-0</v>
      </c>
      <c r="AF594" s="109" t="str">
        <f t="shared" si="250"/>
        <v>Y</v>
      </c>
      <c r="AG594" s="109" t="str">
        <f t="shared" si="251"/>
        <v>B</v>
      </c>
      <c r="AH594" s="109">
        <v>8</v>
      </c>
      <c r="AI594" s="109" t="str">
        <f>IF(E581="SS",COUNTIFS(C591:C615,"TCF",E591:E615,"8"),"")</f>
        <v/>
      </c>
      <c r="AJ594" s="109" t="str">
        <f>IF(E581="RPX",COUNTIFS(C591:C615,"TCF",E591:E615,"8"),"")</f>
        <v/>
      </c>
      <c r="AK594" s="109" t="str">
        <f>IF(E581="RPX-T",COUNTIFS(C591:C615,"TCF",E591:E615,"8"),"")</f>
        <v/>
      </c>
      <c r="AL594" s="109">
        <f>IF(E581="EUC",COUNTIFS(C591:C615,"TCF",E591:E615,"8"),"")</f>
        <v>0</v>
      </c>
      <c r="AM594" s="109">
        <f t="shared" si="252"/>
        <v>0</v>
      </c>
      <c r="AN594" s="109">
        <f t="shared" si="253"/>
        <v>0</v>
      </c>
      <c r="AO594" s="109" t="str">
        <f t="shared" si="254"/>
        <v/>
      </c>
      <c r="AQ594" s="109" t="str">
        <f t="shared" si="255"/>
        <v/>
      </c>
      <c r="BA594" s="229">
        <f>MOD(SUM(E591:E595),12)</f>
        <v>0</v>
      </c>
    </row>
    <row r="595" spans="1:53" ht="15.75" thickBot="1" x14ac:dyDescent="0.3">
      <c r="A595" s="88"/>
      <c r="B595" s="66" t="s">
        <v>282</v>
      </c>
      <c r="C595" s="67"/>
      <c r="D595" s="102"/>
      <c r="E595" s="32"/>
      <c r="F595" s="32"/>
      <c r="G595" s="68" t="s">
        <v>277</v>
      </c>
      <c r="H595" s="69">
        <f t="shared" si="256"/>
        <v>0</v>
      </c>
      <c r="I595" s="70">
        <f t="shared" si="257"/>
        <v>0</v>
      </c>
      <c r="J595" s="73" t="str">
        <f t="shared" si="258"/>
        <v>--</v>
      </c>
      <c r="K595" s="32"/>
      <c r="L595" s="233"/>
      <c r="M595" s="277"/>
      <c r="N595" s="277"/>
      <c r="O595" s="277"/>
      <c r="P595" s="277"/>
      <c r="Q595" s="277"/>
      <c r="R595" s="277"/>
      <c r="S595" s="277"/>
      <c r="T595" s="277"/>
      <c r="U595" s="278"/>
      <c r="V595" s="103"/>
      <c r="W595" s="72"/>
      <c r="X595" s="72"/>
      <c r="Y595" s="72"/>
      <c r="Z595" s="45">
        <v>13</v>
      </c>
      <c r="AA595" s="77">
        <f t="shared" ref="AA595:AA600" si="259">AB594+1</f>
        <v>145</v>
      </c>
      <c r="AB595" s="77">
        <f t="shared" ref="AB595:AB600" si="260">AB594+12</f>
        <v>156</v>
      </c>
      <c r="AC595" s="72">
        <f t="shared" si="247"/>
        <v>1</v>
      </c>
      <c r="AD595" s="72">
        <f t="shared" si="248"/>
        <v>1</v>
      </c>
      <c r="AE595" s="109" t="str">
        <f t="shared" si="249"/>
        <v>0-0</v>
      </c>
      <c r="AF595" s="109" t="str">
        <f t="shared" si="250"/>
        <v>Y</v>
      </c>
      <c r="AG595" s="109" t="str">
        <f t="shared" si="251"/>
        <v>B</v>
      </c>
      <c r="AH595" s="109">
        <v>12</v>
      </c>
      <c r="AI595" s="109" t="str">
        <f>IF(E581="SS",COUNTIFS(C591:C615,"TCF",E591:E615,"12"),"")</f>
        <v/>
      </c>
      <c r="AJ595" s="109" t="str">
        <f>IF(E581="RPX",COUNTIFS(C591:C615,"TCF",E591:E615,"12"),"")</f>
        <v/>
      </c>
      <c r="AK595" s="109" t="str">
        <f>IF(E581="RPX-T",COUNTIFS(C591:C615,"TCF",E591:E615,"12"),"")</f>
        <v/>
      </c>
      <c r="AL595" s="109">
        <f>IF(E581="EUC",COUNTIFS(C591:C615,"TCF",E591:E615,"12"),"")</f>
        <v>0</v>
      </c>
      <c r="AM595" s="109">
        <f t="shared" si="252"/>
        <v>0</v>
      </c>
      <c r="AN595" s="109">
        <f t="shared" si="253"/>
        <v>0</v>
      </c>
      <c r="AO595" s="109" t="str">
        <f t="shared" si="254"/>
        <v/>
      </c>
      <c r="AQ595" s="109" t="str">
        <f t="shared" si="255"/>
        <v/>
      </c>
      <c r="BA595" s="229">
        <f>MOD(SUM(E591:E596),12)</f>
        <v>0</v>
      </c>
    </row>
    <row r="596" spans="1:53" ht="15.75" thickBot="1" x14ac:dyDescent="0.3">
      <c r="A596" s="88"/>
      <c r="B596" s="66" t="s">
        <v>283</v>
      </c>
      <c r="C596" s="67"/>
      <c r="D596" s="102"/>
      <c r="E596" s="32"/>
      <c r="F596" s="32"/>
      <c r="G596" s="68" t="s">
        <v>277</v>
      </c>
      <c r="H596" s="69">
        <f t="shared" si="256"/>
        <v>0</v>
      </c>
      <c r="I596" s="70">
        <f t="shared" si="257"/>
        <v>0</v>
      </c>
      <c r="J596" s="73" t="str">
        <f t="shared" si="258"/>
        <v>--</v>
      </c>
      <c r="K596" s="32"/>
      <c r="L596" s="233"/>
      <c r="M596" s="277"/>
      <c r="N596" s="277"/>
      <c r="O596" s="277"/>
      <c r="P596" s="277"/>
      <c r="Q596" s="277"/>
      <c r="R596" s="277"/>
      <c r="S596" s="277"/>
      <c r="T596" s="277"/>
      <c r="U596" s="278"/>
      <c r="V596" s="103"/>
      <c r="W596" s="72"/>
      <c r="X596" s="72"/>
      <c r="Y596" s="72"/>
      <c r="Z596" s="45">
        <v>14</v>
      </c>
      <c r="AA596" s="77">
        <f t="shared" si="259"/>
        <v>157</v>
      </c>
      <c r="AB596" s="77">
        <f t="shared" si="260"/>
        <v>168</v>
      </c>
      <c r="AC596" s="72">
        <f t="shared" si="247"/>
        <v>1</v>
      </c>
      <c r="AD596" s="72">
        <f t="shared" si="248"/>
        <v>1</v>
      </c>
      <c r="AE596" s="109" t="str">
        <f t="shared" si="249"/>
        <v>0-0</v>
      </c>
      <c r="AF596" s="109" t="str">
        <f t="shared" si="250"/>
        <v>Y</v>
      </c>
      <c r="AG596" s="109" t="str">
        <f t="shared" si="251"/>
        <v>B</v>
      </c>
      <c r="AM596" s="109">
        <f t="shared" si="252"/>
        <v>0</v>
      </c>
      <c r="AN596" s="109">
        <f t="shared" si="253"/>
        <v>0</v>
      </c>
      <c r="AO596" s="109" t="str">
        <f t="shared" si="254"/>
        <v/>
      </c>
      <c r="AQ596" s="109" t="str">
        <f t="shared" si="255"/>
        <v/>
      </c>
      <c r="BA596" s="229">
        <f>MOD(SUM(E591:E597),12)</f>
        <v>0</v>
      </c>
    </row>
    <row r="597" spans="1:53" ht="15.75" thickBot="1" x14ac:dyDescent="0.3">
      <c r="A597" s="88"/>
      <c r="B597" s="66" t="s">
        <v>284</v>
      </c>
      <c r="C597" s="67"/>
      <c r="D597" s="102"/>
      <c r="E597" s="32"/>
      <c r="F597" s="32"/>
      <c r="G597" s="68" t="s">
        <v>277</v>
      </c>
      <c r="H597" s="69">
        <f t="shared" si="256"/>
        <v>0</v>
      </c>
      <c r="I597" s="70">
        <f t="shared" si="257"/>
        <v>0</v>
      </c>
      <c r="J597" s="73" t="str">
        <f t="shared" si="258"/>
        <v>--</v>
      </c>
      <c r="K597" s="32"/>
      <c r="L597" s="233"/>
      <c r="M597" s="277"/>
      <c r="N597" s="277"/>
      <c r="O597" s="277"/>
      <c r="P597" s="277"/>
      <c r="Q597" s="277"/>
      <c r="R597" s="277"/>
      <c r="S597" s="277"/>
      <c r="T597" s="277"/>
      <c r="U597" s="278"/>
      <c r="V597" s="103"/>
      <c r="W597" s="72"/>
      <c r="X597" s="72"/>
      <c r="Y597" s="72"/>
      <c r="Z597" s="45">
        <v>15</v>
      </c>
      <c r="AA597" s="77">
        <f t="shared" si="259"/>
        <v>169</v>
      </c>
      <c r="AB597" s="77">
        <f t="shared" si="260"/>
        <v>180</v>
      </c>
      <c r="AC597" s="72">
        <f t="shared" si="247"/>
        <v>1</v>
      </c>
      <c r="AD597" s="72">
        <f t="shared" si="248"/>
        <v>1</v>
      </c>
      <c r="AE597" s="109" t="str">
        <f t="shared" si="249"/>
        <v>0-0</v>
      </c>
      <c r="AF597" s="109" t="str">
        <f t="shared" si="250"/>
        <v>Y</v>
      </c>
      <c r="AG597" s="109" t="str">
        <f t="shared" si="251"/>
        <v>B</v>
      </c>
      <c r="AM597" s="109">
        <f t="shared" si="252"/>
        <v>0</v>
      </c>
      <c r="AN597" s="109">
        <f t="shared" si="253"/>
        <v>0</v>
      </c>
      <c r="AO597" s="109" t="str">
        <f t="shared" si="254"/>
        <v/>
      </c>
      <c r="AQ597" s="109" t="str">
        <f t="shared" si="255"/>
        <v/>
      </c>
      <c r="BA597" s="229">
        <f>MOD(SUM(E591:E598),12)</f>
        <v>0</v>
      </c>
    </row>
    <row r="598" spans="1:53" ht="15.75" thickBot="1" x14ac:dyDescent="0.3">
      <c r="A598" s="88"/>
      <c r="B598" s="66" t="s">
        <v>285</v>
      </c>
      <c r="C598" s="67"/>
      <c r="D598" s="102"/>
      <c r="E598" s="32"/>
      <c r="F598" s="32"/>
      <c r="G598" s="68" t="s">
        <v>277</v>
      </c>
      <c r="H598" s="69">
        <f t="shared" si="256"/>
        <v>0</v>
      </c>
      <c r="I598" s="70">
        <f t="shared" si="257"/>
        <v>0</v>
      </c>
      <c r="J598" s="73" t="str">
        <f t="shared" si="258"/>
        <v>--</v>
      </c>
      <c r="K598" s="32"/>
      <c r="L598" s="233"/>
      <c r="M598" s="277"/>
      <c r="N598" s="277"/>
      <c r="O598" s="277"/>
      <c r="P598" s="277"/>
      <c r="Q598" s="277"/>
      <c r="R598" s="277"/>
      <c r="S598" s="277"/>
      <c r="T598" s="277"/>
      <c r="U598" s="278"/>
      <c r="V598" s="103"/>
      <c r="W598" s="72"/>
      <c r="X598" s="72"/>
      <c r="Y598" s="72"/>
      <c r="Z598" s="45">
        <f>Z597+1</f>
        <v>16</v>
      </c>
      <c r="AA598" s="77">
        <f t="shared" si="259"/>
        <v>181</v>
      </c>
      <c r="AB598" s="77">
        <f t="shared" si="260"/>
        <v>192</v>
      </c>
      <c r="AC598" s="72">
        <f t="shared" si="247"/>
        <v>1</v>
      </c>
      <c r="AD598" s="72">
        <f t="shared" si="248"/>
        <v>1</v>
      </c>
      <c r="AE598" s="109" t="str">
        <f t="shared" si="249"/>
        <v>0-0</v>
      </c>
      <c r="AF598" s="109" t="str">
        <f t="shared" si="250"/>
        <v>Y</v>
      </c>
      <c r="AG598" s="109" t="str">
        <f t="shared" si="251"/>
        <v>B</v>
      </c>
      <c r="AM598" s="109">
        <f t="shared" si="252"/>
        <v>0</v>
      </c>
      <c r="AN598" s="109">
        <f t="shared" si="253"/>
        <v>0</v>
      </c>
      <c r="AO598" s="109" t="str">
        <f t="shared" si="254"/>
        <v/>
      </c>
      <c r="AQ598" s="109" t="str">
        <f t="shared" si="255"/>
        <v/>
      </c>
      <c r="BA598" s="229">
        <f>MOD(SUM(E591:E599),12)</f>
        <v>0</v>
      </c>
    </row>
    <row r="599" spans="1:53" ht="15.75" thickBot="1" x14ac:dyDescent="0.3">
      <c r="A599" s="88"/>
      <c r="B599" s="66" t="s">
        <v>286</v>
      </c>
      <c r="C599" s="67"/>
      <c r="D599" s="102"/>
      <c r="E599" s="32"/>
      <c r="F599" s="32"/>
      <c r="G599" s="68" t="s">
        <v>277</v>
      </c>
      <c r="H599" s="69">
        <f t="shared" si="256"/>
        <v>0</v>
      </c>
      <c r="I599" s="70">
        <f t="shared" si="257"/>
        <v>0</v>
      </c>
      <c r="J599" s="73" t="str">
        <f t="shared" si="258"/>
        <v>--</v>
      </c>
      <c r="K599" s="32"/>
      <c r="L599" s="233"/>
      <c r="M599" s="277"/>
      <c r="N599" s="277"/>
      <c r="O599" s="277"/>
      <c r="P599" s="277"/>
      <c r="Q599" s="277"/>
      <c r="R599" s="277"/>
      <c r="S599" s="277"/>
      <c r="T599" s="277"/>
      <c r="U599" s="278"/>
      <c r="V599" s="103"/>
      <c r="W599" s="72"/>
      <c r="X599" s="72"/>
      <c r="Y599" s="72"/>
      <c r="Z599" s="45">
        <f>Z598+1</f>
        <v>17</v>
      </c>
      <c r="AA599" s="77">
        <f t="shared" si="259"/>
        <v>193</v>
      </c>
      <c r="AB599" s="77">
        <f t="shared" si="260"/>
        <v>204</v>
      </c>
      <c r="AC599" s="72">
        <f t="shared" si="247"/>
        <v>1</v>
      </c>
      <c r="AD599" s="72">
        <f t="shared" si="248"/>
        <v>1</v>
      </c>
      <c r="AE599" s="109" t="str">
        <f t="shared" si="249"/>
        <v>0-0</v>
      </c>
      <c r="AF599" s="109" t="str">
        <f t="shared" si="250"/>
        <v>Y</v>
      </c>
      <c r="AG599" s="109" t="str">
        <f t="shared" si="251"/>
        <v>B</v>
      </c>
      <c r="AM599" s="109">
        <f t="shared" si="252"/>
        <v>0</v>
      </c>
      <c r="AN599" s="109">
        <f t="shared" si="253"/>
        <v>0</v>
      </c>
      <c r="AO599" s="109" t="str">
        <f t="shared" si="254"/>
        <v/>
      </c>
      <c r="AQ599" s="109" t="str">
        <f t="shared" si="255"/>
        <v/>
      </c>
      <c r="BA599" s="229">
        <f>MOD(SUM(E591:E600),12)</f>
        <v>0</v>
      </c>
    </row>
    <row r="600" spans="1:53" ht="15.75" thickBot="1" x14ac:dyDescent="0.3">
      <c r="A600" s="88"/>
      <c r="B600" s="66" t="s">
        <v>287</v>
      </c>
      <c r="C600" s="67"/>
      <c r="D600" s="102"/>
      <c r="E600" s="32"/>
      <c r="F600" s="32"/>
      <c r="G600" s="68" t="s">
        <v>277</v>
      </c>
      <c r="H600" s="69">
        <f t="shared" si="256"/>
        <v>0</v>
      </c>
      <c r="I600" s="70">
        <f t="shared" si="257"/>
        <v>0</v>
      </c>
      <c r="J600" s="73" t="str">
        <f t="shared" si="258"/>
        <v>--</v>
      </c>
      <c r="K600" s="32"/>
      <c r="L600" s="233"/>
      <c r="M600" s="277"/>
      <c r="N600" s="277"/>
      <c r="O600" s="277"/>
      <c r="P600" s="277"/>
      <c r="Q600" s="277"/>
      <c r="R600" s="277"/>
      <c r="S600" s="277"/>
      <c r="T600" s="277"/>
      <c r="U600" s="278"/>
      <c r="V600" s="103"/>
      <c r="W600" s="72"/>
      <c r="X600" s="72"/>
      <c r="Y600" s="72"/>
      <c r="Z600" s="45">
        <f>Z599+1</f>
        <v>18</v>
      </c>
      <c r="AA600" s="77">
        <f t="shared" si="259"/>
        <v>205</v>
      </c>
      <c r="AB600" s="77">
        <f t="shared" si="260"/>
        <v>216</v>
      </c>
      <c r="AC600" s="72">
        <f t="shared" si="247"/>
        <v>1</v>
      </c>
      <c r="AD600" s="72">
        <f t="shared" si="248"/>
        <v>1</v>
      </c>
      <c r="AE600" s="109" t="str">
        <f t="shared" si="249"/>
        <v>0-0</v>
      </c>
      <c r="AF600" s="109" t="str">
        <f t="shared" si="250"/>
        <v>Y</v>
      </c>
      <c r="AG600" s="109" t="str">
        <f t="shared" si="251"/>
        <v>B</v>
      </c>
      <c r="AM600" s="109">
        <f t="shared" si="252"/>
        <v>0</v>
      </c>
      <c r="AN600" s="109">
        <f t="shared" si="253"/>
        <v>0</v>
      </c>
      <c r="AO600" s="109" t="str">
        <f t="shared" si="254"/>
        <v/>
      </c>
      <c r="AQ600" s="109" t="str">
        <f t="shared" si="255"/>
        <v/>
      </c>
      <c r="BA600" s="229">
        <f>MOD(SUM(E591:E601),12)</f>
        <v>0</v>
      </c>
    </row>
    <row r="601" spans="1:53" ht="15.75" thickBot="1" x14ac:dyDescent="0.3">
      <c r="A601" s="88"/>
      <c r="B601" s="66" t="s">
        <v>288</v>
      </c>
      <c r="C601" s="67"/>
      <c r="D601" s="102"/>
      <c r="E601" s="32"/>
      <c r="F601" s="32"/>
      <c r="G601" s="68" t="s">
        <v>277</v>
      </c>
      <c r="H601" s="69">
        <f t="shared" si="256"/>
        <v>0</v>
      </c>
      <c r="I601" s="70">
        <f t="shared" si="257"/>
        <v>0</v>
      </c>
      <c r="J601" s="73" t="str">
        <f t="shared" si="258"/>
        <v>--</v>
      </c>
      <c r="K601" s="32"/>
      <c r="L601" s="233"/>
      <c r="M601" s="277"/>
      <c r="N601" s="277"/>
      <c r="O601" s="277"/>
      <c r="P601" s="277"/>
      <c r="Q601" s="277"/>
      <c r="R601" s="277"/>
      <c r="S601" s="277"/>
      <c r="T601" s="277"/>
      <c r="U601" s="278"/>
      <c r="V601" s="103"/>
      <c r="W601" s="84"/>
      <c r="X601" s="84"/>
      <c r="Y601" s="72"/>
      <c r="Z601" s="72"/>
      <c r="AA601" s="72"/>
      <c r="AB601" s="72"/>
      <c r="AC601" s="72">
        <f t="shared" si="247"/>
        <v>1</v>
      </c>
      <c r="AD601" s="72">
        <f t="shared" si="248"/>
        <v>1</v>
      </c>
      <c r="AE601" s="109" t="str">
        <f t="shared" si="249"/>
        <v>0-0</v>
      </c>
      <c r="AF601" s="109" t="str">
        <f t="shared" si="250"/>
        <v>Y</v>
      </c>
      <c r="AG601" s="109" t="str">
        <f t="shared" si="251"/>
        <v>B</v>
      </c>
      <c r="AM601" s="109">
        <f t="shared" si="252"/>
        <v>0</v>
      </c>
      <c r="AN601" s="109">
        <f t="shared" si="253"/>
        <v>0</v>
      </c>
      <c r="AO601" s="109" t="str">
        <f t="shared" si="254"/>
        <v/>
      </c>
      <c r="AQ601" s="109" t="str">
        <f t="shared" si="255"/>
        <v/>
      </c>
      <c r="BA601" s="229">
        <f>MOD(SUM(E591:E602),12)</f>
        <v>0</v>
      </c>
    </row>
    <row r="602" spans="1:53" ht="15.75" thickBot="1" x14ac:dyDescent="0.3">
      <c r="A602" s="88"/>
      <c r="B602" s="66" t="s">
        <v>289</v>
      </c>
      <c r="C602" s="67"/>
      <c r="D602" s="102"/>
      <c r="E602" s="32"/>
      <c r="F602" s="32"/>
      <c r="G602" s="68" t="s">
        <v>277</v>
      </c>
      <c r="H602" s="69">
        <f t="shared" si="256"/>
        <v>0</v>
      </c>
      <c r="I602" s="70">
        <f t="shared" si="257"/>
        <v>0</v>
      </c>
      <c r="J602" s="73" t="str">
        <f t="shared" si="258"/>
        <v>--</v>
      </c>
      <c r="K602" s="32"/>
      <c r="L602" s="233"/>
      <c r="M602" s="277"/>
      <c r="N602" s="277"/>
      <c r="O602" s="277"/>
      <c r="P602" s="277"/>
      <c r="Q602" s="277"/>
      <c r="R602" s="277"/>
      <c r="S602" s="277"/>
      <c r="T602" s="277"/>
      <c r="U602" s="278"/>
      <c r="V602" s="103"/>
      <c r="W602" s="84">
        <f>Y602+1</f>
        <v>25</v>
      </c>
      <c r="X602" s="84"/>
      <c r="Y602" s="78">
        <f>SUM(E591:E602)</f>
        <v>24</v>
      </c>
      <c r="Z602" s="72"/>
      <c r="AA602" s="72"/>
      <c r="AB602" s="72"/>
      <c r="AC602" s="72">
        <f t="shared" si="247"/>
        <v>1</v>
      </c>
      <c r="AD602" s="72">
        <f t="shared" si="248"/>
        <v>1</v>
      </c>
      <c r="AE602" s="109" t="str">
        <f t="shared" si="249"/>
        <v>0-0</v>
      </c>
      <c r="AF602" s="109" t="str">
        <f t="shared" si="250"/>
        <v>Y</v>
      </c>
      <c r="AG602" s="109" t="str">
        <f t="shared" si="251"/>
        <v>B</v>
      </c>
      <c r="AM602" s="109">
        <f t="shared" si="252"/>
        <v>0</v>
      </c>
      <c r="AN602" s="109">
        <f t="shared" si="253"/>
        <v>0</v>
      </c>
      <c r="AO602" s="109" t="str">
        <f t="shared" si="254"/>
        <v/>
      </c>
      <c r="AQ602" s="109" t="str">
        <f t="shared" si="255"/>
        <v/>
      </c>
      <c r="BA602" s="229">
        <f>MOD(SUM(E591:E603),12)</f>
        <v>0</v>
      </c>
    </row>
    <row r="603" spans="1:53" ht="15.75" thickBot="1" x14ac:dyDescent="0.3">
      <c r="A603" s="88"/>
      <c r="B603" s="66" t="s">
        <v>290</v>
      </c>
      <c r="C603" s="67"/>
      <c r="D603" s="102"/>
      <c r="E603" s="32"/>
      <c r="F603" s="32"/>
      <c r="G603" s="68" t="s">
        <v>277</v>
      </c>
      <c r="H603" s="69">
        <f t="shared" si="256"/>
        <v>0</v>
      </c>
      <c r="I603" s="70">
        <f t="shared" si="257"/>
        <v>0</v>
      </c>
      <c r="J603" s="73" t="str">
        <f t="shared" si="258"/>
        <v>--</v>
      </c>
      <c r="K603" s="32"/>
      <c r="L603" s="233"/>
      <c r="M603" s="277"/>
      <c r="N603" s="277"/>
      <c r="O603" s="277"/>
      <c r="P603" s="277"/>
      <c r="Q603" s="277"/>
      <c r="R603" s="277"/>
      <c r="S603" s="277"/>
      <c r="T603" s="277"/>
      <c r="U603" s="278"/>
      <c r="V603" s="103"/>
      <c r="W603" s="84">
        <f>Y603+1</f>
        <v>25</v>
      </c>
      <c r="X603" s="84"/>
      <c r="Y603" s="78">
        <f>SUM(E591:E603)</f>
        <v>24</v>
      </c>
      <c r="Z603" s="72" t="str">
        <f t="shared" ref="Z603:Z615" si="261">IF(OR(AND(E$8=216,C602="DBL REV",C603="DBL REV",Y602&lt;=144,Y603&gt;144),AND(E$8=216,C602="TPL REV",C603="TPL REV",Y602&lt;=144,Y603&gt;144),AND(E$8=216,C602="QD REV",C603="QD REV",Y602&lt;=144,Y603&gt;144)),"ERROR","")</f>
        <v/>
      </c>
      <c r="AA603" s="72"/>
      <c r="AB603" s="72"/>
      <c r="AC603" s="72">
        <f t="shared" si="247"/>
        <v>1</v>
      </c>
      <c r="AD603" s="72">
        <f t="shared" si="248"/>
        <v>1</v>
      </c>
      <c r="AE603" s="109" t="str">
        <f t="shared" si="249"/>
        <v>0-0</v>
      </c>
      <c r="AF603" s="109" t="str">
        <f t="shared" si="250"/>
        <v>Y</v>
      </c>
      <c r="AG603" s="109" t="str">
        <f t="shared" si="251"/>
        <v>B</v>
      </c>
      <c r="AM603" s="109">
        <f t="shared" si="252"/>
        <v>0</v>
      </c>
      <c r="AN603" s="109">
        <f t="shared" si="253"/>
        <v>0</v>
      </c>
      <c r="AO603" s="109" t="str">
        <f t="shared" si="254"/>
        <v/>
      </c>
      <c r="AQ603" s="109" t="str">
        <f t="shared" si="255"/>
        <v/>
      </c>
      <c r="BA603" s="229">
        <f>MOD(SUM(E591:E604),12)</f>
        <v>0</v>
      </c>
    </row>
    <row r="604" spans="1:53" ht="15.75" thickBot="1" x14ac:dyDescent="0.3">
      <c r="A604" s="88"/>
      <c r="B604" s="66" t="s">
        <v>291</v>
      </c>
      <c r="C604" s="67"/>
      <c r="D604" s="102"/>
      <c r="E604" s="32"/>
      <c r="F604" s="32"/>
      <c r="G604" s="68" t="s">
        <v>277</v>
      </c>
      <c r="H604" s="69">
        <f t="shared" si="256"/>
        <v>0</v>
      </c>
      <c r="I604" s="70">
        <f t="shared" si="257"/>
        <v>0</v>
      </c>
      <c r="J604" s="73" t="str">
        <f t="shared" si="258"/>
        <v>--</v>
      </c>
      <c r="K604" s="32"/>
      <c r="L604" s="233"/>
      <c r="M604" s="277"/>
      <c r="N604" s="277"/>
      <c r="O604" s="277"/>
      <c r="P604" s="277"/>
      <c r="Q604" s="277"/>
      <c r="R604" s="277"/>
      <c r="S604" s="277"/>
      <c r="T604" s="277"/>
      <c r="U604" s="278"/>
      <c r="V604" s="103"/>
      <c r="W604" s="84">
        <f>Y604+1</f>
        <v>25</v>
      </c>
      <c r="X604" s="84"/>
      <c r="Y604" s="78">
        <f>SUM(E591:E604)</f>
        <v>24</v>
      </c>
      <c r="Z604" s="72" t="str">
        <f t="shared" si="261"/>
        <v/>
      </c>
      <c r="AA604" s="72"/>
      <c r="AB604" s="72"/>
      <c r="AC604" s="72">
        <f t="shared" si="247"/>
        <v>1</v>
      </c>
      <c r="AD604" s="72">
        <f t="shared" si="248"/>
        <v>1</v>
      </c>
      <c r="AE604" s="109" t="str">
        <f t="shared" si="249"/>
        <v>0-0</v>
      </c>
      <c r="AF604" s="109" t="str">
        <f t="shared" si="250"/>
        <v>Y</v>
      </c>
      <c r="AG604" s="109" t="str">
        <f t="shared" si="251"/>
        <v>B</v>
      </c>
      <c r="AM604" s="109">
        <f t="shared" si="252"/>
        <v>0</v>
      </c>
      <c r="AN604" s="109">
        <f t="shared" si="253"/>
        <v>0</v>
      </c>
      <c r="AO604" s="109" t="str">
        <f t="shared" si="254"/>
        <v/>
      </c>
      <c r="AQ604" s="109" t="str">
        <f t="shared" si="255"/>
        <v/>
      </c>
      <c r="BA604" s="229">
        <f>MOD(SUM(E591:E605),12)</f>
        <v>0</v>
      </c>
    </row>
    <row r="605" spans="1:53" ht="15.75" thickBot="1" x14ac:dyDescent="0.3">
      <c r="A605" s="88"/>
      <c r="B605" s="66" t="s">
        <v>292</v>
      </c>
      <c r="C605" s="67"/>
      <c r="D605" s="102"/>
      <c r="E605" s="32"/>
      <c r="F605" s="32"/>
      <c r="G605" s="68" t="s">
        <v>277</v>
      </c>
      <c r="H605" s="69">
        <f t="shared" si="256"/>
        <v>0</v>
      </c>
      <c r="I605" s="70">
        <f t="shared" si="257"/>
        <v>0</v>
      </c>
      <c r="J605" s="73" t="str">
        <f t="shared" si="258"/>
        <v>--</v>
      </c>
      <c r="K605" s="32"/>
      <c r="L605" s="233"/>
      <c r="M605" s="277"/>
      <c r="N605" s="277"/>
      <c r="O605" s="277"/>
      <c r="P605" s="277"/>
      <c r="Q605" s="277"/>
      <c r="R605" s="277"/>
      <c r="S605" s="277"/>
      <c r="T605" s="277"/>
      <c r="U605" s="278"/>
      <c r="V605" s="103"/>
      <c r="W605" s="84">
        <f>Y605+1</f>
        <v>25</v>
      </c>
      <c r="X605" s="84"/>
      <c r="Y605" s="78">
        <f>SUM(E591:E605)</f>
        <v>24</v>
      </c>
      <c r="Z605" s="72" t="str">
        <f t="shared" si="261"/>
        <v/>
      </c>
      <c r="AA605" s="72" t="str">
        <f t="shared" ref="AA605:AA617" si="262">IF(AND(C603&lt;&gt;"Field SPL",W602&lt;=144,Y603&gt;144),"ERROR","")</f>
        <v/>
      </c>
      <c r="AB605" s="72"/>
      <c r="AC605" s="72">
        <f t="shared" si="247"/>
        <v>1</v>
      </c>
      <c r="AD605" s="72">
        <f t="shared" si="248"/>
        <v>1</v>
      </c>
      <c r="AE605" s="109" t="str">
        <f t="shared" si="249"/>
        <v>0-0</v>
      </c>
      <c r="AF605" s="109" t="str">
        <f t="shared" si="250"/>
        <v>Y</v>
      </c>
      <c r="AG605" s="109" t="str">
        <f t="shared" si="251"/>
        <v>B</v>
      </c>
      <c r="AM605" s="109">
        <f t="shared" si="252"/>
        <v>0</v>
      </c>
      <c r="AN605" s="109">
        <f t="shared" si="253"/>
        <v>0</v>
      </c>
      <c r="AO605" s="109" t="str">
        <f t="shared" si="254"/>
        <v/>
      </c>
      <c r="AQ605" s="109" t="str">
        <f t="shared" si="255"/>
        <v/>
      </c>
      <c r="BA605" s="229">
        <f>MOD(SUM(E591:E606),12)</f>
        <v>0</v>
      </c>
    </row>
    <row r="606" spans="1:53" ht="15.75" thickBot="1" x14ac:dyDescent="0.3">
      <c r="A606" s="88"/>
      <c r="B606" s="66" t="s">
        <v>293</v>
      </c>
      <c r="C606" s="67"/>
      <c r="D606" s="102"/>
      <c r="E606" s="32"/>
      <c r="F606" s="32"/>
      <c r="G606" s="68" t="s">
        <v>277</v>
      </c>
      <c r="H606" s="69">
        <f t="shared" si="256"/>
        <v>0</v>
      </c>
      <c r="I606" s="70">
        <f t="shared" si="257"/>
        <v>0</v>
      </c>
      <c r="J606" s="73" t="str">
        <f t="shared" si="258"/>
        <v>--</v>
      </c>
      <c r="K606" s="32"/>
      <c r="L606" s="233"/>
      <c r="M606" s="277"/>
      <c r="N606" s="277"/>
      <c r="O606" s="277"/>
      <c r="P606" s="277"/>
      <c r="Q606" s="277"/>
      <c r="R606" s="277"/>
      <c r="S606" s="277"/>
      <c r="T606" s="277"/>
      <c r="U606" s="278"/>
      <c r="V606" s="103"/>
      <c r="W606" s="84">
        <f t="shared" ref="W606:W614" si="263">Y606+1</f>
        <v>25</v>
      </c>
      <c r="X606" s="84"/>
      <c r="Y606" s="78">
        <f>SUM(E591:E606)</f>
        <v>24</v>
      </c>
      <c r="Z606" s="72" t="str">
        <f t="shared" si="261"/>
        <v/>
      </c>
      <c r="AA606" s="72" t="str">
        <f t="shared" si="262"/>
        <v/>
      </c>
      <c r="AB606" s="72"/>
      <c r="AC606" s="72">
        <f t="shared" si="247"/>
        <v>1</v>
      </c>
      <c r="AD606" s="72">
        <f t="shared" si="248"/>
        <v>1</v>
      </c>
      <c r="AE606" s="109" t="str">
        <f t="shared" si="249"/>
        <v>0-0</v>
      </c>
      <c r="AF606" s="109" t="str">
        <f t="shared" si="250"/>
        <v>Y</v>
      </c>
      <c r="AG606" s="109" t="str">
        <f t="shared" si="251"/>
        <v>B</v>
      </c>
      <c r="AM606" s="109">
        <f t="shared" si="252"/>
        <v>0</v>
      </c>
      <c r="AN606" s="109">
        <f t="shared" si="253"/>
        <v>0</v>
      </c>
      <c r="AO606" s="109" t="str">
        <f t="shared" si="254"/>
        <v/>
      </c>
      <c r="AQ606" s="109" t="str">
        <f t="shared" si="255"/>
        <v/>
      </c>
      <c r="BA606" s="229">
        <f>MOD(SUM(E591:E607),12)</f>
        <v>0</v>
      </c>
    </row>
    <row r="607" spans="1:53" ht="15.75" thickBot="1" x14ac:dyDescent="0.3">
      <c r="A607" s="88"/>
      <c r="B607" s="66" t="s">
        <v>294</v>
      </c>
      <c r="C607" s="67"/>
      <c r="D607" s="102"/>
      <c r="E607" s="32"/>
      <c r="F607" s="32"/>
      <c r="G607" s="68" t="s">
        <v>277</v>
      </c>
      <c r="H607" s="69">
        <f t="shared" si="256"/>
        <v>0</v>
      </c>
      <c r="I607" s="70">
        <f t="shared" si="257"/>
        <v>0</v>
      </c>
      <c r="J607" s="73" t="str">
        <f t="shared" si="258"/>
        <v>--</v>
      </c>
      <c r="K607" s="32"/>
      <c r="L607" s="233"/>
      <c r="M607" s="277"/>
      <c r="N607" s="277"/>
      <c r="O607" s="277"/>
      <c r="P607" s="277"/>
      <c r="Q607" s="277"/>
      <c r="R607" s="277"/>
      <c r="S607" s="277"/>
      <c r="T607" s="277"/>
      <c r="U607" s="278"/>
      <c r="V607" s="103"/>
      <c r="W607" s="84">
        <f t="shared" si="263"/>
        <v>25</v>
      </c>
      <c r="X607" s="84"/>
      <c r="Y607" s="78">
        <f>SUM(E591:E607)</f>
        <v>24</v>
      </c>
      <c r="Z607" s="72" t="str">
        <f t="shared" si="261"/>
        <v/>
      </c>
      <c r="AA607" s="72" t="str">
        <f t="shared" si="262"/>
        <v/>
      </c>
      <c r="AB607" s="72"/>
      <c r="AC607" s="72">
        <f t="shared" si="247"/>
        <v>1</v>
      </c>
      <c r="AD607" s="72">
        <f t="shared" si="248"/>
        <v>1</v>
      </c>
      <c r="AE607" s="109" t="str">
        <f t="shared" si="249"/>
        <v>0-0</v>
      </c>
      <c r="AF607" s="109" t="str">
        <f t="shared" si="250"/>
        <v>Y</v>
      </c>
      <c r="AG607" s="109" t="str">
        <f t="shared" si="251"/>
        <v>B</v>
      </c>
      <c r="AM607" s="109">
        <f t="shared" si="252"/>
        <v>0</v>
      </c>
      <c r="AN607" s="109">
        <f t="shared" si="253"/>
        <v>0</v>
      </c>
      <c r="AO607" s="109" t="str">
        <f t="shared" si="254"/>
        <v/>
      </c>
      <c r="AQ607" s="109" t="str">
        <f t="shared" si="255"/>
        <v/>
      </c>
      <c r="BA607" s="229">
        <f>MOD(SUM(E591:E608),12)</f>
        <v>0</v>
      </c>
    </row>
    <row r="608" spans="1:53" ht="15.75" thickBot="1" x14ac:dyDescent="0.3">
      <c r="A608" s="88"/>
      <c r="B608" s="66" t="s">
        <v>295</v>
      </c>
      <c r="C608" s="67"/>
      <c r="D608" s="102"/>
      <c r="E608" s="32"/>
      <c r="F608" s="32"/>
      <c r="G608" s="68" t="s">
        <v>277</v>
      </c>
      <c r="H608" s="69">
        <f t="shared" si="256"/>
        <v>0</v>
      </c>
      <c r="I608" s="70">
        <f t="shared" si="257"/>
        <v>0</v>
      </c>
      <c r="J608" s="73" t="str">
        <f t="shared" si="258"/>
        <v>--</v>
      </c>
      <c r="K608" s="32"/>
      <c r="L608" s="233"/>
      <c r="M608" s="277"/>
      <c r="N608" s="277"/>
      <c r="O608" s="277"/>
      <c r="P608" s="277"/>
      <c r="Q608" s="277"/>
      <c r="R608" s="277"/>
      <c r="S608" s="277"/>
      <c r="T608" s="277"/>
      <c r="U608" s="278"/>
      <c r="V608" s="103"/>
      <c r="W608" s="84">
        <f t="shared" si="263"/>
        <v>25</v>
      </c>
      <c r="X608" s="84"/>
      <c r="Y608" s="78">
        <f>SUM(E591:E608)</f>
        <v>24</v>
      </c>
      <c r="Z608" s="72" t="str">
        <f t="shared" si="261"/>
        <v/>
      </c>
      <c r="AA608" s="72" t="str">
        <f t="shared" si="262"/>
        <v/>
      </c>
      <c r="AB608" s="72"/>
      <c r="AC608" s="72">
        <f t="shared" si="247"/>
        <v>1</v>
      </c>
      <c r="AD608" s="72">
        <f t="shared" si="248"/>
        <v>1</v>
      </c>
      <c r="AE608" s="109" t="str">
        <f t="shared" si="249"/>
        <v>0-0</v>
      </c>
      <c r="AF608" s="109" t="str">
        <f t="shared" si="250"/>
        <v>Y</v>
      </c>
      <c r="AG608" s="109" t="str">
        <f t="shared" si="251"/>
        <v>B</v>
      </c>
      <c r="AM608" s="109">
        <f t="shared" si="252"/>
        <v>0</v>
      </c>
      <c r="AN608" s="109">
        <f t="shared" si="253"/>
        <v>0</v>
      </c>
      <c r="AO608" s="109" t="str">
        <f t="shared" si="254"/>
        <v/>
      </c>
      <c r="AQ608" s="109" t="str">
        <f t="shared" si="255"/>
        <v/>
      </c>
      <c r="BA608" s="229">
        <f>MOD(SUM(E591:E609),12)</f>
        <v>0</v>
      </c>
    </row>
    <row r="609" spans="1:53" ht="15.75" thickBot="1" x14ac:dyDescent="0.3">
      <c r="A609" s="88"/>
      <c r="B609" s="66" t="s">
        <v>296</v>
      </c>
      <c r="C609" s="67"/>
      <c r="D609" s="102"/>
      <c r="E609" s="32"/>
      <c r="F609" s="32"/>
      <c r="G609" s="68" t="s">
        <v>277</v>
      </c>
      <c r="H609" s="69">
        <f t="shared" si="256"/>
        <v>0</v>
      </c>
      <c r="I609" s="70">
        <f t="shared" si="257"/>
        <v>0</v>
      </c>
      <c r="J609" s="73" t="str">
        <f t="shared" si="258"/>
        <v>--</v>
      </c>
      <c r="K609" s="32"/>
      <c r="L609" s="233"/>
      <c r="M609" s="277"/>
      <c r="N609" s="277"/>
      <c r="O609" s="277"/>
      <c r="P609" s="277"/>
      <c r="Q609" s="277"/>
      <c r="R609" s="277"/>
      <c r="S609" s="277"/>
      <c r="T609" s="277"/>
      <c r="U609" s="278"/>
      <c r="V609" s="103"/>
      <c r="W609" s="84">
        <f t="shared" si="263"/>
        <v>25</v>
      </c>
      <c r="X609" s="84"/>
      <c r="Y609" s="78">
        <f>SUM(E591:E609)</f>
        <v>24</v>
      </c>
      <c r="Z609" s="72" t="str">
        <f t="shared" si="261"/>
        <v/>
      </c>
      <c r="AA609" s="72" t="str">
        <f t="shared" si="262"/>
        <v/>
      </c>
      <c r="AB609" s="72"/>
      <c r="AC609" s="72">
        <f t="shared" si="247"/>
        <v>1</v>
      </c>
      <c r="AD609" s="72">
        <f t="shared" si="248"/>
        <v>1</v>
      </c>
      <c r="AE609" s="109" t="str">
        <f t="shared" si="249"/>
        <v>0-0</v>
      </c>
      <c r="AF609" s="109" t="str">
        <f t="shared" si="250"/>
        <v>Y</v>
      </c>
      <c r="AG609" s="109" t="str">
        <f t="shared" si="251"/>
        <v>B</v>
      </c>
      <c r="AM609" s="109">
        <f t="shared" si="252"/>
        <v>0</v>
      </c>
      <c r="AN609" s="109">
        <f t="shared" si="253"/>
        <v>0</v>
      </c>
      <c r="AO609" s="109" t="str">
        <f t="shared" si="254"/>
        <v/>
      </c>
      <c r="AQ609" s="109" t="str">
        <f t="shared" si="255"/>
        <v/>
      </c>
      <c r="BA609" s="229">
        <f>MOD(SUM(E591:E610),12)</f>
        <v>0</v>
      </c>
    </row>
    <row r="610" spans="1:53" ht="15.75" thickBot="1" x14ac:dyDescent="0.3">
      <c r="A610" s="88"/>
      <c r="B610" s="66" t="s">
        <v>297</v>
      </c>
      <c r="C610" s="67"/>
      <c r="D610" s="102"/>
      <c r="E610" s="32"/>
      <c r="F610" s="32"/>
      <c r="G610" s="68" t="s">
        <v>277</v>
      </c>
      <c r="H610" s="69">
        <f t="shared" si="256"/>
        <v>0</v>
      </c>
      <c r="I610" s="70">
        <f t="shared" si="257"/>
        <v>0</v>
      </c>
      <c r="J610" s="73" t="str">
        <f t="shared" si="258"/>
        <v>--</v>
      </c>
      <c r="K610" s="32"/>
      <c r="L610" s="233"/>
      <c r="M610" s="277"/>
      <c r="N610" s="277"/>
      <c r="O610" s="277"/>
      <c r="P610" s="277"/>
      <c r="Q610" s="277"/>
      <c r="R610" s="277"/>
      <c r="S610" s="277"/>
      <c r="T610" s="277"/>
      <c r="U610" s="278"/>
      <c r="V610" s="103"/>
      <c r="W610" s="84">
        <f t="shared" si="263"/>
        <v>25</v>
      </c>
      <c r="X610" s="84"/>
      <c r="Y610" s="78">
        <f>SUM(E591:E610)</f>
        <v>24</v>
      </c>
      <c r="Z610" s="72" t="str">
        <f t="shared" si="261"/>
        <v/>
      </c>
      <c r="AA610" s="72" t="str">
        <f t="shared" si="262"/>
        <v/>
      </c>
      <c r="AB610" s="72"/>
      <c r="AC610" s="72">
        <f t="shared" si="247"/>
        <v>1</v>
      </c>
      <c r="AD610" s="72">
        <f t="shared" si="248"/>
        <v>1</v>
      </c>
      <c r="AE610" s="109" t="str">
        <f t="shared" si="249"/>
        <v>0-0</v>
      </c>
      <c r="AF610" s="109" t="str">
        <f t="shared" si="250"/>
        <v>Y</v>
      </c>
      <c r="AG610" s="109" t="str">
        <f t="shared" si="251"/>
        <v>B</v>
      </c>
      <c r="AM610" s="109">
        <f t="shared" si="252"/>
        <v>0</v>
      </c>
      <c r="AN610" s="109">
        <f t="shared" si="253"/>
        <v>0</v>
      </c>
      <c r="AO610" s="109" t="str">
        <f t="shared" si="254"/>
        <v/>
      </c>
      <c r="AQ610" s="109" t="str">
        <f t="shared" si="255"/>
        <v/>
      </c>
      <c r="BA610" s="229">
        <f>MOD(SUM(E591:E611),12)</f>
        <v>0</v>
      </c>
    </row>
    <row r="611" spans="1:53" ht="15.75" thickBot="1" x14ac:dyDescent="0.3">
      <c r="A611" s="88"/>
      <c r="B611" s="66" t="s">
        <v>298</v>
      </c>
      <c r="C611" s="67"/>
      <c r="D611" s="102"/>
      <c r="E611" s="32"/>
      <c r="F611" s="32"/>
      <c r="G611" s="68" t="s">
        <v>277</v>
      </c>
      <c r="H611" s="69">
        <f t="shared" si="256"/>
        <v>0</v>
      </c>
      <c r="I611" s="70">
        <f t="shared" si="257"/>
        <v>0</v>
      </c>
      <c r="J611" s="73" t="str">
        <f t="shared" si="258"/>
        <v>--</v>
      </c>
      <c r="K611" s="32"/>
      <c r="L611" s="233"/>
      <c r="M611" s="277"/>
      <c r="N611" s="277"/>
      <c r="O611" s="277"/>
      <c r="P611" s="277"/>
      <c r="Q611" s="277"/>
      <c r="R611" s="277"/>
      <c r="S611" s="277"/>
      <c r="T611" s="277"/>
      <c r="U611" s="278"/>
      <c r="V611" s="103"/>
      <c r="W611" s="84">
        <f t="shared" si="263"/>
        <v>25</v>
      </c>
      <c r="X611" s="84"/>
      <c r="Y611" s="78">
        <f>SUM(E591:E611)</f>
        <v>24</v>
      </c>
      <c r="Z611" s="72" t="str">
        <f t="shared" si="261"/>
        <v/>
      </c>
      <c r="AA611" s="72" t="str">
        <f t="shared" si="262"/>
        <v/>
      </c>
      <c r="AB611" s="72"/>
      <c r="AC611" s="72">
        <f t="shared" si="247"/>
        <v>1</v>
      </c>
      <c r="AD611" s="72">
        <f t="shared" si="248"/>
        <v>1</v>
      </c>
      <c r="AE611" s="109" t="str">
        <f t="shared" si="249"/>
        <v>0-0</v>
      </c>
      <c r="AF611" s="109" t="str">
        <f t="shared" si="250"/>
        <v>Y</v>
      </c>
      <c r="AG611" s="109" t="str">
        <f t="shared" si="251"/>
        <v>B</v>
      </c>
      <c r="AM611" s="109">
        <f t="shared" si="252"/>
        <v>0</v>
      </c>
      <c r="AN611" s="109">
        <f t="shared" si="253"/>
        <v>0</v>
      </c>
      <c r="AO611" s="109" t="str">
        <f t="shared" si="254"/>
        <v/>
      </c>
      <c r="AQ611" s="109" t="str">
        <f t="shared" si="255"/>
        <v/>
      </c>
      <c r="BA611" s="229">
        <f>MOD(SUM(E591:E612),12)</f>
        <v>0</v>
      </c>
    </row>
    <row r="612" spans="1:53" ht="15.75" thickBot="1" x14ac:dyDescent="0.3">
      <c r="A612" s="88"/>
      <c r="B612" s="66" t="s">
        <v>299</v>
      </c>
      <c r="C612" s="67"/>
      <c r="D612" s="102"/>
      <c r="E612" s="32"/>
      <c r="F612" s="32"/>
      <c r="G612" s="68" t="s">
        <v>277</v>
      </c>
      <c r="H612" s="69">
        <f t="shared" si="256"/>
        <v>0</v>
      </c>
      <c r="I612" s="70">
        <f t="shared" si="257"/>
        <v>0</v>
      </c>
      <c r="J612" s="73" t="str">
        <f t="shared" si="258"/>
        <v>--</v>
      </c>
      <c r="K612" s="32"/>
      <c r="L612" s="233"/>
      <c r="M612" s="277"/>
      <c r="N612" s="277"/>
      <c r="O612" s="277"/>
      <c r="P612" s="277"/>
      <c r="Q612" s="277"/>
      <c r="R612" s="277"/>
      <c r="S612" s="277"/>
      <c r="T612" s="277"/>
      <c r="U612" s="278"/>
      <c r="V612" s="103"/>
      <c r="W612" s="84">
        <f t="shared" si="263"/>
        <v>25</v>
      </c>
      <c r="X612" s="84"/>
      <c r="Y612" s="78">
        <f>SUM(E591:E612)</f>
        <v>24</v>
      </c>
      <c r="Z612" s="72" t="str">
        <f t="shared" si="261"/>
        <v/>
      </c>
      <c r="AA612" s="72" t="str">
        <f t="shared" si="262"/>
        <v/>
      </c>
      <c r="AB612" s="72"/>
      <c r="AC612" s="72">
        <f t="shared" si="247"/>
        <v>1</v>
      </c>
      <c r="AD612" s="72">
        <f t="shared" si="248"/>
        <v>1</v>
      </c>
      <c r="AE612" s="109" t="str">
        <f t="shared" si="249"/>
        <v>0-0</v>
      </c>
      <c r="AF612" s="109" t="str">
        <f t="shared" si="250"/>
        <v>Y</v>
      </c>
      <c r="AG612" s="109" t="str">
        <f t="shared" si="251"/>
        <v>B</v>
      </c>
      <c r="AM612" s="109">
        <f t="shared" si="252"/>
        <v>0</v>
      </c>
      <c r="AN612" s="109">
        <f t="shared" si="253"/>
        <v>0</v>
      </c>
      <c r="AO612" s="109" t="str">
        <f t="shared" si="254"/>
        <v/>
      </c>
      <c r="AQ612" s="109" t="str">
        <f t="shared" si="255"/>
        <v/>
      </c>
      <c r="BA612" s="229">
        <f>MOD(SUM(E591:E613),12)</f>
        <v>0</v>
      </c>
    </row>
    <row r="613" spans="1:53" ht="15.75" thickBot="1" x14ac:dyDescent="0.3">
      <c r="A613" s="88"/>
      <c r="B613" s="66" t="s">
        <v>300</v>
      </c>
      <c r="C613" s="67"/>
      <c r="D613" s="102"/>
      <c r="E613" s="32"/>
      <c r="F613" s="32"/>
      <c r="G613" s="68" t="s">
        <v>277</v>
      </c>
      <c r="H613" s="69">
        <f t="shared" si="256"/>
        <v>0</v>
      </c>
      <c r="I613" s="70">
        <f t="shared" si="257"/>
        <v>0</v>
      </c>
      <c r="J613" s="73" t="str">
        <f t="shared" si="258"/>
        <v>--</v>
      </c>
      <c r="K613" s="32"/>
      <c r="L613" s="233"/>
      <c r="M613" s="277"/>
      <c r="N613" s="277"/>
      <c r="O613" s="277"/>
      <c r="P613" s="277"/>
      <c r="Q613" s="277"/>
      <c r="R613" s="277"/>
      <c r="S613" s="277"/>
      <c r="T613" s="277"/>
      <c r="U613" s="278"/>
      <c r="V613" s="103"/>
      <c r="W613" s="84">
        <f t="shared" si="263"/>
        <v>25</v>
      </c>
      <c r="X613" s="84"/>
      <c r="Y613" s="78">
        <f>SUM(E591:E613)</f>
        <v>24</v>
      </c>
      <c r="Z613" s="72" t="str">
        <f t="shared" si="261"/>
        <v/>
      </c>
      <c r="AA613" s="72" t="str">
        <f t="shared" si="262"/>
        <v/>
      </c>
      <c r="AB613" s="72"/>
      <c r="AC613" s="72">
        <f t="shared" si="247"/>
        <v>1</v>
      </c>
      <c r="AD613" s="72">
        <f t="shared" si="248"/>
        <v>1</v>
      </c>
      <c r="AE613" s="109" t="str">
        <f t="shared" si="249"/>
        <v>0-0</v>
      </c>
      <c r="AF613" s="109" t="str">
        <f t="shared" si="250"/>
        <v>Y</v>
      </c>
      <c r="AG613" s="109" t="str">
        <f t="shared" si="251"/>
        <v>B</v>
      </c>
      <c r="AM613" s="109">
        <f t="shared" si="252"/>
        <v>0</v>
      </c>
      <c r="AN613" s="109">
        <f t="shared" si="253"/>
        <v>0</v>
      </c>
      <c r="AO613" s="109" t="str">
        <f t="shared" si="254"/>
        <v/>
      </c>
      <c r="AQ613" s="109" t="str">
        <f t="shared" si="255"/>
        <v/>
      </c>
      <c r="BA613" s="229">
        <f>MOD(SUM(E591:E614),12)</f>
        <v>0</v>
      </c>
    </row>
    <row r="614" spans="1:53" ht="15.75" thickBot="1" x14ac:dyDescent="0.3">
      <c r="A614" s="88"/>
      <c r="B614" s="66" t="s">
        <v>301</v>
      </c>
      <c r="C614" s="67"/>
      <c r="D614" s="102"/>
      <c r="E614" s="32"/>
      <c r="F614" s="32"/>
      <c r="G614" s="68" t="s">
        <v>277</v>
      </c>
      <c r="H614" s="69">
        <f t="shared" si="256"/>
        <v>0</v>
      </c>
      <c r="I614" s="70">
        <f t="shared" si="257"/>
        <v>0</v>
      </c>
      <c r="J614" s="73" t="str">
        <f t="shared" si="258"/>
        <v>--</v>
      </c>
      <c r="K614" s="32"/>
      <c r="L614" s="233"/>
      <c r="M614" s="277"/>
      <c r="N614" s="277"/>
      <c r="O614" s="277"/>
      <c r="P614" s="277"/>
      <c r="Q614" s="277"/>
      <c r="R614" s="277"/>
      <c r="S614" s="277"/>
      <c r="T614" s="277"/>
      <c r="U614" s="278"/>
      <c r="V614" s="103"/>
      <c r="W614" s="84">
        <f t="shared" si="263"/>
        <v>25</v>
      </c>
      <c r="X614" s="84"/>
      <c r="Y614" s="78">
        <f>SUM(E591:E614)</f>
        <v>24</v>
      </c>
      <c r="Z614" s="72" t="str">
        <f t="shared" si="261"/>
        <v/>
      </c>
      <c r="AA614" s="72" t="str">
        <f t="shared" si="262"/>
        <v/>
      </c>
      <c r="AB614" s="72"/>
      <c r="AC614" s="72">
        <f t="shared" si="247"/>
        <v>1</v>
      </c>
      <c r="AD614" s="72">
        <f t="shared" si="248"/>
        <v>1</v>
      </c>
      <c r="AE614" s="109" t="str">
        <f t="shared" si="249"/>
        <v>0-0</v>
      </c>
      <c r="AF614" s="109" t="str">
        <f t="shared" si="250"/>
        <v>Y</v>
      </c>
      <c r="AG614" s="109" t="str">
        <f t="shared" si="251"/>
        <v>B</v>
      </c>
      <c r="AM614" s="109">
        <f t="shared" si="252"/>
        <v>0</v>
      </c>
      <c r="AN614" s="109">
        <f t="shared" si="253"/>
        <v>0</v>
      </c>
      <c r="AO614" s="109" t="str">
        <f t="shared" si="254"/>
        <v/>
      </c>
      <c r="AQ614" s="109" t="str">
        <f t="shared" si="255"/>
        <v/>
      </c>
      <c r="BA614" s="229">
        <f>MOD(SUM(E591:E615),12)</f>
        <v>0</v>
      </c>
    </row>
    <row r="615" spans="1:53" ht="15.75" thickBot="1" x14ac:dyDescent="0.3">
      <c r="A615" s="88"/>
      <c r="B615" s="66" t="s">
        <v>302</v>
      </c>
      <c r="C615" s="67"/>
      <c r="D615" s="102"/>
      <c r="E615" s="32"/>
      <c r="F615" s="32"/>
      <c r="G615" s="68" t="s">
        <v>277</v>
      </c>
      <c r="H615" s="69">
        <f t="shared" si="256"/>
        <v>0</v>
      </c>
      <c r="I615" s="70">
        <f t="shared" si="257"/>
        <v>0</v>
      </c>
      <c r="J615" s="73" t="str">
        <f t="shared" si="258"/>
        <v>--</v>
      </c>
      <c r="K615" s="32"/>
      <c r="L615" s="234"/>
      <c r="M615" s="277"/>
      <c r="N615" s="277"/>
      <c r="O615" s="277"/>
      <c r="P615" s="277"/>
      <c r="Q615" s="277"/>
      <c r="R615" s="277"/>
      <c r="S615" s="277"/>
      <c r="T615" s="277"/>
      <c r="U615" s="278"/>
      <c r="V615" s="103"/>
      <c r="W615" s="72"/>
      <c r="X615" s="72"/>
      <c r="Y615" s="78">
        <f>SUM(E591:E615)</f>
        <v>24</v>
      </c>
      <c r="Z615" s="72" t="str">
        <f t="shared" si="261"/>
        <v/>
      </c>
      <c r="AA615" s="72" t="str">
        <f t="shared" si="262"/>
        <v/>
      </c>
      <c r="AB615" s="72"/>
      <c r="AC615" s="72">
        <f t="shared" si="247"/>
        <v>1</v>
      </c>
      <c r="AD615" s="72">
        <f t="shared" si="248"/>
        <v>1</v>
      </c>
      <c r="AE615" s="109" t="str">
        <f t="shared" si="249"/>
        <v>0-0</v>
      </c>
      <c r="AF615" s="109" t="str">
        <f t="shared" si="250"/>
        <v>Y</v>
      </c>
      <c r="AG615" s="109" t="str">
        <f t="shared" si="251"/>
        <v>B</v>
      </c>
      <c r="AM615" s="109">
        <f t="shared" si="252"/>
        <v>0</v>
      </c>
      <c r="AN615" s="109">
        <f t="shared" si="253"/>
        <v>0</v>
      </c>
      <c r="AO615" s="109" t="str">
        <f t="shared" si="254"/>
        <v/>
      </c>
      <c r="AQ615" s="109" t="str">
        <f t="shared" si="255"/>
        <v/>
      </c>
      <c r="BA615" s="228"/>
    </row>
    <row r="616" spans="1:53" ht="16.5" thickBot="1" x14ac:dyDescent="0.3">
      <c r="A616" s="88"/>
      <c r="B616" s="319" t="s">
        <v>333</v>
      </c>
      <c r="C616" s="320"/>
      <c r="D616" s="79"/>
      <c r="E616" s="80"/>
      <c r="F616" s="80"/>
      <c r="G616" s="81"/>
      <c r="H616" s="192"/>
      <c r="I616" s="192"/>
      <c r="J616" s="192"/>
      <c r="K616" s="82"/>
      <c r="L616" s="319" t="s">
        <v>306</v>
      </c>
      <c r="M616" s="330"/>
      <c r="N616" s="330"/>
      <c r="O616" s="330"/>
      <c r="P616" s="330"/>
      <c r="Q616" s="330"/>
      <c r="R616" s="330"/>
      <c r="S616" s="330"/>
      <c r="T616" s="330"/>
      <c r="U616" s="320"/>
      <c r="V616" s="104"/>
      <c r="W616" s="72"/>
      <c r="X616" s="72"/>
      <c r="Y616" s="72"/>
      <c r="Z616" s="72"/>
      <c r="AA616" s="72" t="str">
        <f t="shared" si="262"/>
        <v/>
      </c>
      <c r="AB616" s="72"/>
      <c r="AC616" s="72">
        <f>SUM(AC591:AC615)</f>
        <v>25</v>
      </c>
      <c r="AD616" s="72">
        <f>SUM(AD591:AD615)</f>
        <v>24</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319" t="s">
        <v>307</v>
      </c>
      <c r="C617" s="320"/>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62"/>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312" t="s">
        <v>222</v>
      </c>
      <c r="C621" s="313"/>
      <c r="D621" s="314" t="s">
        <v>223</v>
      </c>
      <c r="E621" s="305"/>
      <c r="F621" s="88"/>
      <c r="G621" s="315" t="s">
        <v>224</v>
      </c>
      <c r="H621" s="316"/>
      <c r="I621" s="28">
        <f>SUM(E632:E656)</f>
        <v>12</v>
      </c>
      <c r="J621" s="317" t="s">
        <v>225</v>
      </c>
      <c r="K621" s="318"/>
      <c r="L621" s="305"/>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5" t="s">
        <v>226</v>
      </c>
      <c r="AA621" s="296"/>
      <c r="AB621" s="297"/>
      <c r="AC621" s="25"/>
      <c r="AD621" s="25"/>
      <c r="AH621" s="109">
        <v>2</v>
      </c>
      <c r="AI621" s="109" t="str">
        <f>IF($E622="SS",COUNTIFS($C632:$C656,"FST",$E632:$E656,"2"),"0")</f>
        <v>0</v>
      </c>
      <c r="AJ621" s="109" t="str">
        <f>IF($E622="RPX",COUNTIFS($C632:$C656,"FST",$E632:$E656,"2"),"0")</f>
        <v>0</v>
      </c>
      <c r="AK621" s="109">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EUC</v>
      </c>
      <c r="F622" s="88"/>
      <c r="G622" s="304" t="s">
        <v>230</v>
      </c>
      <c r="H622" s="305"/>
      <c r="I622" s="33">
        <f>E623-I621</f>
        <v>420</v>
      </c>
      <c r="J622" s="289" t="s">
        <v>231</v>
      </c>
      <c r="K622" s="290"/>
      <c r="L622" s="34">
        <f>I626</f>
        <v>565</v>
      </c>
      <c r="M622" s="196">
        <v>4</v>
      </c>
      <c r="N622" s="35">
        <f>SUM(AI622,AI633)</f>
        <v>0</v>
      </c>
      <c r="O622" s="35">
        <v>0</v>
      </c>
      <c r="P622" s="35">
        <f>SUM(AJ622,AJ633)</f>
        <v>0</v>
      </c>
      <c r="Q622" s="35">
        <v>0</v>
      </c>
      <c r="R622" s="35">
        <f>COUNTIFS($E632:$E656,"4",$F632:$F656,"Pole",$C632:$C656,"FST")</f>
        <v>0</v>
      </c>
      <c r="S622" s="35">
        <f>SUM(AL622,AK633)</f>
        <v>0</v>
      </c>
      <c r="T622" s="35">
        <v>0</v>
      </c>
      <c r="U622" s="35">
        <f>SUM(AK622,AL633)</f>
        <v>3</v>
      </c>
      <c r="V622" s="35">
        <v>0</v>
      </c>
      <c r="W622" s="34">
        <f>COUNTIFS($E632:$E656,"4",$F632:$F656,"HH",$C632:$C656,"FST")</f>
        <v>3</v>
      </c>
      <c r="X622" s="35">
        <f>COUNTIFS($E632:$E656,"4",$F632:$F656,"Ped",$C632:$C656,"FST")</f>
        <v>0</v>
      </c>
      <c r="Y622" s="25"/>
      <c r="Z622" s="298" t="s">
        <v>232</v>
      </c>
      <c r="AA622" s="300" t="s">
        <v>233</v>
      </c>
      <c r="AB622" s="301"/>
      <c r="AC622" s="25"/>
      <c r="AD622" s="25"/>
      <c r="AH622" s="109">
        <v>4</v>
      </c>
      <c r="AI622" s="109" t="str">
        <f>IF($E622="SS",COUNTIFS($C632:$C656,"FST",$E632:$E656,"4"),"0")</f>
        <v>0</v>
      </c>
      <c r="AJ622" s="109" t="str">
        <f>IF($E622="RPX",COUNTIFS($C632:$C656,"FST",$E632:$E656,"4"),"0")</f>
        <v>0</v>
      </c>
      <c r="AK622" s="109">
        <f>IF($E622="EUC",COUNTIFS($C632:$C656,"FST",$E632:$E656,"4"),"0")</f>
        <v>3</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432</v>
      </c>
      <c r="F623" s="88"/>
      <c r="G623" s="291" t="s">
        <v>237</v>
      </c>
      <c r="H623" s="292"/>
      <c r="I623" s="35">
        <f>IF(E623=0,0,12-(MOD(I621,12)))</f>
        <v>12</v>
      </c>
      <c r="J623" s="289" t="s">
        <v>238</v>
      </c>
      <c r="K623" s="290"/>
      <c r="L623" s="39">
        <f>I627-I621</f>
        <v>564</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299"/>
      <c r="AA623" s="302"/>
      <c r="AB623" s="303"/>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192</v>
      </c>
      <c r="F624" s="88"/>
      <c r="G624" s="321" t="s">
        <v>242</v>
      </c>
      <c r="H624" s="43" t="s">
        <v>243</v>
      </c>
      <c r="I624" s="35">
        <f>IF(E624&lt;&gt;0,1,0)</f>
        <v>1</v>
      </c>
      <c r="J624" s="291" t="s">
        <v>244</v>
      </c>
      <c r="K624" s="292"/>
      <c r="L624" s="44">
        <f>'Cable Calculator'!CA3</f>
        <v>1546</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565</v>
      </c>
      <c r="F625" s="88"/>
      <c r="G625" s="322"/>
      <c r="H625" s="47" t="s">
        <v>248</v>
      </c>
      <c r="I625" s="35">
        <f>IF(E624&lt;&gt;0,E624,0)</f>
        <v>192</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0</v>
      </c>
      <c r="V625" s="35">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36</v>
      </c>
      <c r="F626" s="88"/>
      <c r="G626" s="321" t="s">
        <v>251</v>
      </c>
      <c r="H626" s="51" t="s">
        <v>252</v>
      </c>
      <c r="I626" s="112">
        <f>E625</f>
        <v>565</v>
      </c>
      <c r="J626" s="323" t="s">
        <v>253</v>
      </c>
      <c r="K626" s="324"/>
      <c r="L626" s="325"/>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216</v>
      </c>
      <c r="D627" s="31" t="s">
        <v>256</v>
      </c>
      <c r="E627" s="101" t="str">
        <f>IF('Cable Calculator'!CA5="","",'Cable Calculator'!CA5)</f>
        <v>N</v>
      </c>
      <c r="F627" s="88"/>
      <c r="G627" s="322"/>
      <c r="H627" s="47" t="s">
        <v>257</v>
      </c>
      <c r="I627" s="35">
        <f>IF(E625="","0",IF(AND(E622="EUC",E623=432), I626+(203-E624),IF(E625=0,0,(E625+(E623-E624)-1))))</f>
        <v>576</v>
      </c>
      <c r="J627" s="285" t="str">
        <f>IFERROR(IF(OR(E622="EUC",E622="SS"),"---",IF(OR(P621,S621),"NO 2F Tethers for RPX!",IF(OR(P623,S623),"NO 6F Tethers for RPX!","---"))),"---")</f>
        <v>---</v>
      </c>
      <c r="K627" s="286"/>
      <c r="L627" s="287"/>
      <c r="M627" s="285" t="str">
        <f>IF(E624&gt;60,"Dead Count &gt;60: Consider Downsize","---")</f>
        <v>Dead Count &gt;60: Consider Downsize</v>
      </c>
      <c r="N627" s="286"/>
      <c r="O627" s="286"/>
      <c r="P627" s="286"/>
      <c r="Q627" s="286"/>
      <c r="R627" s="286"/>
      <c r="S627" s="286"/>
      <c r="T627" s="286"/>
      <c r="U627" s="287"/>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228</v>
      </c>
      <c r="D628" s="31" t="s">
        <v>259</v>
      </c>
      <c r="E628" s="101" t="str">
        <f>IF(AS622="Y","DBL",IF(AS623="Y","TRPL",IF(AS624="Y","QUAD","")))</f>
        <v/>
      </c>
      <c r="F628" s="88"/>
      <c r="G628" s="192"/>
      <c r="H628" s="57"/>
      <c r="I628" s="192"/>
      <c r="J628" s="285"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86"/>
      <c r="L628" s="287"/>
      <c r="M628" s="285" t="str">
        <f>IF(AND(OR(E622="SS",E622="RPX",E622="EUC",E622="RPX-T"),(OR(C632="",C632="Field SPL"))),"Cannot have FlexNap cables without tethers","---")</f>
        <v>---</v>
      </c>
      <c r="N628" s="286"/>
      <c r="O628" s="286"/>
      <c r="P628" s="286"/>
      <c r="Q628" s="286"/>
      <c r="R628" s="286"/>
      <c r="S628" s="286"/>
      <c r="T628" s="286"/>
      <c r="U628" s="287"/>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85" t="str">
        <f>IF(AND(OR(E622="RPX", E622="RPX-T", E622="SS"),E623=216),"NO 216 For RPX, RPX-T, OR SS CABLE","---")</f>
        <v>---</v>
      </c>
      <c r="K629" s="286"/>
      <c r="L629" s="287"/>
      <c r="M629" s="285" t="str" cm="1">
        <f t="array" ref="M629">IF(AND(E622="",OR(C632:C656="FST",C632:C656="REV T",C632:C656="DBL REV",C632:C656="TPL REV", C632:C656="QD REV")),"Non-FlexNap cables cannot have tethers","---")</f>
        <v>---</v>
      </c>
      <c r="N629" s="286"/>
      <c r="O629" s="286"/>
      <c r="P629" s="286"/>
      <c r="Q629" s="286"/>
      <c r="R629" s="286"/>
      <c r="S629" s="286"/>
      <c r="T629" s="286"/>
      <c r="U629" s="287"/>
      <c r="V629" s="25"/>
      <c r="W629" s="58"/>
      <c r="X629" s="58"/>
      <c r="Y629" s="25"/>
      <c r="Z629" s="45">
        <v>6</v>
      </c>
      <c r="AA629" s="65">
        <v>61</v>
      </c>
      <c r="AB629" s="65">
        <v>72</v>
      </c>
      <c r="AC629" s="25"/>
      <c r="AD629" s="25"/>
      <c r="BA629" s="226"/>
    </row>
    <row r="630" spans="1:53" ht="15.75" customHeight="1" thickBot="1" x14ac:dyDescent="0.3">
      <c r="A630" s="88"/>
      <c r="B630" s="321" t="s">
        <v>260</v>
      </c>
      <c r="C630" s="293" t="s">
        <v>261</v>
      </c>
      <c r="D630" s="293" t="s">
        <v>262</v>
      </c>
      <c r="E630" s="306" t="s">
        <v>263</v>
      </c>
      <c r="F630" s="293" t="s">
        <v>264</v>
      </c>
      <c r="G630" s="308" t="s">
        <v>265</v>
      </c>
      <c r="H630" s="308" t="s">
        <v>266</v>
      </c>
      <c r="I630" s="308" t="s">
        <v>267</v>
      </c>
      <c r="J630" s="310" t="s">
        <v>268</v>
      </c>
      <c r="K630" s="293" t="s">
        <v>269</v>
      </c>
      <c r="L630" s="279" t="s">
        <v>270</v>
      </c>
      <c r="M630" s="281" t="s">
        <v>271</v>
      </c>
      <c r="N630" s="281"/>
      <c r="O630" s="281"/>
      <c r="P630" s="281"/>
      <c r="Q630" s="281"/>
      <c r="R630" s="281"/>
      <c r="S630" s="281"/>
      <c r="T630" s="281"/>
      <c r="U630" s="282"/>
      <c r="V630" s="107"/>
      <c r="W630" s="72"/>
      <c r="X630" s="72"/>
      <c r="Y630" s="72"/>
      <c r="Z630" s="45">
        <v>7</v>
      </c>
      <c r="AA630" s="65">
        <v>73</v>
      </c>
      <c r="AB630" s="65">
        <v>84</v>
      </c>
      <c r="AC630" s="25"/>
      <c r="AD630" s="25"/>
      <c r="BA630" s="228"/>
    </row>
    <row r="631" spans="1:53" ht="15.75" thickBot="1" x14ac:dyDescent="0.3">
      <c r="A631" s="88"/>
      <c r="B631" s="322"/>
      <c r="C631" s="294"/>
      <c r="D631" s="294"/>
      <c r="E631" s="307"/>
      <c r="F631" s="294"/>
      <c r="G631" s="309"/>
      <c r="H631" s="309"/>
      <c r="I631" s="309"/>
      <c r="J631" s="311"/>
      <c r="K631" s="294"/>
      <c r="L631" s="280"/>
      <c r="M631" s="283"/>
      <c r="N631" s="283"/>
      <c r="O631" s="283"/>
      <c r="P631" s="283"/>
      <c r="Q631" s="283"/>
      <c r="R631" s="283"/>
      <c r="S631" s="283"/>
      <c r="T631" s="283"/>
      <c r="U631" s="284"/>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771</v>
      </c>
      <c r="E632" s="32">
        <v>4</v>
      </c>
      <c r="F632" s="32" t="s">
        <v>488</v>
      </c>
      <c r="G632" s="68" t="s">
        <v>277</v>
      </c>
      <c r="H632" s="69">
        <f>IF(I632=0,0,I632-(E632-1))</f>
        <v>573</v>
      </c>
      <c r="I632" s="70">
        <f>IF(E632=0,0,I627)</f>
        <v>576</v>
      </c>
      <c r="J632" s="71" t="s">
        <v>278</v>
      </c>
      <c r="K632" s="32"/>
      <c r="L632" s="233"/>
      <c r="M632" s="277"/>
      <c r="N632" s="277"/>
      <c r="O632" s="277"/>
      <c r="P632" s="277"/>
      <c r="Q632" s="277"/>
      <c r="R632" s="277"/>
      <c r="S632" s="277"/>
      <c r="T632" s="277"/>
      <c r="U632" s="278"/>
      <c r="V632" s="103"/>
      <c r="W632" s="72"/>
      <c r="X632" s="72"/>
      <c r="Y632" s="72"/>
      <c r="Z632" s="45">
        <v>9</v>
      </c>
      <c r="AA632" s="46">
        <v>97</v>
      </c>
      <c r="AB632" s="46">
        <v>108</v>
      </c>
      <c r="AC632" s="72">
        <f t="shared" ref="AC632:AC656" si="264">IF(B632&lt;&gt;"FST",1,0)</f>
        <v>1</v>
      </c>
      <c r="AD632" s="72">
        <f t="shared" ref="AD632:AD656" si="265">IF(C632&lt;&gt;"FST",1,0)</f>
        <v>0</v>
      </c>
      <c r="AE632" s="109" t="str">
        <f t="shared" ref="AE632:AE656" si="266">CONCATENATE(H632,"-",I632)</f>
        <v>573-576</v>
      </c>
      <c r="AF632" s="109" t="str">
        <f t="shared" ref="AF632:AF656" si="267">IF(C632="Field SPL","N","Y")</f>
        <v>Y</v>
      </c>
      <c r="AG632" s="109" t="str">
        <f t="shared" ref="AG632:AG656" si="268">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9">VALUE(IF(C632="FST","0",IF(C632="REV T","1",IF(C632="DBL REV",".5","0"))))</f>
        <v>0</v>
      </c>
      <c r="AN632" s="109">
        <f t="shared" ref="AN632:AN656" si="270">VALUE(IF(C632="FST","0",IF(C632="REV T","0",IF(C632="DBL REV",".5","0"))))</f>
        <v>0</v>
      </c>
      <c r="AO632" s="109" t="str">
        <f t="shared" ref="AO632:AO656" si="271">IF(C632="TPL REV","Y","")</f>
        <v/>
      </c>
      <c r="AQ632" s="109" t="str">
        <f t="shared" ref="AQ632:AQ656" si="272">IF(C632="QD REV","Y","")</f>
        <v/>
      </c>
      <c r="BA632" s="229">
        <f>MOD(E632,12)</f>
        <v>4</v>
      </c>
    </row>
    <row r="633" spans="1:53" ht="15.75" thickBot="1" x14ac:dyDescent="0.3">
      <c r="A633" s="88"/>
      <c r="B633" s="66" t="s">
        <v>279</v>
      </c>
      <c r="C633" s="67" t="s">
        <v>484</v>
      </c>
      <c r="D633" s="102" t="s">
        <v>815</v>
      </c>
      <c r="E633" s="32">
        <v>4</v>
      </c>
      <c r="F633" s="32" t="s">
        <v>488</v>
      </c>
      <c r="G633" s="68" t="s">
        <v>277</v>
      </c>
      <c r="H633" s="69">
        <f t="shared" ref="H633:H656" si="273">IF(E633=0,0,I633-(E633-1))</f>
        <v>569</v>
      </c>
      <c r="I633" s="70">
        <f t="shared" ref="I633:I656" si="274">IF(E633=0,0,H632-1)</f>
        <v>572</v>
      </c>
      <c r="J633" s="73" t="str">
        <f>IF(C633="","--",IF(AND(C633&lt;&gt;"FST",C633&lt;&gt;"TCF",BA632&lt;&gt;0),BA632,"--"))</f>
        <v>--</v>
      </c>
      <c r="K633" s="32"/>
      <c r="L633" s="233"/>
      <c r="M633" s="277"/>
      <c r="N633" s="277"/>
      <c r="O633" s="277"/>
      <c r="P633" s="277"/>
      <c r="Q633" s="277"/>
      <c r="R633" s="277"/>
      <c r="S633" s="277"/>
      <c r="T633" s="277"/>
      <c r="U633" s="278"/>
      <c r="V633" s="103"/>
      <c r="W633" s="72"/>
      <c r="X633" s="72"/>
      <c r="Y633" s="72"/>
      <c r="Z633" s="45">
        <v>10</v>
      </c>
      <c r="AA633" s="46">
        <v>109</v>
      </c>
      <c r="AB633" s="46">
        <v>120</v>
      </c>
      <c r="AC633" s="72">
        <f t="shared" si="264"/>
        <v>1</v>
      </c>
      <c r="AD633" s="72">
        <f t="shared" si="265"/>
        <v>0</v>
      </c>
      <c r="AE633" s="109" t="str">
        <f t="shared" si="266"/>
        <v>569-572</v>
      </c>
      <c r="AF633" s="109" t="str">
        <f t="shared" si="267"/>
        <v>Y</v>
      </c>
      <c r="AG633" s="109" t="str">
        <f t="shared" si="268"/>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9"/>
        <v>0</v>
      </c>
      <c r="AN633" s="109">
        <f t="shared" si="270"/>
        <v>0</v>
      </c>
      <c r="AO633" s="109" t="str">
        <f t="shared" si="271"/>
        <v/>
      </c>
      <c r="AQ633" s="109" t="str">
        <f t="shared" si="272"/>
        <v/>
      </c>
      <c r="BA633" s="229">
        <f>MOD(SUM(E632:E633),12)</f>
        <v>8</v>
      </c>
    </row>
    <row r="634" spans="1:53" ht="15.75" thickBot="1" x14ac:dyDescent="0.3">
      <c r="A634" s="88"/>
      <c r="B634" s="74" t="s">
        <v>280</v>
      </c>
      <c r="C634" s="67" t="s">
        <v>484</v>
      </c>
      <c r="D634" s="102" t="s">
        <v>772</v>
      </c>
      <c r="E634" s="32">
        <v>4</v>
      </c>
      <c r="F634" s="32" t="s">
        <v>488</v>
      </c>
      <c r="G634" s="75" t="s">
        <v>277</v>
      </c>
      <c r="H634" s="69">
        <f t="shared" si="273"/>
        <v>565</v>
      </c>
      <c r="I634" s="70">
        <f t="shared" si="274"/>
        <v>568</v>
      </c>
      <c r="J634" s="73" t="str">
        <f t="shared" ref="J634:J656" si="275">IF(C634="","--",IF(AND(C634&lt;&gt;"FST",C634&lt;&gt;"TCF",BA633&lt;&gt;0),BA633,"--"))</f>
        <v>--</v>
      </c>
      <c r="K634" s="32"/>
      <c r="L634" s="233"/>
      <c r="M634" s="288"/>
      <c r="N634" s="277"/>
      <c r="O634" s="277"/>
      <c r="P634" s="277"/>
      <c r="Q634" s="277"/>
      <c r="R634" s="277"/>
      <c r="S634" s="277"/>
      <c r="T634" s="277"/>
      <c r="U634" s="278"/>
      <c r="V634" s="103"/>
      <c r="W634" s="72"/>
      <c r="X634" s="72"/>
      <c r="Y634" s="72"/>
      <c r="Z634" s="45">
        <v>11</v>
      </c>
      <c r="AA634" s="46">
        <v>121</v>
      </c>
      <c r="AB634" s="46">
        <v>132</v>
      </c>
      <c r="AC634" s="72">
        <f t="shared" si="264"/>
        <v>1</v>
      </c>
      <c r="AD634" s="72">
        <f t="shared" si="265"/>
        <v>0</v>
      </c>
      <c r="AE634" s="109" t="str">
        <f t="shared" si="266"/>
        <v>565-568</v>
      </c>
      <c r="AF634" s="109" t="str">
        <f t="shared" si="267"/>
        <v>Y</v>
      </c>
      <c r="AG634" s="109" t="str">
        <f t="shared" si="268"/>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9"/>
        <v>0</v>
      </c>
      <c r="AN634" s="109">
        <f t="shared" si="270"/>
        <v>0</v>
      </c>
      <c r="AO634" s="109" t="str">
        <f t="shared" si="271"/>
        <v/>
      </c>
      <c r="AQ634" s="109" t="str">
        <f t="shared" si="272"/>
        <v/>
      </c>
      <c r="BA634" s="229">
        <f>MOD(SUM(E632:E635),12)</f>
        <v>0</v>
      </c>
    </row>
    <row r="635" spans="1:53" ht="15.75" thickBot="1" x14ac:dyDescent="0.3">
      <c r="A635" s="88"/>
      <c r="B635" s="66" t="s">
        <v>281</v>
      </c>
      <c r="C635" s="67" t="s">
        <v>502</v>
      </c>
      <c r="D635" s="102"/>
      <c r="E635" s="32"/>
      <c r="F635" s="32"/>
      <c r="G635" s="68" t="s">
        <v>277</v>
      </c>
      <c r="H635" s="69">
        <f t="shared" si="273"/>
        <v>0</v>
      </c>
      <c r="I635" s="70">
        <f t="shared" si="274"/>
        <v>0</v>
      </c>
      <c r="J635" s="73" t="str">
        <f t="shared" si="275"/>
        <v>--</v>
      </c>
      <c r="K635" s="32"/>
      <c r="L635" s="233"/>
      <c r="M635" s="288" t="s">
        <v>823</v>
      </c>
      <c r="N635" s="277"/>
      <c r="O635" s="277"/>
      <c r="P635" s="277"/>
      <c r="Q635" s="277"/>
      <c r="R635" s="277"/>
      <c r="S635" s="277"/>
      <c r="T635" s="277"/>
      <c r="U635" s="278"/>
      <c r="V635" s="103"/>
      <c r="W635" s="72"/>
      <c r="X635" s="72"/>
      <c r="Y635" s="72"/>
      <c r="Z635" s="45">
        <v>12</v>
      </c>
      <c r="AA635" s="76">
        <v>133</v>
      </c>
      <c r="AB635" s="76">
        <v>144</v>
      </c>
      <c r="AC635" s="72">
        <f t="shared" si="264"/>
        <v>1</v>
      </c>
      <c r="AD635" s="72">
        <f t="shared" si="265"/>
        <v>1</v>
      </c>
      <c r="AE635" s="109" t="str">
        <f t="shared" si="266"/>
        <v>0-0</v>
      </c>
      <c r="AF635" s="109" t="str">
        <f t="shared" si="267"/>
        <v>N</v>
      </c>
      <c r="AG635" s="109" t="str">
        <f t="shared" si="268"/>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9"/>
        <v>0</v>
      </c>
      <c r="AN635" s="109">
        <f t="shared" si="270"/>
        <v>0</v>
      </c>
      <c r="AO635" s="109" t="str">
        <f t="shared" si="271"/>
        <v/>
      </c>
      <c r="AQ635" s="109" t="str">
        <f t="shared" si="272"/>
        <v/>
      </c>
      <c r="BA635" s="229">
        <f>MOD(SUM(E632:E636),12)</f>
        <v>0</v>
      </c>
    </row>
    <row r="636" spans="1:53" ht="15.75" thickBot="1" x14ac:dyDescent="0.3">
      <c r="A636" s="88"/>
      <c r="B636" s="66" t="s">
        <v>282</v>
      </c>
      <c r="C636" s="67" t="s">
        <v>502</v>
      </c>
      <c r="D636" s="102"/>
      <c r="E636" s="32"/>
      <c r="F636" s="32"/>
      <c r="G636" s="68" t="s">
        <v>277</v>
      </c>
      <c r="H636" s="69">
        <f t="shared" si="273"/>
        <v>0</v>
      </c>
      <c r="I636" s="70">
        <f t="shared" si="274"/>
        <v>0</v>
      </c>
      <c r="J636" s="73" t="str">
        <f t="shared" si="275"/>
        <v>--</v>
      </c>
      <c r="K636" s="32"/>
      <c r="L636" s="233"/>
      <c r="M636" s="288" t="s">
        <v>824</v>
      </c>
      <c r="N636" s="277"/>
      <c r="O636" s="277"/>
      <c r="P636" s="277"/>
      <c r="Q636" s="277"/>
      <c r="R636" s="277"/>
      <c r="S636" s="277"/>
      <c r="T636" s="277"/>
      <c r="U636" s="278"/>
      <c r="V636" s="103"/>
      <c r="W636" s="72"/>
      <c r="X636" s="72"/>
      <c r="Y636" s="72"/>
      <c r="Z636" s="45">
        <v>13</v>
      </c>
      <c r="AA636" s="77">
        <f t="shared" ref="AA636:AA641" si="276">AB635+1</f>
        <v>145</v>
      </c>
      <c r="AB636" s="77">
        <f t="shared" ref="AB636:AB641" si="277">AB635+12</f>
        <v>156</v>
      </c>
      <c r="AC636" s="72">
        <f t="shared" si="264"/>
        <v>1</v>
      </c>
      <c r="AD636" s="72">
        <f t="shared" si="265"/>
        <v>1</v>
      </c>
      <c r="AE636" s="109" t="str">
        <f t="shared" si="266"/>
        <v>0-0</v>
      </c>
      <c r="AF636" s="109" t="str">
        <f t="shared" si="267"/>
        <v>N</v>
      </c>
      <c r="AG636" s="109" t="str">
        <f t="shared" si="268"/>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9"/>
        <v>0</v>
      </c>
      <c r="AN636" s="109">
        <f t="shared" si="270"/>
        <v>0</v>
      </c>
      <c r="AO636" s="109" t="str">
        <f t="shared" si="271"/>
        <v/>
      </c>
      <c r="AQ636" s="109" t="str">
        <f t="shared" si="272"/>
        <v/>
      </c>
      <c r="BA636" s="229">
        <f>MOD(SUM(E632:E637),12)</f>
        <v>0</v>
      </c>
    </row>
    <row r="637" spans="1:53" ht="15.75" thickBot="1" x14ac:dyDescent="0.3">
      <c r="A637" s="88"/>
      <c r="B637" s="66" t="s">
        <v>283</v>
      </c>
      <c r="C637" s="67"/>
      <c r="D637" s="102"/>
      <c r="E637" s="32"/>
      <c r="F637" s="32"/>
      <c r="G637" s="68" t="s">
        <v>277</v>
      </c>
      <c r="H637" s="69">
        <f t="shared" si="273"/>
        <v>0</v>
      </c>
      <c r="I637" s="70">
        <f t="shared" si="274"/>
        <v>0</v>
      </c>
      <c r="J637" s="73" t="str">
        <f t="shared" si="275"/>
        <v>--</v>
      </c>
      <c r="K637" s="32"/>
      <c r="L637" s="233"/>
      <c r="M637" s="288"/>
      <c r="N637" s="277"/>
      <c r="O637" s="277"/>
      <c r="P637" s="277"/>
      <c r="Q637" s="277"/>
      <c r="R637" s="277"/>
      <c r="S637" s="277"/>
      <c r="T637" s="277"/>
      <c r="U637" s="278"/>
      <c r="V637" s="103"/>
      <c r="W637" s="72"/>
      <c r="X637" s="72"/>
      <c r="Y637" s="72"/>
      <c r="Z637" s="45">
        <v>14</v>
      </c>
      <c r="AA637" s="77">
        <f t="shared" si="276"/>
        <v>157</v>
      </c>
      <c r="AB637" s="77">
        <f t="shared" si="277"/>
        <v>168</v>
      </c>
      <c r="AC637" s="72">
        <f t="shared" si="264"/>
        <v>1</v>
      </c>
      <c r="AD637" s="72">
        <f t="shared" si="265"/>
        <v>1</v>
      </c>
      <c r="AE637" s="109" t="str">
        <f t="shared" si="266"/>
        <v>0-0</v>
      </c>
      <c r="AF637" s="109" t="str">
        <f t="shared" si="267"/>
        <v>Y</v>
      </c>
      <c r="AG637" s="109" t="str">
        <f t="shared" si="268"/>
        <v>B</v>
      </c>
      <c r="AM637" s="109">
        <f t="shared" si="269"/>
        <v>0</v>
      </c>
      <c r="AN637" s="109">
        <f t="shared" si="270"/>
        <v>0</v>
      </c>
      <c r="AO637" s="109" t="str">
        <f t="shared" si="271"/>
        <v/>
      </c>
      <c r="AQ637" s="109" t="str">
        <f t="shared" si="272"/>
        <v/>
      </c>
      <c r="BA637" s="229">
        <f>MOD(SUM(E632:E638),12)</f>
        <v>0</v>
      </c>
    </row>
    <row r="638" spans="1:53" ht="15.75" thickBot="1" x14ac:dyDescent="0.3">
      <c r="A638" s="88"/>
      <c r="B638" s="66" t="s">
        <v>284</v>
      </c>
      <c r="C638" s="67"/>
      <c r="D638" s="102"/>
      <c r="E638" s="32"/>
      <c r="F638" s="32"/>
      <c r="G638" s="68" t="s">
        <v>277</v>
      </c>
      <c r="H638" s="69">
        <f t="shared" si="273"/>
        <v>0</v>
      </c>
      <c r="I638" s="70">
        <f t="shared" si="274"/>
        <v>0</v>
      </c>
      <c r="J638" s="73" t="str">
        <f t="shared" si="275"/>
        <v>--</v>
      </c>
      <c r="K638" s="32"/>
      <c r="L638" s="233"/>
      <c r="M638" s="277"/>
      <c r="N638" s="277"/>
      <c r="O638" s="277"/>
      <c r="P638" s="277"/>
      <c r="Q638" s="277"/>
      <c r="R638" s="277"/>
      <c r="S638" s="277"/>
      <c r="T638" s="277"/>
      <c r="U638" s="278"/>
      <c r="V638" s="103"/>
      <c r="W638" s="72"/>
      <c r="X638" s="72"/>
      <c r="Y638" s="72"/>
      <c r="Z638" s="45">
        <v>15</v>
      </c>
      <c r="AA638" s="77">
        <f t="shared" si="276"/>
        <v>169</v>
      </c>
      <c r="AB638" s="77">
        <f t="shared" si="277"/>
        <v>180</v>
      </c>
      <c r="AC638" s="72">
        <f t="shared" si="264"/>
        <v>1</v>
      </c>
      <c r="AD638" s="72">
        <f t="shared" si="265"/>
        <v>1</v>
      </c>
      <c r="AE638" s="109" t="str">
        <f t="shared" si="266"/>
        <v>0-0</v>
      </c>
      <c r="AF638" s="109" t="str">
        <f t="shared" si="267"/>
        <v>Y</v>
      </c>
      <c r="AG638" s="109" t="str">
        <f t="shared" si="268"/>
        <v>B</v>
      </c>
      <c r="AM638" s="109">
        <f t="shared" si="269"/>
        <v>0</v>
      </c>
      <c r="AN638" s="109">
        <f t="shared" si="270"/>
        <v>0</v>
      </c>
      <c r="AO638" s="109" t="str">
        <f t="shared" si="271"/>
        <v/>
      </c>
      <c r="AQ638" s="109" t="str">
        <f t="shared" si="272"/>
        <v/>
      </c>
      <c r="BA638" s="229">
        <f>MOD(SUM(E632:E639),12)</f>
        <v>0</v>
      </c>
    </row>
    <row r="639" spans="1:53" ht="15.75" thickBot="1" x14ac:dyDescent="0.3">
      <c r="A639" s="88"/>
      <c r="B639" s="66" t="s">
        <v>285</v>
      </c>
      <c r="C639" s="67"/>
      <c r="D639" s="102"/>
      <c r="E639" s="32"/>
      <c r="F639" s="32"/>
      <c r="G639" s="68" t="s">
        <v>277</v>
      </c>
      <c r="H639" s="69">
        <f t="shared" si="273"/>
        <v>0</v>
      </c>
      <c r="I639" s="70">
        <f t="shared" si="274"/>
        <v>0</v>
      </c>
      <c r="J639" s="73" t="str">
        <f t="shared" si="275"/>
        <v>--</v>
      </c>
      <c r="K639" s="32"/>
      <c r="L639" s="233"/>
      <c r="M639" s="277"/>
      <c r="N639" s="277"/>
      <c r="O639" s="277"/>
      <c r="P639" s="277"/>
      <c r="Q639" s="277"/>
      <c r="R639" s="277"/>
      <c r="S639" s="277"/>
      <c r="T639" s="277"/>
      <c r="U639" s="278"/>
      <c r="V639" s="103"/>
      <c r="W639" s="72"/>
      <c r="X639" s="72"/>
      <c r="Y639" s="72"/>
      <c r="Z639" s="45">
        <f>Z638+1</f>
        <v>16</v>
      </c>
      <c r="AA639" s="77">
        <f t="shared" si="276"/>
        <v>181</v>
      </c>
      <c r="AB639" s="77">
        <f t="shared" si="277"/>
        <v>192</v>
      </c>
      <c r="AC639" s="72">
        <f t="shared" si="264"/>
        <v>1</v>
      </c>
      <c r="AD639" s="72">
        <f t="shared" si="265"/>
        <v>1</v>
      </c>
      <c r="AE639" s="109" t="str">
        <f t="shared" si="266"/>
        <v>0-0</v>
      </c>
      <c r="AF639" s="109" t="str">
        <f t="shared" si="267"/>
        <v>Y</v>
      </c>
      <c r="AG639" s="109" t="str">
        <f t="shared" si="268"/>
        <v>B</v>
      </c>
      <c r="AM639" s="109">
        <f t="shared" si="269"/>
        <v>0</v>
      </c>
      <c r="AN639" s="109">
        <f t="shared" si="270"/>
        <v>0</v>
      </c>
      <c r="AO639" s="109" t="str">
        <f t="shared" si="271"/>
        <v/>
      </c>
      <c r="AQ639" s="109" t="str">
        <f t="shared" si="272"/>
        <v/>
      </c>
      <c r="BA639" s="229">
        <f>MOD(SUM(E632:E640),12)</f>
        <v>0</v>
      </c>
    </row>
    <row r="640" spans="1:53" ht="15.75" thickBot="1" x14ac:dyDescent="0.3">
      <c r="A640" s="88"/>
      <c r="B640" s="66" t="s">
        <v>286</v>
      </c>
      <c r="C640" s="67"/>
      <c r="D640" s="102"/>
      <c r="E640" s="32"/>
      <c r="F640" s="32"/>
      <c r="G640" s="68" t="s">
        <v>277</v>
      </c>
      <c r="H640" s="69">
        <f t="shared" si="273"/>
        <v>0</v>
      </c>
      <c r="I640" s="70">
        <f t="shared" si="274"/>
        <v>0</v>
      </c>
      <c r="J640" s="73" t="str">
        <f t="shared" si="275"/>
        <v>--</v>
      </c>
      <c r="K640" s="32"/>
      <c r="L640" s="233"/>
      <c r="M640" s="277"/>
      <c r="N640" s="277"/>
      <c r="O640" s="277"/>
      <c r="P640" s="277"/>
      <c r="Q640" s="277"/>
      <c r="R640" s="277"/>
      <c r="S640" s="277"/>
      <c r="T640" s="277"/>
      <c r="U640" s="278"/>
      <c r="V640" s="103"/>
      <c r="W640" s="72"/>
      <c r="X640" s="72"/>
      <c r="Y640" s="72"/>
      <c r="Z640" s="45">
        <f>Z639+1</f>
        <v>17</v>
      </c>
      <c r="AA640" s="77">
        <f t="shared" si="276"/>
        <v>193</v>
      </c>
      <c r="AB640" s="77">
        <f t="shared" si="277"/>
        <v>204</v>
      </c>
      <c r="AC640" s="72">
        <f t="shared" si="264"/>
        <v>1</v>
      </c>
      <c r="AD640" s="72">
        <f t="shared" si="265"/>
        <v>1</v>
      </c>
      <c r="AE640" s="109" t="str">
        <f t="shared" si="266"/>
        <v>0-0</v>
      </c>
      <c r="AF640" s="109" t="str">
        <f t="shared" si="267"/>
        <v>Y</v>
      </c>
      <c r="AG640" s="109" t="str">
        <f t="shared" si="268"/>
        <v>B</v>
      </c>
      <c r="AM640" s="109">
        <f t="shared" si="269"/>
        <v>0</v>
      </c>
      <c r="AN640" s="109">
        <f t="shared" si="270"/>
        <v>0</v>
      </c>
      <c r="AO640" s="109" t="str">
        <f t="shared" si="271"/>
        <v/>
      </c>
      <c r="AQ640" s="109" t="str">
        <f t="shared" si="272"/>
        <v/>
      </c>
      <c r="BA640" s="229">
        <f>MOD(SUM(E632:E641),12)</f>
        <v>0</v>
      </c>
    </row>
    <row r="641" spans="1:53" ht="15.75" thickBot="1" x14ac:dyDescent="0.3">
      <c r="A641" s="88"/>
      <c r="B641" s="66" t="s">
        <v>287</v>
      </c>
      <c r="C641" s="67"/>
      <c r="D641" s="102"/>
      <c r="E641" s="32"/>
      <c r="F641" s="32"/>
      <c r="G641" s="68" t="s">
        <v>277</v>
      </c>
      <c r="H641" s="69">
        <f t="shared" si="273"/>
        <v>0</v>
      </c>
      <c r="I641" s="70">
        <f t="shared" si="274"/>
        <v>0</v>
      </c>
      <c r="J641" s="73" t="str">
        <f t="shared" si="275"/>
        <v>--</v>
      </c>
      <c r="K641" s="32"/>
      <c r="L641" s="233"/>
      <c r="M641" s="277"/>
      <c r="N641" s="277"/>
      <c r="O641" s="277"/>
      <c r="P641" s="277"/>
      <c r="Q641" s="277"/>
      <c r="R641" s="277"/>
      <c r="S641" s="277"/>
      <c r="T641" s="277"/>
      <c r="U641" s="278"/>
      <c r="V641" s="103"/>
      <c r="W641" s="72"/>
      <c r="X641" s="72"/>
      <c r="Y641" s="72"/>
      <c r="Z641" s="45">
        <f>Z640+1</f>
        <v>18</v>
      </c>
      <c r="AA641" s="77">
        <f t="shared" si="276"/>
        <v>205</v>
      </c>
      <c r="AB641" s="77">
        <f t="shared" si="277"/>
        <v>216</v>
      </c>
      <c r="AC641" s="72">
        <f t="shared" si="264"/>
        <v>1</v>
      </c>
      <c r="AD641" s="72">
        <f t="shared" si="265"/>
        <v>1</v>
      </c>
      <c r="AE641" s="109" t="str">
        <f t="shared" si="266"/>
        <v>0-0</v>
      </c>
      <c r="AF641" s="109" t="str">
        <f t="shared" si="267"/>
        <v>Y</v>
      </c>
      <c r="AG641" s="109" t="str">
        <f t="shared" si="268"/>
        <v>B</v>
      </c>
      <c r="AM641" s="109">
        <f t="shared" si="269"/>
        <v>0</v>
      </c>
      <c r="AN641" s="109">
        <f t="shared" si="270"/>
        <v>0</v>
      </c>
      <c r="AO641" s="109" t="str">
        <f t="shared" si="271"/>
        <v/>
      </c>
      <c r="AQ641" s="109" t="str">
        <f t="shared" si="272"/>
        <v/>
      </c>
      <c r="BA641" s="229">
        <f>MOD(SUM(E632:E642),12)</f>
        <v>0</v>
      </c>
    </row>
    <row r="642" spans="1:53" ht="15.75" thickBot="1" x14ac:dyDescent="0.3">
      <c r="A642" s="88"/>
      <c r="B642" s="66" t="s">
        <v>288</v>
      </c>
      <c r="C642" s="67"/>
      <c r="D642" s="102"/>
      <c r="E642" s="32"/>
      <c r="F642" s="32"/>
      <c r="G642" s="68" t="s">
        <v>277</v>
      </c>
      <c r="H642" s="69">
        <f t="shared" si="273"/>
        <v>0</v>
      </c>
      <c r="I642" s="70">
        <f t="shared" si="274"/>
        <v>0</v>
      </c>
      <c r="J642" s="73" t="str">
        <f t="shared" si="275"/>
        <v>--</v>
      </c>
      <c r="K642" s="32"/>
      <c r="L642" s="233"/>
      <c r="M642" s="277"/>
      <c r="N642" s="277"/>
      <c r="O642" s="277"/>
      <c r="P642" s="277"/>
      <c r="Q642" s="277"/>
      <c r="R642" s="277"/>
      <c r="S642" s="277"/>
      <c r="T642" s="277"/>
      <c r="U642" s="278"/>
      <c r="V642" s="103"/>
      <c r="W642" s="84"/>
      <c r="X642" s="84"/>
      <c r="Y642" s="72"/>
      <c r="Z642" s="72"/>
      <c r="AA642" s="72"/>
      <c r="AB642" s="72"/>
      <c r="AC642" s="72">
        <f t="shared" si="264"/>
        <v>1</v>
      </c>
      <c r="AD642" s="72">
        <f t="shared" si="265"/>
        <v>1</v>
      </c>
      <c r="AE642" s="109" t="str">
        <f t="shared" si="266"/>
        <v>0-0</v>
      </c>
      <c r="AF642" s="109" t="str">
        <f t="shared" si="267"/>
        <v>Y</v>
      </c>
      <c r="AG642" s="109" t="str">
        <f t="shared" si="268"/>
        <v>B</v>
      </c>
      <c r="AM642" s="109">
        <f t="shared" si="269"/>
        <v>0</v>
      </c>
      <c r="AN642" s="109">
        <f t="shared" si="270"/>
        <v>0</v>
      </c>
      <c r="AO642" s="109" t="str">
        <f t="shared" si="271"/>
        <v/>
      </c>
      <c r="AQ642" s="109" t="str">
        <f t="shared" si="272"/>
        <v/>
      </c>
      <c r="BA642" s="229">
        <f>MOD(SUM(E632:E643),12)</f>
        <v>0</v>
      </c>
    </row>
    <row r="643" spans="1:53" ht="15.75" thickBot="1" x14ac:dyDescent="0.3">
      <c r="A643" s="88"/>
      <c r="B643" s="66" t="s">
        <v>289</v>
      </c>
      <c r="C643" s="67"/>
      <c r="D643" s="102"/>
      <c r="E643" s="32"/>
      <c r="F643" s="32"/>
      <c r="G643" s="68" t="s">
        <v>277</v>
      </c>
      <c r="H643" s="69">
        <f t="shared" si="273"/>
        <v>0</v>
      </c>
      <c r="I643" s="70">
        <f t="shared" si="274"/>
        <v>0</v>
      </c>
      <c r="J643" s="73" t="str">
        <f t="shared" si="275"/>
        <v>--</v>
      </c>
      <c r="K643" s="32"/>
      <c r="L643" s="233"/>
      <c r="M643" s="277"/>
      <c r="N643" s="277"/>
      <c r="O643" s="277"/>
      <c r="P643" s="277"/>
      <c r="Q643" s="277"/>
      <c r="R643" s="277"/>
      <c r="S643" s="277"/>
      <c r="T643" s="277"/>
      <c r="U643" s="278"/>
      <c r="V643" s="103"/>
      <c r="W643" s="84">
        <f>Y643+1</f>
        <v>13</v>
      </c>
      <c r="X643" s="84"/>
      <c r="Y643" s="78">
        <f>SUM(E632:E643)</f>
        <v>12</v>
      </c>
      <c r="Z643" s="72"/>
      <c r="AA643" s="72"/>
      <c r="AB643" s="72"/>
      <c r="AC643" s="72">
        <f t="shared" si="264"/>
        <v>1</v>
      </c>
      <c r="AD643" s="72">
        <f t="shared" si="265"/>
        <v>1</v>
      </c>
      <c r="AE643" s="109" t="str">
        <f t="shared" si="266"/>
        <v>0-0</v>
      </c>
      <c r="AF643" s="109" t="str">
        <f t="shared" si="267"/>
        <v>Y</v>
      </c>
      <c r="AG643" s="109" t="str">
        <f t="shared" si="268"/>
        <v>B</v>
      </c>
      <c r="AM643" s="109">
        <f t="shared" si="269"/>
        <v>0</v>
      </c>
      <c r="AN643" s="109">
        <f t="shared" si="270"/>
        <v>0</v>
      </c>
      <c r="AO643" s="109" t="str">
        <f t="shared" si="271"/>
        <v/>
      </c>
      <c r="AQ643" s="109" t="str">
        <f t="shared" si="272"/>
        <v/>
      </c>
      <c r="BA643" s="229">
        <f>MOD(SUM(E632:E644),12)</f>
        <v>0</v>
      </c>
    </row>
    <row r="644" spans="1:53" ht="15.75" thickBot="1" x14ac:dyDescent="0.3">
      <c r="A644" s="88"/>
      <c r="B644" s="66" t="s">
        <v>290</v>
      </c>
      <c r="C644" s="67"/>
      <c r="D644" s="102"/>
      <c r="E644" s="32"/>
      <c r="F644" s="32"/>
      <c r="G644" s="68" t="s">
        <v>277</v>
      </c>
      <c r="H644" s="69">
        <f t="shared" si="273"/>
        <v>0</v>
      </c>
      <c r="I644" s="70">
        <f t="shared" si="274"/>
        <v>0</v>
      </c>
      <c r="J644" s="73" t="str">
        <f t="shared" si="275"/>
        <v>--</v>
      </c>
      <c r="K644" s="32"/>
      <c r="L644" s="233"/>
      <c r="M644" s="277"/>
      <c r="N644" s="277"/>
      <c r="O644" s="277"/>
      <c r="P644" s="277"/>
      <c r="Q644" s="277"/>
      <c r="R644" s="277"/>
      <c r="S644" s="277"/>
      <c r="T644" s="277"/>
      <c r="U644" s="278"/>
      <c r="V644" s="103"/>
      <c r="W644" s="84">
        <f>Y644+1</f>
        <v>13</v>
      </c>
      <c r="X644" s="84"/>
      <c r="Y644" s="78">
        <f>SUM(E632:E644)</f>
        <v>12</v>
      </c>
      <c r="Z644" s="72" t="str">
        <f t="shared" ref="Z644:Z656" si="278">IF(OR(AND(E$8=216,C643="DBL REV",C644="DBL REV",Y643&lt;=144,Y644&gt;144),AND(E$8=216,C643="TPL REV",C644="TPL REV",Y643&lt;=144,Y644&gt;144),AND(E$8=216,C643="QD REV",C644="QD REV",Y643&lt;=144,Y644&gt;144)),"ERROR","")</f>
        <v/>
      </c>
      <c r="AA644" s="72"/>
      <c r="AB644" s="72"/>
      <c r="AC644" s="72">
        <f t="shared" si="264"/>
        <v>1</v>
      </c>
      <c r="AD644" s="72">
        <f t="shared" si="265"/>
        <v>1</v>
      </c>
      <c r="AE644" s="109" t="str">
        <f t="shared" si="266"/>
        <v>0-0</v>
      </c>
      <c r="AF644" s="109" t="str">
        <f t="shared" si="267"/>
        <v>Y</v>
      </c>
      <c r="AG644" s="109" t="str">
        <f t="shared" si="268"/>
        <v>B</v>
      </c>
      <c r="AM644" s="109">
        <f t="shared" si="269"/>
        <v>0</v>
      </c>
      <c r="AN644" s="109">
        <f t="shared" si="270"/>
        <v>0</v>
      </c>
      <c r="AO644" s="109" t="str">
        <f t="shared" si="271"/>
        <v/>
      </c>
      <c r="AQ644" s="109" t="str">
        <f t="shared" si="272"/>
        <v/>
      </c>
      <c r="BA644" s="229">
        <f>MOD(SUM(E632:E645),12)</f>
        <v>0</v>
      </c>
    </row>
    <row r="645" spans="1:53" ht="15.75" thickBot="1" x14ac:dyDescent="0.3">
      <c r="A645" s="88"/>
      <c r="B645" s="66" t="s">
        <v>291</v>
      </c>
      <c r="C645" s="67"/>
      <c r="D645" s="102"/>
      <c r="E645" s="32"/>
      <c r="F645" s="32"/>
      <c r="G645" s="68" t="s">
        <v>277</v>
      </c>
      <c r="H645" s="69">
        <f t="shared" si="273"/>
        <v>0</v>
      </c>
      <c r="I645" s="70">
        <f t="shared" si="274"/>
        <v>0</v>
      </c>
      <c r="J645" s="73" t="str">
        <f t="shared" si="275"/>
        <v>--</v>
      </c>
      <c r="K645" s="32"/>
      <c r="L645" s="233"/>
      <c r="M645" s="277"/>
      <c r="N645" s="277"/>
      <c r="O645" s="277"/>
      <c r="P645" s="277"/>
      <c r="Q645" s="277"/>
      <c r="R645" s="277"/>
      <c r="S645" s="277"/>
      <c r="T645" s="277"/>
      <c r="U645" s="278"/>
      <c r="V645" s="103"/>
      <c r="W645" s="84">
        <f>Y645+1</f>
        <v>13</v>
      </c>
      <c r="X645" s="84"/>
      <c r="Y645" s="78">
        <f>SUM(E632:E645)</f>
        <v>12</v>
      </c>
      <c r="Z645" s="72" t="str">
        <f t="shared" si="278"/>
        <v/>
      </c>
      <c r="AA645" s="72"/>
      <c r="AB645" s="72"/>
      <c r="AC645" s="72">
        <f t="shared" si="264"/>
        <v>1</v>
      </c>
      <c r="AD645" s="72">
        <f t="shared" si="265"/>
        <v>1</v>
      </c>
      <c r="AE645" s="109" t="str">
        <f t="shared" si="266"/>
        <v>0-0</v>
      </c>
      <c r="AF645" s="109" t="str">
        <f t="shared" si="267"/>
        <v>Y</v>
      </c>
      <c r="AG645" s="109" t="str">
        <f t="shared" si="268"/>
        <v>B</v>
      </c>
      <c r="AM645" s="109">
        <f t="shared" si="269"/>
        <v>0</v>
      </c>
      <c r="AN645" s="109">
        <f t="shared" si="270"/>
        <v>0</v>
      </c>
      <c r="AO645" s="109" t="str">
        <f t="shared" si="271"/>
        <v/>
      </c>
      <c r="AQ645" s="109" t="str">
        <f t="shared" si="272"/>
        <v/>
      </c>
      <c r="BA645" s="229">
        <f>MOD(SUM(E632:E646),12)</f>
        <v>0</v>
      </c>
    </row>
    <row r="646" spans="1:53" ht="15.75" thickBot="1" x14ac:dyDescent="0.3">
      <c r="A646" s="88"/>
      <c r="B646" s="66" t="s">
        <v>292</v>
      </c>
      <c r="C646" s="67"/>
      <c r="D646" s="102"/>
      <c r="E646" s="32"/>
      <c r="F646" s="32"/>
      <c r="G646" s="68" t="s">
        <v>277</v>
      </c>
      <c r="H646" s="69">
        <f t="shared" si="273"/>
        <v>0</v>
      </c>
      <c r="I646" s="70">
        <f t="shared" si="274"/>
        <v>0</v>
      </c>
      <c r="J646" s="73" t="str">
        <f t="shared" si="275"/>
        <v>--</v>
      </c>
      <c r="K646" s="32"/>
      <c r="L646" s="233"/>
      <c r="M646" s="277"/>
      <c r="N646" s="277"/>
      <c r="O646" s="277"/>
      <c r="P646" s="277"/>
      <c r="Q646" s="277"/>
      <c r="R646" s="277"/>
      <c r="S646" s="277"/>
      <c r="T646" s="277"/>
      <c r="U646" s="278"/>
      <c r="V646" s="103"/>
      <c r="W646" s="84">
        <f>Y646+1</f>
        <v>13</v>
      </c>
      <c r="X646" s="84"/>
      <c r="Y646" s="78">
        <f>SUM(E632:E646)</f>
        <v>12</v>
      </c>
      <c r="Z646" s="72" t="str">
        <f t="shared" si="278"/>
        <v/>
      </c>
      <c r="AA646" s="72" t="str">
        <f t="shared" ref="AA646:AA658" si="279">IF(AND(C644&lt;&gt;"Field SPL",W643&lt;=144,Y644&gt;144),"ERROR","")</f>
        <v/>
      </c>
      <c r="AB646" s="72"/>
      <c r="AC646" s="72">
        <f t="shared" si="264"/>
        <v>1</v>
      </c>
      <c r="AD646" s="72">
        <f t="shared" si="265"/>
        <v>1</v>
      </c>
      <c r="AE646" s="109" t="str">
        <f t="shared" si="266"/>
        <v>0-0</v>
      </c>
      <c r="AF646" s="109" t="str">
        <f t="shared" si="267"/>
        <v>Y</v>
      </c>
      <c r="AG646" s="109" t="str">
        <f t="shared" si="268"/>
        <v>B</v>
      </c>
      <c r="AM646" s="109">
        <f t="shared" si="269"/>
        <v>0</v>
      </c>
      <c r="AN646" s="109">
        <f t="shared" si="270"/>
        <v>0</v>
      </c>
      <c r="AO646" s="109" t="str">
        <f t="shared" si="271"/>
        <v/>
      </c>
      <c r="AQ646" s="109" t="str">
        <f t="shared" si="272"/>
        <v/>
      </c>
      <c r="BA646" s="229">
        <f>MOD(SUM(E632:E647),12)</f>
        <v>0</v>
      </c>
    </row>
    <row r="647" spans="1:53" ht="15.75" thickBot="1" x14ac:dyDescent="0.3">
      <c r="A647" s="88"/>
      <c r="B647" s="66" t="s">
        <v>293</v>
      </c>
      <c r="C647" s="67"/>
      <c r="D647" s="102"/>
      <c r="E647" s="32"/>
      <c r="F647" s="32"/>
      <c r="G647" s="68" t="s">
        <v>277</v>
      </c>
      <c r="H647" s="69">
        <f t="shared" si="273"/>
        <v>0</v>
      </c>
      <c r="I647" s="70">
        <f t="shared" si="274"/>
        <v>0</v>
      </c>
      <c r="J647" s="73" t="str">
        <f t="shared" si="275"/>
        <v>--</v>
      </c>
      <c r="K647" s="32"/>
      <c r="L647" s="233"/>
      <c r="M647" s="277"/>
      <c r="N647" s="277"/>
      <c r="O647" s="277"/>
      <c r="P647" s="277"/>
      <c r="Q647" s="277"/>
      <c r="R647" s="277"/>
      <c r="S647" s="277"/>
      <c r="T647" s="277"/>
      <c r="U647" s="278"/>
      <c r="V647" s="103"/>
      <c r="W647" s="84">
        <f t="shared" ref="W647:W655" si="280">Y647+1</f>
        <v>13</v>
      </c>
      <c r="X647" s="84"/>
      <c r="Y647" s="78">
        <f>SUM(E632:E647)</f>
        <v>12</v>
      </c>
      <c r="Z647" s="72" t="str">
        <f t="shared" si="278"/>
        <v/>
      </c>
      <c r="AA647" s="72" t="str">
        <f t="shared" si="279"/>
        <v/>
      </c>
      <c r="AB647" s="72"/>
      <c r="AC647" s="72">
        <f t="shared" si="264"/>
        <v>1</v>
      </c>
      <c r="AD647" s="72">
        <f t="shared" si="265"/>
        <v>1</v>
      </c>
      <c r="AE647" s="109" t="str">
        <f t="shared" si="266"/>
        <v>0-0</v>
      </c>
      <c r="AF647" s="109" t="str">
        <f t="shared" si="267"/>
        <v>Y</v>
      </c>
      <c r="AG647" s="109" t="str">
        <f t="shared" si="268"/>
        <v>B</v>
      </c>
      <c r="AM647" s="109">
        <f t="shared" si="269"/>
        <v>0</v>
      </c>
      <c r="AN647" s="109">
        <f t="shared" si="270"/>
        <v>0</v>
      </c>
      <c r="AO647" s="109" t="str">
        <f t="shared" si="271"/>
        <v/>
      </c>
      <c r="AQ647" s="109" t="str">
        <f t="shared" si="272"/>
        <v/>
      </c>
      <c r="BA647" s="229">
        <f>MOD(SUM(E632:E648),12)</f>
        <v>0</v>
      </c>
    </row>
    <row r="648" spans="1:53" ht="15.75" thickBot="1" x14ac:dyDescent="0.3">
      <c r="A648" s="88"/>
      <c r="B648" s="66" t="s">
        <v>294</v>
      </c>
      <c r="C648" s="67"/>
      <c r="D648" s="102"/>
      <c r="E648" s="32"/>
      <c r="F648" s="32"/>
      <c r="G648" s="68" t="s">
        <v>277</v>
      </c>
      <c r="H648" s="69">
        <f t="shared" si="273"/>
        <v>0</v>
      </c>
      <c r="I648" s="70">
        <f t="shared" si="274"/>
        <v>0</v>
      </c>
      <c r="J648" s="73" t="str">
        <f t="shared" si="275"/>
        <v>--</v>
      </c>
      <c r="K648" s="32"/>
      <c r="L648" s="233"/>
      <c r="M648" s="277"/>
      <c r="N648" s="277"/>
      <c r="O648" s="277"/>
      <c r="P648" s="277"/>
      <c r="Q648" s="277"/>
      <c r="R648" s="277"/>
      <c r="S648" s="277"/>
      <c r="T648" s="277"/>
      <c r="U648" s="278"/>
      <c r="V648" s="103"/>
      <c r="W648" s="84">
        <f t="shared" si="280"/>
        <v>13</v>
      </c>
      <c r="X648" s="84"/>
      <c r="Y648" s="78">
        <f>SUM(E632:E648)</f>
        <v>12</v>
      </c>
      <c r="Z648" s="72" t="str">
        <f t="shared" si="278"/>
        <v/>
      </c>
      <c r="AA648" s="72" t="str">
        <f t="shared" si="279"/>
        <v/>
      </c>
      <c r="AB648" s="72"/>
      <c r="AC648" s="72">
        <f t="shared" si="264"/>
        <v>1</v>
      </c>
      <c r="AD648" s="72">
        <f t="shared" si="265"/>
        <v>1</v>
      </c>
      <c r="AE648" s="109" t="str">
        <f t="shared" si="266"/>
        <v>0-0</v>
      </c>
      <c r="AF648" s="109" t="str">
        <f t="shared" si="267"/>
        <v>Y</v>
      </c>
      <c r="AG648" s="109" t="str">
        <f t="shared" si="268"/>
        <v>B</v>
      </c>
      <c r="AM648" s="109">
        <f t="shared" si="269"/>
        <v>0</v>
      </c>
      <c r="AN648" s="109">
        <f t="shared" si="270"/>
        <v>0</v>
      </c>
      <c r="AO648" s="109" t="str">
        <f t="shared" si="271"/>
        <v/>
      </c>
      <c r="AQ648" s="109" t="str">
        <f t="shared" si="272"/>
        <v/>
      </c>
      <c r="BA648" s="229">
        <f>MOD(SUM(E632:E649),12)</f>
        <v>0</v>
      </c>
    </row>
    <row r="649" spans="1:53" ht="15.75" thickBot="1" x14ac:dyDescent="0.3">
      <c r="A649" s="88"/>
      <c r="B649" s="66" t="s">
        <v>295</v>
      </c>
      <c r="C649" s="67"/>
      <c r="D649" s="102"/>
      <c r="E649" s="32"/>
      <c r="F649" s="32"/>
      <c r="G649" s="68" t="s">
        <v>277</v>
      </c>
      <c r="H649" s="69">
        <f t="shared" si="273"/>
        <v>0</v>
      </c>
      <c r="I649" s="70">
        <f t="shared" si="274"/>
        <v>0</v>
      </c>
      <c r="J649" s="73" t="str">
        <f t="shared" si="275"/>
        <v>--</v>
      </c>
      <c r="K649" s="32"/>
      <c r="L649" s="233"/>
      <c r="M649" s="277"/>
      <c r="N649" s="277"/>
      <c r="O649" s="277"/>
      <c r="P649" s="277"/>
      <c r="Q649" s="277"/>
      <c r="R649" s="277"/>
      <c r="S649" s="277"/>
      <c r="T649" s="277"/>
      <c r="U649" s="278"/>
      <c r="V649" s="103"/>
      <c r="W649" s="84">
        <f t="shared" si="280"/>
        <v>13</v>
      </c>
      <c r="X649" s="84"/>
      <c r="Y649" s="78">
        <f>SUM(E632:E649)</f>
        <v>12</v>
      </c>
      <c r="Z649" s="72" t="str">
        <f t="shared" si="278"/>
        <v/>
      </c>
      <c r="AA649" s="72" t="str">
        <f t="shared" si="279"/>
        <v/>
      </c>
      <c r="AB649" s="72"/>
      <c r="AC649" s="72">
        <f t="shared" si="264"/>
        <v>1</v>
      </c>
      <c r="AD649" s="72">
        <f t="shared" si="265"/>
        <v>1</v>
      </c>
      <c r="AE649" s="109" t="str">
        <f t="shared" si="266"/>
        <v>0-0</v>
      </c>
      <c r="AF649" s="109" t="str">
        <f t="shared" si="267"/>
        <v>Y</v>
      </c>
      <c r="AG649" s="109" t="str">
        <f t="shared" si="268"/>
        <v>B</v>
      </c>
      <c r="AM649" s="109">
        <f t="shared" si="269"/>
        <v>0</v>
      </c>
      <c r="AN649" s="109">
        <f t="shared" si="270"/>
        <v>0</v>
      </c>
      <c r="AO649" s="109" t="str">
        <f t="shared" si="271"/>
        <v/>
      </c>
      <c r="AQ649" s="109" t="str">
        <f t="shared" si="272"/>
        <v/>
      </c>
      <c r="BA649" s="229">
        <f>MOD(SUM(E632:E650),12)</f>
        <v>0</v>
      </c>
    </row>
    <row r="650" spans="1:53" ht="15.75" thickBot="1" x14ac:dyDescent="0.3">
      <c r="A650" s="88"/>
      <c r="B650" s="66" t="s">
        <v>296</v>
      </c>
      <c r="C650" s="67"/>
      <c r="D650" s="102"/>
      <c r="E650" s="32"/>
      <c r="F650" s="32"/>
      <c r="G650" s="68" t="s">
        <v>277</v>
      </c>
      <c r="H650" s="69">
        <f t="shared" si="273"/>
        <v>0</v>
      </c>
      <c r="I650" s="70">
        <f t="shared" si="274"/>
        <v>0</v>
      </c>
      <c r="J650" s="73" t="str">
        <f t="shared" si="275"/>
        <v>--</v>
      </c>
      <c r="K650" s="32"/>
      <c r="L650" s="233"/>
      <c r="M650" s="277"/>
      <c r="N650" s="277"/>
      <c r="O650" s="277"/>
      <c r="P650" s="277"/>
      <c r="Q650" s="277"/>
      <c r="R650" s="277"/>
      <c r="S650" s="277"/>
      <c r="T650" s="277"/>
      <c r="U650" s="278"/>
      <c r="V650" s="103"/>
      <c r="W650" s="84">
        <f t="shared" si="280"/>
        <v>13</v>
      </c>
      <c r="X650" s="84"/>
      <c r="Y650" s="78">
        <f>SUM(E632:E650)</f>
        <v>12</v>
      </c>
      <c r="Z650" s="72" t="str">
        <f t="shared" si="278"/>
        <v/>
      </c>
      <c r="AA650" s="72" t="str">
        <f t="shared" si="279"/>
        <v/>
      </c>
      <c r="AB650" s="72"/>
      <c r="AC650" s="72">
        <f t="shared" si="264"/>
        <v>1</v>
      </c>
      <c r="AD650" s="72">
        <f t="shared" si="265"/>
        <v>1</v>
      </c>
      <c r="AE650" s="109" t="str">
        <f t="shared" si="266"/>
        <v>0-0</v>
      </c>
      <c r="AF650" s="109" t="str">
        <f t="shared" si="267"/>
        <v>Y</v>
      </c>
      <c r="AG650" s="109" t="str">
        <f t="shared" si="268"/>
        <v>B</v>
      </c>
      <c r="AM650" s="109">
        <f t="shared" si="269"/>
        <v>0</v>
      </c>
      <c r="AN650" s="109">
        <f t="shared" si="270"/>
        <v>0</v>
      </c>
      <c r="AO650" s="109" t="str">
        <f t="shared" si="271"/>
        <v/>
      </c>
      <c r="AQ650" s="109" t="str">
        <f t="shared" si="272"/>
        <v/>
      </c>
      <c r="BA650" s="229">
        <f>MOD(SUM(E632:E651),12)</f>
        <v>0</v>
      </c>
    </row>
    <row r="651" spans="1:53" ht="15.75" thickBot="1" x14ac:dyDescent="0.3">
      <c r="A651" s="88"/>
      <c r="B651" s="66" t="s">
        <v>297</v>
      </c>
      <c r="C651" s="67"/>
      <c r="D651" s="102"/>
      <c r="E651" s="32"/>
      <c r="F651" s="32"/>
      <c r="G651" s="68" t="s">
        <v>277</v>
      </c>
      <c r="H651" s="69">
        <f t="shared" si="273"/>
        <v>0</v>
      </c>
      <c r="I651" s="70">
        <f t="shared" si="274"/>
        <v>0</v>
      </c>
      <c r="J651" s="73" t="str">
        <f t="shared" si="275"/>
        <v>--</v>
      </c>
      <c r="K651" s="32"/>
      <c r="L651" s="233"/>
      <c r="M651" s="277"/>
      <c r="N651" s="277"/>
      <c r="O651" s="277"/>
      <c r="P651" s="277"/>
      <c r="Q651" s="277"/>
      <c r="R651" s="277"/>
      <c r="S651" s="277"/>
      <c r="T651" s="277"/>
      <c r="U651" s="278"/>
      <c r="V651" s="103"/>
      <c r="W651" s="84">
        <f t="shared" si="280"/>
        <v>13</v>
      </c>
      <c r="X651" s="84"/>
      <c r="Y651" s="78">
        <f>SUM(E632:E651)</f>
        <v>12</v>
      </c>
      <c r="Z651" s="72" t="str">
        <f t="shared" si="278"/>
        <v/>
      </c>
      <c r="AA651" s="72" t="str">
        <f t="shared" si="279"/>
        <v/>
      </c>
      <c r="AB651" s="72"/>
      <c r="AC651" s="72">
        <f t="shared" si="264"/>
        <v>1</v>
      </c>
      <c r="AD651" s="72">
        <f t="shared" si="265"/>
        <v>1</v>
      </c>
      <c r="AE651" s="109" t="str">
        <f t="shared" si="266"/>
        <v>0-0</v>
      </c>
      <c r="AF651" s="109" t="str">
        <f t="shared" si="267"/>
        <v>Y</v>
      </c>
      <c r="AG651" s="109" t="str">
        <f t="shared" si="268"/>
        <v>B</v>
      </c>
      <c r="AM651" s="109">
        <f t="shared" si="269"/>
        <v>0</v>
      </c>
      <c r="AN651" s="109">
        <f t="shared" si="270"/>
        <v>0</v>
      </c>
      <c r="AO651" s="109" t="str">
        <f t="shared" si="271"/>
        <v/>
      </c>
      <c r="AQ651" s="109" t="str">
        <f t="shared" si="272"/>
        <v/>
      </c>
      <c r="BA651" s="229">
        <f>MOD(SUM(E632:E652),12)</f>
        <v>0</v>
      </c>
    </row>
    <row r="652" spans="1:53" ht="15.75" thickBot="1" x14ac:dyDescent="0.3">
      <c r="A652" s="88"/>
      <c r="B652" s="66" t="s">
        <v>298</v>
      </c>
      <c r="C652" s="67"/>
      <c r="D652" s="102"/>
      <c r="E652" s="32"/>
      <c r="F652" s="32"/>
      <c r="G652" s="68" t="s">
        <v>277</v>
      </c>
      <c r="H652" s="69">
        <f t="shared" si="273"/>
        <v>0</v>
      </c>
      <c r="I652" s="70">
        <f t="shared" si="274"/>
        <v>0</v>
      </c>
      <c r="J652" s="73" t="str">
        <f t="shared" si="275"/>
        <v>--</v>
      </c>
      <c r="K652" s="32"/>
      <c r="L652" s="233"/>
      <c r="M652" s="277"/>
      <c r="N652" s="277"/>
      <c r="O652" s="277"/>
      <c r="P652" s="277"/>
      <c r="Q652" s="277"/>
      <c r="R652" s="277"/>
      <c r="S652" s="277"/>
      <c r="T652" s="277"/>
      <c r="U652" s="278"/>
      <c r="V652" s="103"/>
      <c r="W652" s="84">
        <f t="shared" si="280"/>
        <v>13</v>
      </c>
      <c r="X652" s="84"/>
      <c r="Y652" s="78">
        <f>SUM(E632:E652)</f>
        <v>12</v>
      </c>
      <c r="Z652" s="72" t="str">
        <f t="shared" si="278"/>
        <v/>
      </c>
      <c r="AA652" s="72" t="str">
        <f t="shared" si="279"/>
        <v/>
      </c>
      <c r="AB652" s="72"/>
      <c r="AC652" s="72">
        <f t="shared" si="264"/>
        <v>1</v>
      </c>
      <c r="AD652" s="72">
        <f t="shared" si="265"/>
        <v>1</v>
      </c>
      <c r="AE652" s="109" t="str">
        <f t="shared" si="266"/>
        <v>0-0</v>
      </c>
      <c r="AF652" s="109" t="str">
        <f t="shared" si="267"/>
        <v>Y</v>
      </c>
      <c r="AG652" s="109" t="str">
        <f t="shared" si="268"/>
        <v>B</v>
      </c>
      <c r="AM652" s="109">
        <f t="shared" si="269"/>
        <v>0</v>
      </c>
      <c r="AN652" s="109">
        <f t="shared" si="270"/>
        <v>0</v>
      </c>
      <c r="AO652" s="109" t="str">
        <f t="shared" si="271"/>
        <v/>
      </c>
      <c r="AQ652" s="109" t="str">
        <f t="shared" si="272"/>
        <v/>
      </c>
      <c r="BA652" s="229">
        <f>MOD(SUM(E632:E653),12)</f>
        <v>0</v>
      </c>
    </row>
    <row r="653" spans="1:53" ht="15.75" thickBot="1" x14ac:dyDescent="0.3">
      <c r="A653" s="88"/>
      <c r="B653" s="66" t="s">
        <v>299</v>
      </c>
      <c r="C653" s="67"/>
      <c r="D653" s="102"/>
      <c r="E653" s="32"/>
      <c r="F653" s="32"/>
      <c r="G653" s="68" t="s">
        <v>277</v>
      </c>
      <c r="H653" s="69">
        <f t="shared" si="273"/>
        <v>0</v>
      </c>
      <c r="I653" s="70">
        <f t="shared" si="274"/>
        <v>0</v>
      </c>
      <c r="J653" s="73" t="str">
        <f t="shared" si="275"/>
        <v>--</v>
      </c>
      <c r="K653" s="32"/>
      <c r="L653" s="233"/>
      <c r="M653" s="277"/>
      <c r="N653" s="277"/>
      <c r="O653" s="277"/>
      <c r="P653" s="277"/>
      <c r="Q653" s="277"/>
      <c r="R653" s="277"/>
      <c r="S653" s="277"/>
      <c r="T653" s="277"/>
      <c r="U653" s="278"/>
      <c r="V653" s="103"/>
      <c r="W653" s="84">
        <f t="shared" si="280"/>
        <v>13</v>
      </c>
      <c r="X653" s="84"/>
      <c r="Y653" s="78">
        <f>SUM(E632:E653)</f>
        <v>12</v>
      </c>
      <c r="Z653" s="72" t="str">
        <f t="shared" si="278"/>
        <v/>
      </c>
      <c r="AA653" s="72" t="str">
        <f t="shared" si="279"/>
        <v/>
      </c>
      <c r="AB653" s="72"/>
      <c r="AC653" s="72">
        <f t="shared" si="264"/>
        <v>1</v>
      </c>
      <c r="AD653" s="72">
        <f t="shared" si="265"/>
        <v>1</v>
      </c>
      <c r="AE653" s="109" t="str">
        <f t="shared" si="266"/>
        <v>0-0</v>
      </c>
      <c r="AF653" s="109" t="str">
        <f t="shared" si="267"/>
        <v>Y</v>
      </c>
      <c r="AG653" s="109" t="str">
        <f t="shared" si="268"/>
        <v>B</v>
      </c>
      <c r="AM653" s="109">
        <f t="shared" si="269"/>
        <v>0</v>
      </c>
      <c r="AN653" s="109">
        <f t="shared" si="270"/>
        <v>0</v>
      </c>
      <c r="AO653" s="109" t="str">
        <f t="shared" si="271"/>
        <v/>
      </c>
      <c r="AQ653" s="109" t="str">
        <f t="shared" si="272"/>
        <v/>
      </c>
      <c r="BA653" s="229">
        <f>MOD(SUM(E632:E654),12)</f>
        <v>0</v>
      </c>
    </row>
    <row r="654" spans="1:53" ht="15.75" thickBot="1" x14ac:dyDescent="0.3">
      <c r="A654" s="88"/>
      <c r="B654" s="66" t="s">
        <v>300</v>
      </c>
      <c r="C654" s="67"/>
      <c r="D654" s="102"/>
      <c r="E654" s="32"/>
      <c r="F654" s="32"/>
      <c r="G654" s="68" t="s">
        <v>277</v>
      </c>
      <c r="H654" s="69">
        <f t="shared" si="273"/>
        <v>0</v>
      </c>
      <c r="I654" s="70">
        <f t="shared" si="274"/>
        <v>0</v>
      </c>
      <c r="J654" s="73" t="str">
        <f t="shared" si="275"/>
        <v>--</v>
      </c>
      <c r="K654" s="32"/>
      <c r="L654" s="233"/>
      <c r="M654" s="277"/>
      <c r="N654" s="277"/>
      <c r="O654" s="277"/>
      <c r="P654" s="277"/>
      <c r="Q654" s="277"/>
      <c r="R654" s="277"/>
      <c r="S654" s="277"/>
      <c r="T654" s="277"/>
      <c r="U654" s="278"/>
      <c r="V654" s="103"/>
      <c r="W654" s="84">
        <f t="shared" si="280"/>
        <v>13</v>
      </c>
      <c r="X654" s="84"/>
      <c r="Y654" s="78">
        <f>SUM(E632:E654)</f>
        <v>12</v>
      </c>
      <c r="Z654" s="72" t="str">
        <f t="shared" si="278"/>
        <v/>
      </c>
      <c r="AA654" s="72" t="str">
        <f t="shared" si="279"/>
        <v/>
      </c>
      <c r="AB654" s="72"/>
      <c r="AC654" s="72">
        <f t="shared" si="264"/>
        <v>1</v>
      </c>
      <c r="AD654" s="72">
        <f t="shared" si="265"/>
        <v>1</v>
      </c>
      <c r="AE654" s="109" t="str">
        <f t="shared" si="266"/>
        <v>0-0</v>
      </c>
      <c r="AF654" s="109" t="str">
        <f t="shared" si="267"/>
        <v>Y</v>
      </c>
      <c r="AG654" s="109" t="str">
        <f t="shared" si="268"/>
        <v>B</v>
      </c>
      <c r="AM654" s="109">
        <f t="shared" si="269"/>
        <v>0</v>
      </c>
      <c r="AN654" s="109">
        <f t="shared" si="270"/>
        <v>0</v>
      </c>
      <c r="AO654" s="109" t="str">
        <f t="shared" si="271"/>
        <v/>
      </c>
      <c r="AQ654" s="109" t="str">
        <f t="shared" si="272"/>
        <v/>
      </c>
      <c r="BA654" s="229">
        <f>MOD(SUM(E632:E655),12)</f>
        <v>0</v>
      </c>
    </row>
    <row r="655" spans="1:53" ht="15.75" thickBot="1" x14ac:dyDescent="0.3">
      <c r="A655" s="88"/>
      <c r="B655" s="66" t="s">
        <v>301</v>
      </c>
      <c r="C655" s="67"/>
      <c r="D655" s="102"/>
      <c r="E655" s="32"/>
      <c r="F655" s="32"/>
      <c r="G655" s="68" t="s">
        <v>277</v>
      </c>
      <c r="H655" s="69">
        <f t="shared" si="273"/>
        <v>0</v>
      </c>
      <c r="I655" s="70">
        <f t="shared" si="274"/>
        <v>0</v>
      </c>
      <c r="J655" s="73" t="str">
        <f t="shared" si="275"/>
        <v>--</v>
      </c>
      <c r="K655" s="32"/>
      <c r="L655" s="233"/>
      <c r="M655" s="277"/>
      <c r="N655" s="277"/>
      <c r="O655" s="277"/>
      <c r="P655" s="277"/>
      <c r="Q655" s="277"/>
      <c r="R655" s="277"/>
      <c r="S655" s="277"/>
      <c r="T655" s="277"/>
      <c r="U655" s="278"/>
      <c r="V655" s="103"/>
      <c r="W655" s="84">
        <f t="shared" si="280"/>
        <v>13</v>
      </c>
      <c r="X655" s="84"/>
      <c r="Y655" s="78">
        <f>SUM(E632:E655)</f>
        <v>12</v>
      </c>
      <c r="Z655" s="72" t="str">
        <f t="shared" si="278"/>
        <v/>
      </c>
      <c r="AA655" s="72" t="str">
        <f t="shared" si="279"/>
        <v/>
      </c>
      <c r="AB655" s="72"/>
      <c r="AC655" s="72">
        <f t="shared" si="264"/>
        <v>1</v>
      </c>
      <c r="AD655" s="72">
        <f t="shared" si="265"/>
        <v>1</v>
      </c>
      <c r="AE655" s="109" t="str">
        <f t="shared" si="266"/>
        <v>0-0</v>
      </c>
      <c r="AF655" s="109" t="str">
        <f t="shared" si="267"/>
        <v>Y</v>
      </c>
      <c r="AG655" s="109" t="str">
        <f t="shared" si="268"/>
        <v>B</v>
      </c>
      <c r="AM655" s="109">
        <f t="shared" si="269"/>
        <v>0</v>
      </c>
      <c r="AN655" s="109">
        <f t="shared" si="270"/>
        <v>0</v>
      </c>
      <c r="AO655" s="109" t="str">
        <f t="shared" si="271"/>
        <v/>
      </c>
      <c r="AQ655" s="109" t="str">
        <f t="shared" si="272"/>
        <v/>
      </c>
      <c r="BA655" s="229">
        <f>MOD(SUM(E632:E656),12)</f>
        <v>0</v>
      </c>
    </row>
    <row r="656" spans="1:53" ht="15.75" thickBot="1" x14ac:dyDescent="0.3">
      <c r="A656" s="88"/>
      <c r="B656" s="66" t="s">
        <v>302</v>
      </c>
      <c r="C656" s="67"/>
      <c r="D656" s="102"/>
      <c r="E656" s="32"/>
      <c r="F656" s="32"/>
      <c r="G656" s="68" t="s">
        <v>277</v>
      </c>
      <c r="H656" s="69">
        <f t="shared" si="273"/>
        <v>0</v>
      </c>
      <c r="I656" s="70">
        <f t="shared" si="274"/>
        <v>0</v>
      </c>
      <c r="J656" s="73" t="str">
        <f t="shared" si="275"/>
        <v>--</v>
      </c>
      <c r="K656" s="32"/>
      <c r="L656" s="234"/>
      <c r="M656" s="277"/>
      <c r="N656" s="277"/>
      <c r="O656" s="277"/>
      <c r="P656" s="277"/>
      <c r="Q656" s="277"/>
      <c r="R656" s="277"/>
      <c r="S656" s="277"/>
      <c r="T656" s="277"/>
      <c r="U656" s="278"/>
      <c r="V656" s="103"/>
      <c r="W656" s="72"/>
      <c r="X656" s="72"/>
      <c r="Y656" s="78">
        <f>SUM(E632:E656)</f>
        <v>12</v>
      </c>
      <c r="Z656" s="72" t="str">
        <f t="shared" si="278"/>
        <v/>
      </c>
      <c r="AA656" s="72" t="str">
        <f t="shared" si="279"/>
        <v/>
      </c>
      <c r="AB656" s="72"/>
      <c r="AC656" s="72">
        <f t="shared" si="264"/>
        <v>1</v>
      </c>
      <c r="AD656" s="72">
        <f t="shared" si="265"/>
        <v>1</v>
      </c>
      <c r="AE656" s="109" t="str">
        <f t="shared" si="266"/>
        <v>0-0</v>
      </c>
      <c r="AF656" s="109" t="str">
        <f t="shared" si="267"/>
        <v>Y</v>
      </c>
      <c r="AG656" s="109" t="str">
        <f t="shared" si="268"/>
        <v>B</v>
      </c>
      <c r="AM656" s="109">
        <f t="shared" si="269"/>
        <v>0</v>
      </c>
      <c r="AN656" s="109">
        <f t="shared" si="270"/>
        <v>0</v>
      </c>
      <c r="AO656" s="109" t="str">
        <f t="shared" si="271"/>
        <v/>
      </c>
      <c r="AQ656" s="109" t="str">
        <f t="shared" si="272"/>
        <v/>
      </c>
      <c r="BA656" s="228"/>
    </row>
    <row r="657" spans="1:53" ht="16.5" thickBot="1" x14ac:dyDescent="0.3">
      <c r="A657" s="88"/>
      <c r="B657" s="319" t="s">
        <v>335</v>
      </c>
      <c r="C657" s="320"/>
      <c r="D657" s="79"/>
      <c r="E657" s="80"/>
      <c r="F657" s="80"/>
      <c r="G657" s="81"/>
      <c r="H657" s="192"/>
      <c r="I657" s="192"/>
      <c r="J657" s="192"/>
      <c r="K657" s="82"/>
      <c r="L657" s="319" t="s">
        <v>306</v>
      </c>
      <c r="M657" s="330"/>
      <c r="N657" s="330"/>
      <c r="O657" s="330"/>
      <c r="P657" s="330"/>
      <c r="Q657" s="330"/>
      <c r="R657" s="330"/>
      <c r="S657" s="330"/>
      <c r="T657" s="330"/>
      <c r="U657" s="320"/>
      <c r="V657" s="104"/>
      <c r="W657" s="72"/>
      <c r="X657" s="72"/>
      <c r="Y657" s="72"/>
      <c r="Z657" s="72"/>
      <c r="AA657" s="72" t="str">
        <f t="shared" si="279"/>
        <v/>
      </c>
      <c r="AB657" s="72"/>
      <c r="AC657" s="72">
        <f>SUM(AC632:AC656)</f>
        <v>25</v>
      </c>
      <c r="AD657" s="72">
        <f>SUM(AD632:AD656)</f>
        <v>22</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319" t="s">
        <v>307</v>
      </c>
      <c r="C658" s="320"/>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9"/>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312" t="s">
        <v>222</v>
      </c>
      <c r="C662" s="313"/>
      <c r="D662" s="314" t="s">
        <v>223</v>
      </c>
      <c r="E662" s="305"/>
      <c r="F662" s="88"/>
      <c r="G662" s="315" t="s">
        <v>224</v>
      </c>
      <c r="H662" s="316"/>
      <c r="I662" s="28">
        <f>SUM(E673:E697)</f>
        <v>72</v>
      </c>
      <c r="J662" s="317" t="s">
        <v>225</v>
      </c>
      <c r="K662" s="318"/>
      <c r="L662" s="305"/>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5" t="s">
        <v>226</v>
      </c>
      <c r="AA662" s="296"/>
      <c r="AB662" s="297"/>
      <c r="AC662" s="25"/>
      <c r="AD662" s="25"/>
      <c r="AH662" s="109">
        <v>2</v>
      </c>
      <c r="AI662" s="109" t="str">
        <f>IF($E663="SS",COUNTIFS($C673:$C697,"FST",$E673:$E697,"2"),"0")</f>
        <v>0</v>
      </c>
      <c r="AJ662" s="109" t="str">
        <f>IF($E663="RPX",COUNTIFS($C673:$C697,"FST",$E673:$E697,"2"),"0")</f>
        <v>0</v>
      </c>
      <c r="AK662" s="109">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EUC</v>
      </c>
      <c r="F663" s="88"/>
      <c r="G663" s="304" t="s">
        <v>230</v>
      </c>
      <c r="H663" s="305"/>
      <c r="I663" s="33">
        <f>E664-I662</f>
        <v>0</v>
      </c>
      <c r="J663" s="289" t="s">
        <v>231</v>
      </c>
      <c r="K663" s="290"/>
      <c r="L663" s="34">
        <f>I667</f>
        <v>493</v>
      </c>
      <c r="M663" s="196">
        <v>4</v>
      </c>
      <c r="N663" s="35">
        <f>SUM(AI663,AI674)</f>
        <v>0</v>
      </c>
      <c r="O663" s="35">
        <v>0</v>
      </c>
      <c r="P663" s="35">
        <f>SUM(AJ663,AJ674)</f>
        <v>0</v>
      </c>
      <c r="Q663" s="35">
        <v>0</v>
      </c>
      <c r="R663" s="35">
        <f>COUNTIFS($E673:$E697,"4",$F673:$F697,"Pole",$C673:$C697,"FST")</f>
        <v>0</v>
      </c>
      <c r="S663" s="35">
        <f>SUM(AL663,AK674)</f>
        <v>0</v>
      </c>
      <c r="T663" s="35">
        <v>0</v>
      </c>
      <c r="U663" s="35">
        <f>SUM(AK663,AL674)</f>
        <v>3</v>
      </c>
      <c r="V663" s="35">
        <v>0</v>
      </c>
      <c r="W663" s="34">
        <f>COUNTIFS($E673:$E697,"4",$F673:$F697,"HH",$C673:$C697,"FST")</f>
        <v>3</v>
      </c>
      <c r="X663" s="35">
        <f>COUNTIFS($E673:$E697,"4",$F673:$F697,"Ped",$C673:$C697,"FST")</f>
        <v>0</v>
      </c>
      <c r="Y663" s="25"/>
      <c r="Z663" s="298" t="s">
        <v>232</v>
      </c>
      <c r="AA663" s="300" t="s">
        <v>233</v>
      </c>
      <c r="AB663" s="301"/>
      <c r="AC663" s="25"/>
      <c r="AD663" s="25"/>
      <c r="AH663" s="109">
        <v>4</v>
      </c>
      <c r="AI663" s="109" t="str">
        <f>IF($E663="SS",COUNTIFS($C673:$C697,"FST",$E673:$E697,"4"),"0")</f>
        <v>0</v>
      </c>
      <c r="AJ663" s="109" t="str">
        <f>IF($E663="RPX",COUNTIFS($C673:$C697,"FST",$E673:$E697,"4"),"0")</f>
        <v>0</v>
      </c>
      <c r="AK663" s="109">
        <f>IF($E663="EUC",COUNTIFS($C673:$C697,"FST",$E673:$E697,"4"),"0")</f>
        <v>3</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72</v>
      </c>
      <c r="F664" s="88"/>
      <c r="G664" s="291" t="s">
        <v>237</v>
      </c>
      <c r="H664" s="292"/>
      <c r="I664" s="35">
        <f>IF(E664=0,0,12-(MOD(I662,12)))</f>
        <v>12</v>
      </c>
      <c r="J664" s="289" t="s">
        <v>238</v>
      </c>
      <c r="K664" s="290"/>
      <c r="L664" s="39">
        <f>I668-I662</f>
        <v>492</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299"/>
      <c r="AA664" s="302"/>
      <c r="AB664" s="303"/>
      <c r="AC664" s="25"/>
      <c r="AD664" s="25"/>
      <c r="AH664" s="109">
        <v>6</v>
      </c>
      <c r="AI664" s="109" t="str">
        <f>IF($E663="SS",COUNTIFS($C673:$C697,"FST",$E673:$E697,"6"),"0")</f>
        <v>0</v>
      </c>
      <c r="AJ664" s="109" t="str">
        <f>IF($E663="RPX",COUNTIFS($C673:$C697,"FST",$E673:$E697,"6"),"0")</f>
        <v>0</v>
      </c>
      <c r="AK664" s="109">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0</v>
      </c>
      <c r="F665" s="88"/>
      <c r="G665" s="321" t="s">
        <v>242</v>
      </c>
      <c r="H665" s="43" t="s">
        <v>243</v>
      </c>
      <c r="I665" s="35">
        <f>IF(E665&lt;&gt;0,1,0)</f>
        <v>0</v>
      </c>
      <c r="J665" s="291" t="s">
        <v>244</v>
      </c>
      <c r="K665" s="292"/>
      <c r="L665" s="44">
        <f>'Cable Calculator'!CF3</f>
        <v>1741</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493</v>
      </c>
      <c r="F666" s="88"/>
      <c r="G666" s="322"/>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f>IF($E663="EUC",SUM(AK666,AL677,AM698,AO698,AQ698),"0")</f>
        <v>0</v>
      </c>
      <c r="V666" s="35">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6</v>
      </c>
      <c r="F667" s="88"/>
      <c r="G667" s="321" t="s">
        <v>251</v>
      </c>
      <c r="H667" s="51" t="s">
        <v>252</v>
      </c>
      <c r="I667" s="112">
        <f>E666</f>
        <v>493</v>
      </c>
      <c r="J667" s="323" t="s">
        <v>253</v>
      </c>
      <c r="K667" s="324"/>
      <c r="L667" s="325"/>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N</v>
      </c>
      <c r="F668" s="88"/>
      <c r="G668" s="322"/>
      <c r="H668" s="47" t="s">
        <v>257</v>
      </c>
      <c r="I668" s="35">
        <f>IF(E666="","0",IF(AND(E663="EUC",E664=432), I667+(203-E665),IF(E666=0,0,(E666+(E664-E665)-1))))</f>
        <v>564</v>
      </c>
      <c r="J668" s="285" t="str">
        <f>IFERROR(IF(OR(E663="EUC",E663="SS"),"---",IF(OR(P662,S662),"NO 2F Tethers for RPX!",IF(OR(P664,S664),"NO 6F Tethers for RPX!","---"))),"---")</f>
        <v>---</v>
      </c>
      <c r="K668" s="286"/>
      <c r="L668" s="287"/>
      <c r="M668" s="285" t="str">
        <f>IF(E665&gt;60,"Dead Count &gt;60: Consider Downsize","---")</f>
        <v>---</v>
      </c>
      <c r="N668" s="286"/>
      <c r="O668" s="286"/>
      <c r="P668" s="286"/>
      <c r="Q668" s="286"/>
      <c r="R668" s="286"/>
      <c r="S668" s="286"/>
      <c r="T668" s="286"/>
      <c r="U668" s="287"/>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72</v>
      </c>
      <c r="D669" s="31" t="s">
        <v>259</v>
      </c>
      <c r="E669" s="101" t="str">
        <f>IF(AS663="Y","DBL",IF(AS664="Y","TRPL",IF(AS665="Y","QUAD","")))</f>
        <v/>
      </c>
      <c r="F669" s="88"/>
      <c r="G669" s="192"/>
      <c r="H669" s="57"/>
      <c r="I669" s="192"/>
      <c r="J669" s="285"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86"/>
      <c r="L669" s="287"/>
      <c r="M669" s="285" t="str">
        <f>IF(AND(OR(E663="SS",E663="RPX",E663="EUC",E663="RPX-T"),(OR(C673="",C673="Field SPL"))),"Cannot have FlexNap cables without tethers","---")</f>
        <v>---</v>
      </c>
      <c r="N669" s="286"/>
      <c r="O669" s="286"/>
      <c r="P669" s="286"/>
      <c r="Q669" s="286"/>
      <c r="R669" s="286"/>
      <c r="S669" s="286"/>
      <c r="T669" s="286"/>
      <c r="U669" s="287"/>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85" t="str">
        <f>IF(AND(OR(E663="RPX", E663="RPX-T", E663="SS"),E664=216),"NO 216 For RPX, RPX-T, OR SS CABLE","---")</f>
        <v>---</v>
      </c>
      <c r="K670" s="286"/>
      <c r="L670" s="287"/>
      <c r="M670" s="285" t="str" cm="1">
        <f t="array" ref="M670">IF(AND(E663="",OR(C673:C697="FST",C673:C697="REV T",C673:C697="DBL REV",C673:C697="TPL REV", C673:C697="QD REV")),"Non-FlexNap cables cannot have tethers","---")</f>
        <v>---</v>
      </c>
      <c r="N670" s="286"/>
      <c r="O670" s="286"/>
      <c r="P670" s="286"/>
      <c r="Q670" s="286"/>
      <c r="R670" s="286"/>
      <c r="S670" s="286"/>
      <c r="T670" s="286"/>
      <c r="U670" s="287"/>
      <c r="V670" s="25"/>
      <c r="W670" s="58"/>
      <c r="X670" s="58"/>
      <c r="Y670" s="25"/>
      <c r="Z670" s="45">
        <v>6</v>
      </c>
      <c r="AA670" s="65">
        <v>61</v>
      </c>
      <c r="AB670" s="65">
        <v>72</v>
      </c>
      <c r="AC670" s="25"/>
      <c r="AD670" s="25"/>
      <c r="BA670" s="226"/>
    </row>
    <row r="671" spans="1:53" ht="15.75" customHeight="1" thickBot="1" x14ac:dyDescent="0.3">
      <c r="A671" s="88"/>
      <c r="B671" s="321" t="s">
        <v>260</v>
      </c>
      <c r="C671" s="293" t="s">
        <v>261</v>
      </c>
      <c r="D671" s="293" t="s">
        <v>262</v>
      </c>
      <c r="E671" s="306" t="s">
        <v>263</v>
      </c>
      <c r="F671" s="293" t="s">
        <v>264</v>
      </c>
      <c r="G671" s="308" t="s">
        <v>265</v>
      </c>
      <c r="H671" s="308" t="s">
        <v>266</v>
      </c>
      <c r="I671" s="308" t="s">
        <v>267</v>
      </c>
      <c r="J671" s="310" t="s">
        <v>268</v>
      </c>
      <c r="K671" s="293" t="s">
        <v>269</v>
      </c>
      <c r="L671" s="279" t="s">
        <v>270</v>
      </c>
      <c r="M671" s="281" t="s">
        <v>271</v>
      </c>
      <c r="N671" s="281"/>
      <c r="O671" s="281"/>
      <c r="P671" s="281"/>
      <c r="Q671" s="281"/>
      <c r="R671" s="281"/>
      <c r="S671" s="281"/>
      <c r="T671" s="281"/>
      <c r="U671" s="282"/>
      <c r="V671" s="107"/>
      <c r="W671" s="72"/>
      <c r="X671" s="72"/>
      <c r="Y671" s="72"/>
      <c r="Z671" s="45">
        <v>7</v>
      </c>
      <c r="AA671" s="65">
        <v>73</v>
      </c>
      <c r="AB671" s="65">
        <v>84</v>
      </c>
      <c r="AC671" s="25"/>
      <c r="AD671" s="25"/>
      <c r="BA671" s="228"/>
    </row>
    <row r="672" spans="1:53" ht="15.75" thickBot="1" x14ac:dyDescent="0.3">
      <c r="A672" s="88"/>
      <c r="B672" s="322"/>
      <c r="C672" s="294"/>
      <c r="D672" s="294"/>
      <c r="E672" s="307"/>
      <c r="F672" s="294"/>
      <c r="G672" s="309"/>
      <c r="H672" s="309"/>
      <c r="I672" s="309"/>
      <c r="J672" s="311"/>
      <c r="K672" s="294"/>
      <c r="L672" s="280"/>
      <c r="M672" s="283"/>
      <c r="N672" s="283"/>
      <c r="O672" s="283"/>
      <c r="P672" s="283"/>
      <c r="Q672" s="283"/>
      <c r="R672" s="283"/>
      <c r="S672" s="283"/>
      <c r="T672" s="283"/>
      <c r="U672" s="284"/>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484</v>
      </c>
      <c r="D673" s="102" t="s">
        <v>773</v>
      </c>
      <c r="E673" s="32">
        <v>4</v>
      </c>
      <c r="F673" s="32" t="s">
        <v>488</v>
      </c>
      <c r="G673" s="68" t="s">
        <v>277</v>
      </c>
      <c r="H673" s="69">
        <f>IF(I673=0,0,I673-(E673-1))</f>
        <v>561</v>
      </c>
      <c r="I673" s="70">
        <f>IF(E673=0,0,I668)</f>
        <v>564</v>
      </c>
      <c r="J673" s="71" t="s">
        <v>278</v>
      </c>
      <c r="K673" s="32"/>
      <c r="L673" s="233"/>
      <c r="M673" s="277"/>
      <c r="N673" s="277"/>
      <c r="O673" s="277"/>
      <c r="P673" s="277"/>
      <c r="Q673" s="277"/>
      <c r="R673" s="277"/>
      <c r="S673" s="277"/>
      <c r="T673" s="277"/>
      <c r="U673" s="278"/>
      <c r="V673" s="103"/>
      <c r="W673" s="72"/>
      <c r="X673" s="72"/>
      <c r="Y673" s="72"/>
      <c r="Z673" s="45">
        <v>9</v>
      </c>
      <c r="AA673" s="46">
        <v>97</v>
      </c>
      <c r="AB673" s="46">
        <v>108</v>
      </c>
      <c r="AC673" s="72">
        <f t="shared" ref="AC673:AC697" si="281">IF(B673&lt;&gt;"FST",1,0)</f>
        <v>1</v>
      </c>
      <c r="AD673" s="72">
        <f t="shared" ref="AD673:AD697" si="282">IF(C673&lt;&gt;"FST",1,0)</f>
        <v>0</v>
      </c>
      <c r="AE673" s="109" t="str">
        <f t="shared" ref="AE673:AE697" si="283">CONCATENATE(H673,"-",I673)</f>
        <v>561-564</v>
      </c>
      <c r="AF673" s="109" t="str">
        <f t="shared" ref="AF673:AF697" si="284">IF(C673="Field SPL","N","Y")</f>
        <v>Y</v>
      </c>
      <c r="AG673" s="109" t="str">
        <f t="shared" ref="AG673:AG697" si="285">IF(OR(E$663="RPX",E$663="SS"),"A","B")</f>
        <v>B</v>
      </c>
      <c r="AH673" s="109">
        <v>2</v>
      </c>
      <c r="AI673" s="109" t="str">
        <f>IF(E663="SS",COUNTIFS(C673:C697,"TCF",E673:E697,"2"),"")</f>
        <v/>
      </c>
      <c r="AJ673" s="109" t="str">
        <f>IF(E663="RPX",COUNTIFS(C673:C697,"TCF",E673:E697,"2"),"")</f>
        <v/>
      </c>
      <c r="AK673" s="109" t="str">
        <f>IF(E663="RPX-T",COUNTIFS(C673:C697,"TCF",E673:E697,"2"),"")</f>
        <v/>
      </c>
      <c r="AL673" s="109">
        <f>IF(E663="EUC",COUNTIFS(C673:C697,"TCF",E673:E697,"2"),"")</f>
        <v>0</v>
      </c>
      <c r="AM673" s="109">
        <f t="shared" ref="AM673:AM697" si="286">VALUE(IF(C673="FST","0",IF(C673="REV T","1",IF(C673="DBL REV",".5","0"))))</f>
        <v>0</v>
      </c>
      <c r="AN673" s="109">
        <f t="shared" ref="AN673:AN697" si="287">VALUE(IF(C673="FST","0",IF(C673="REV T","0",IF(C673="DBL REV",".5","0"))))</f>
        <v>0</v>
      </c>
      <c r="AO673" s="109" t="str">
        <f t="shared" ref="AO673:AO697" si="288">IF(C673="TPL REV","Y","")</f>
        <v/>
      </c>
      <c r="AQ673" s="109" t="str">
        <f t="shared" ref="AQ673:AQ697" si="289">IF(C673="QD REV","Y","")</f>
        <v/>
      </c>
      <c r="BA673" s="229">
        <f>MOD(E673,12)</f>
        <v>4</v>
      </c>
    </row>
    <row r="674" spans="1:53" ht="15.75" thickBot="1" x14ac:dyDescent="0.3">
      <c r="A674" s="88"/>
      <c r="B674" s="66" t="s">
        <v>279</v>
      </c>
      <c r="C674" s="67" t="s">
        <v>484</v>
      </c>
      <c r="D674" s="102" t="s">
        <v>774</v>
      </c>
      <c r="E674" s="32">
        <v>4</v>
      </c>
      <c r="F674" s="32" t="s">
        <v>488</v>
      </c>
      <c r="G674" s="68" t="s">
        <v>277</v>
      </c>
      <c r="H674" s="69">
        <f t="shared" ref="H674:H697" si="290">IF(E674=0,0,I674-(E674-1))</f>
        <v>557</v>
      </c>
      <c r="I674" s="70">
        <f t="shared" ref="I674:I697" si="291">IF(E674=0,0,H673-1)</f>
        <v>560</v>
      </c>
      <c r="J674" s="73" t="str">
        <f>IF(C674="","--",IF(AND(C674&lt;&gt;"FST",C674&lt;&gt;"TCF",BA673&lt;&gt;0),BA673,"--"))</f>
        <v>--</v>
      </c>
      <c r="K674" s="32"/>
      <c r="L674" s="233"/>
      <c r="M674" s="277"/>
      <c r="N674" s="277"/>
      <c r="O674" s="277"/>
      <c r="P674" s="277"/>
      <c r="Q674" s="277"/>
      <c r="R674" s="277"/>
      <c r="S674" s="277"/>
      <c r="T674" s="277"/>
      <c r="U674" s="278"/>
      <c r="V674" s="103"/>
      <c r="W674" s="72"/>
      <c r="X674" s="72"/>
      <c r="Y674" s="72"/>
      <c r="Z674" s="45">
        <v>10</v>
      </c>
      <c r="AA674" s="46">
        <v>109</v>
      </c>
      <c r="AB674" s="46">
        <v>120</v>
      </c>
      <c r="AC674" s="72">
        <f t="shared" si="281"/>
        <v>1</v>
      </c>
      <c r="AD674" s="72">
        <f t="shared" si="282"/>
        <v>0</v>
      </c>
      <c r="AE674" s="109" t="str">
        <f t="shared" si="283"/>
        <v>557-560</v>
      </c>
      <c r="AF674" s="109" t="str">
        <f t="shared" si="284"/>
        <v>Y</v>
      </c>
      <c r="AG674" s="109" t="str">
        <f t="shared" si="285"/>
        <v>B</v>
      </c>
      <c r="AH674" s="109">
        <v>4</v>
      </c>
      <c r="AI674" s="109" t="str">
        <f>IF(E663="SS",COUNTIFS(C673:C697,"TCF",E673:E697,"4"),"")</f>
        <v/>
      </c>
      <c r="AJ674" s="109" t="str">
        <f>IF(E663="RPX",COUNTIFS(C673:C697,"TCF",E673:E697,"4"),"")</f>
        <v/>
      </c>
      <c r="AK674" s="109" t="str">
        <f>IF(E663="RPX-T",COUNTIFS(C673:C697,"TCF",E673:E697,"4"),"")</f>
        <v/>
      </c>
      <c r="AL674" s="109">
        <f>IF(E663="EUC",COUNTIFS(C673:C697,"TCF",E673:E697,"4"),"")</f>
        <v>0</v>
      </c>
      <c r="AM674" s="109">
        <f t="shared" si="286"/>
        <v>0</v>
      </c>
      <c r="AN674" s="109">
        <f t="shared" si="287"/>
        <v>0</v>
      </c>
      <c r="AO674" s="109" t="str">
        <f t="shared" si="288"/>
        <v/>
      </c>
      <c r="AQ674" s="109" t="str">
        <f t="shared" si="289"/>
        <v/>
      </c>
      <c r="BA674" s="229">
        <f>MOD(SUM(E673:E674),12)</f>
        <v>8</v>
      </c>
    </row>
    <row r="675" spans="1:53" ht="15.75" thickBot="1" x14ac:dyDescent="0.3">
      <c r="A675" s="88"/>
      <c r="B675" s="74" t="s">
        <v>280</v>
      </c>
      <c r="C675" s="67" t="s">
        <v>484</v>
      </c>
      <c r="D675" s="102" t="s">
        <v>775</v>
      </c>
      <c r="E675" s="32">
        <v>4</v>
      </c>
      <c r="F675" s="32" t="s">
        <v>488</v>
      </c>
      <c r="G675" s="75" t="s">
        <v>277</v>
      </c>
      <c r="H675" s="69">
        <f t="shared" si="290"/>
        <v>553</v>
      </c>
      <c r="I675" s="70">
        <f t="shared" si="291"/>
        <v>556</v>
      </c>
      <c r="J675" s="73" t="str">
        <f t="shared" ref="J675:J697" si="292">IF(C675="","--",IF(AND(C675&lt;&gt;"FST",C675&lt;&gt;"TCF",BA674&lt;&gt;0),BA674,"--"))</f>
        <v>--</v>
      </c>
      <c r="K675" s="32"/>
      <c r="L675" s="233"/>
      <c r="M675" s="277"/>
      <c r="N675" s="277"/>
      <c r="O675" s="277"/>
      <c r="P675" s="277"/>
      <c r="Q675" s="277"/>
      <c r="R675" s="277"/>
      <c r="S675" s="277"/>
      <c r="T675" s="277"/>
      <c r="U675" s="278"/>
      <c r="V675" s="103"/>
      <c r="W675" s="72"/>
      <c r="X675" s="72"/>
      <c r="Y675" s="72"/>
      <c r="Z675" s="45">
        <v>11</v>
      </c>
      <c r="AA675" s="46">
        <v>121</v>
      </c>
      <c r="AB675" s="46">
        <v>132</v>
      </c>
      <c r="AC675" s="72">
        <f t="shared" si="281"/>
        <v>1</v>
      </c>
      <c r="AD675" s="72">
        <f t="shared" si="282"/>
        <v>0</v>
      </c>
      <c r="AE675" s="109" t="str">
        <f t="shared" si="283"/>
        <v>553-556</v>
      </c>
      <c r="AF675" s="109" t="str">
        <f t="shared" si="284"/>
        <v>Y</v>
      </c>
      <c r="AG675" s="109" t="str">
        <f t="shared" si="285"/>
        <v>B</v>
      </c>
      <c r="AH675" s="109">
        <v>6</v>
      </c>
      <c r="AI675" s="109" t="str">
        <f>IF(E663="SS",COUNTIFS(C673:C697,"TCF",E673:E697,"6"),"")</f>
        <v/>
      </c>
      <c r="AJ675" s="109" t="str">
        <f>IF(E663="RPX",COUNTIFS(C673:C697,"TCF",E673:E697,"6"),"")</f>
        <v/>
      </c>
      <c r="AK675" s="109" t="str">
        <f>IF(E663="RPX-T",COUNTIFS(C673:C697,"TCF",E673:E697,"6"),"")</f>
        <v/>
      </c>
      <c r="AL675" s="109">
        <f>IF(E663="EUC",COUNTIFS(C673:C697,"TCF",E673:E697,"6"),"")</f>
        <v>0</v>
      </c>
      <c r="AM675" s="109">
        <f t="shared" si="286"/>
        <v>0</v>
      </c>
      <c r="AN675" s="109">
        <f t="shared" si="287"/>
        <v>0</v>
      </c>
      <c r="AO675" s="109" t="str">
        <f t="shared" si="288"/>
        <v/>
      </c>
      <c r="AQ675" s="109" t="str">
        <f t="shared" si="289"/>
        <v/>
      </c>
      <c r="BA675" s="229">
        <f>MOD(SUM(E673:E676),12)</f>
        <v>0</v>
      </c>
    </row>
    <row r="676" spans="1:53" ht="15.75" thickBot="1" x14ac:dyDescent="0.3">
      <c r="A676" s="88"/>
      <c r="B676" s="66" t="s">
        <v>281</v>
      </c>
      <c r="C676" s="67" t="s">
        <v>502</v>
      </c>
      <c r="D676" s="102"/>
      <c r="E676" s="32">
        <v>60</v>
      </c>
      <c r="F676" s="32"/>
      <c r="G676" s="68" t="s">
        <v>277</v>
      </c>
      <c r="H676" s="69">
        <f t="shared" si="290"/>
        <v>493</v>
      </c>
      <c r="I676" s="70">
        <f t="shared" si="291"/>
        <v>552</v>
      </c>
      <c r="J676" s="73" t="str">
        <f t="shared" si="292"/>
        <v>--</v>
      </c>
      <c r="K676" s="32"/>
      <c r="L676" s="233"/>
      <c r="M676" s="277" t="s">
        <v>421</v>
      </c>
      <c r="N676" s="277"/>
      <c r="O676" s="277"/>
      <c r="P676" s="277"/>
      <c r="Q676" s="277"/>
      <c r="R676" s="277"/>
      <c r="S676" s="277"/>
      <c r="T676" s="277"/>
      <c r="U676" s="278"/>
      <c r="V676" s="103"/>
      <c r="W676" s="72"/>
      <c r="X676" s="72"/>
      <c r="Y676" s="72"/>
      <c r="Z676" s="45">
        <v>12</v>
      </c>
      <c r="AA676" s="76">
        <v>133</v>
      </c>
      <c r="AB676" s="76">
        <v>144</v>
      </c>
      <c r="AC676" s="72">
        <f t="shared" si="281"/>
        <v>1</v>
      </c>
      <c r="AD676" s="72">
        <f t="shared" si="282"/>
        <v>1</v>
      </c>
      <c r="AE676" s="109" t="str">
        <f t="shared" si="283"/>
        <v>493-552</v>
      </c>
      <c r="AF676" s="109" t="str">
        <f t="shared" si="284"/>
        <v>N</v>
      </c>
      <c r="AG676" s="109" t="str">
        <f t="shared" si="285"/>
        <v>B</v>
      </c>
      <c r="AH676" s="109">
        <v>8</v>
      </c>
      <c r="AI676" s="109" t="str">
        <f>IF(E663="SS",COUNTIFS(C673:C697,"TCF",E673:E697,"8"),"")</f>
        <v/>
      </c>
      <c r="AJ676" s="109" t="str">
        <f>IF(E663="RPX",COUNTIFS(C673:C697,"TCF",E673:E697,"8"),"")</f>
        <v/>
      </c>
      <c r="AK676" s="109" t="str">
        <f>IF(E663="RPX-T",COUNTIFS(C673:C697,"TCF",E673:E697,"8"),"")</f>
        <v/>
      </c>
      <c r="AL676" s="109">
        <f>IF(E663="EUC",COUNTIFS(C673:C697,"TCF",E673:E697,"8"),"")</f>
        <v>0</v>
      </c>
      <c r="AM676" s="109">
        <f t="shared" si="286"/>
        <v>0</v>
      </c>
      <c r="AN676" s="109">
        <f t="shared" si="287"/>
        <v>0</v>
      </c>
      <c r="AO676" s="109" t="str">
        <f t="shared" si="288"/>
        <v/>
      </c>
      <c r="AQ676" s="109" t="str">
        <f t="shared" si="289"/>
        <v/>
      </c>
      <c r="BA676" s="229">
        <f>MOD(SUM(E673:E677),12)</f>
        <v>0</v>
      </c>
    </row>
    <row r="677" spans="1:53" ht="15.75" thickBot="1" x14ac:dyDescent="0.3">
      <c r="A677" s="88"/>
      <c r="B677" s="66" t="s">
        <v>282</v>
      </c>
      <c r="C677" s="67"/>
      <c r="D677" s="102"/>
      <c r="E677" s="32"/>
      <c r="F677" s="32"/>
      <c r="G677" s="68" t="s">
        <v>277</v>
      </c>
      <c r="H677" s="69">
        <f t="shared" si="290"/>
        <v>0</v>
      </c>
      <c r="I677" s="70">
        <f t="shared" si="291"/>
        <v>0</v>
      </c>
      <c r="J677" s="73" t="str">
        <f t="shared" si="292"/>
        <v>--</v>
      </c>
      <c r="K677" s="32"/>
      <c r="L677" s="233"/>
      <c r="M677" s="277"/>
      <c r="N677" s="277"/>
      <c r="O677" s="277"/>
      <c r="P677" s="277"/>
      <c r="Q677" s="277"/>
      <c r="R677" s="277"/>
      <c r="S677" s="277"/>
      <c r="T677" s="277"/>
      <c r="U677" s="278"/>
      <c r="V677" s="103"/>
      <c r="W677" s="72"/>
      <c r="X677" s="72"/>
      <c r="Y677" s="72"/>
      <c r="Z677" s="45">
        <v>13</v>
      </c>
      <c r="AA677" s="77">
        <f t="shared" ref="AA677:AA682" si="293">AB676+1</f>
        <v>145</v>
      </c>
      <c r="AB677" s="77">
        <f t="shared" ref="AB677:AB682" si="294">AB676+12</f>
        <v>156</v>
      </c>
      <c r="AC677" s="72">
        <f t="shared" si="281"/>
        <v>1</v>
      </c>
      <c r="AD677" s="72">
        <f t="shared" si="282"/>
        <v>1</v>
      </c>
      <c r="AE677" s="109" t="str">
        <f t="shared" si="283"/>
        <v>0-0</v>
      </c>
      <c r="AF677" s="109" t="str">
        <f t="shared" si="284"/>
        <v>Y</v>
      </c>
      <c r="AG677" s="109" t="str">
        <f t="shared" si="285"/>
        <v>B</v>
      </c>
      <c r="AH677" s="109">
        <v>12</v>
      </c>
      <c r="AI677" s="109" t="str">
        <f>IF(E663="SS",COUNTIFS(C673:C697,"TCF",E673:E697,"12"),"")</f>
        <v/>
      </c>
      <c r="AJ677" s="109" t="str">
        <f>IF(E663="RPX",COUNTIFS(C673:C697,"TCF",E673:E697,"12"),"")</f>
        <v/>
      </c>
      <c r="AK677" s="109" t="str">
        <f>IF(E663="RPX-T",COUNTIFS(C673:C697,"TCF",E673:E697,"12"),"")</f>
        <v/>
      </c>
      <c r="AL677" s="109">
        <f>IF(E663="EUC",COUNTIFS(C673:C697,"TCF",E673:E697,"12"),"")</f>
        <v>0</v>
      </c>
      <c r="AM677" s="109">
        <f t="shared" si="286"/>
        <v>0</v>
      </c>
      <c r="AN677" s="109">
        <f t="shared" si="287"/>
        <v>0</v>
      </c>
      <c r="AO677" s="109" t="str">
        <f t="shared" si="288"/>
        <v/>
      </c>
      <c r="AQ677" s="109" t="str">
        <f t="shared" si="289"/>
        <v/>
      </c>
      <c r="BA677" s="229">
        <f>MOD(SUM(E673:E678),12)</f>
        <v>0</v>
      </c>
    </row>
    <row r="678" spans="1:53" ht="15.75" thickBot="1" x14ac:dyDescent="0.3">
      <c r="A678" s="88"/>
      <c r="B678" s="66" t="s">
        <v>283</v>
      </c>
      <c r="C678" s="67"/>
      <c r="D678" s="102"/>
      <c r="E678" s="32"/>
      <c r="F678" s="32"/>
      <c r="G678" s="68" t="s">
        <v>277</v>
      </c>
      <c r="H678" s="69">
        <f t="shared" si="290"/>
        <v>0</v>
      </c>
      <c r="I678" s="70">
        <f t="shared" si="291"/>
        <v>0</v>
      </c>
      <c r="J678" s="73" t="str">
        <f t="shared" si="292"/>
        <v>--</v>
      </c>
      <c r="K678" s="32"/>
      <c r="L678" s="233"/>
      <c r="M678" s="277"/>
      <c r="N678" s="277"/>
      <c r="O678" s="277"/>
      <c r="P678" s="277"/>
      <c r="Q678" s="277"/>
      <c r="R678" s="277"/>
      <c r="S678" s="277"/>
      <c r="T678" s="277"/>
      <c r="U678" s="278"/>
      <c r="V678" s="103"/>
      <c r="W678" s="72"/>
      <c r="X678" s="72"/>
      <c r="Y678" s="72"/>
      <c r="Z678" s="45">
        <v>14</v>
      </c>
      <c r="AA678" s="77">
        <f t="shared" si="293"/>
        <v>157</v>
      </c>
      <c r="AB678" s="77">
        <f t="shared" si="294"/>
        <v>168</v>
      </c>
      <c r="AC678" s="72">
        <f t="shared" si="281"/>
        <v>1</v>
      </c>
      <c r="AD678" s="72">
        <f t="shared" si="282"/>
        <v>1</v>
      </c>
      <c r="AE678" s="109" t="str">
        <f t="shared" si="283"/>
        <v>0-0</v>
      </c>
      <c r="AF678" s="109" t="str">
        <f t="shared" si="284"/>
        <v>Y</v>
      </c>
      <c r="AG678" s="109" t="str">
        <f t="shared" si="285"/>
        <v>B</v>
      </c>
      <c r="AM678" s="109">
        <f t="shared" si="286"/>
        <v>0</v>
      </c>
      <c r="AN678" s="109">
        <f t="shared" si="287"/>
        <v>0</v>
      </c>
      <c r="AO678" s="109" t="str">
        <f t="shared" si="288"/>
        <v/>
      </c>
      <c r="AQ678" s="109" t="str">
        <f t="shared" si="289"/>
        <v/>
      </c>
      <c r="BA678" s="229">
        <f>MOD(SUM(E673:E679),12)</f>
        <v>0</v>
      </c>
    </row>
    <row r="679" spans="1:53" ht="15.75" thickBot="1" x14ac:dyDescent="0.3">
      <c r="A679" s="88"/>
      <c r="B679" s="66" t="s">
        <v>284</v>
      </c>
      <c r="C679" s="67"/>
      <c r="D679" s="102"/>
      <c r="E679" s="32"/>
      <c r="F679" s="32"/>
      <c r="G679" s="68" t="s">
        <v>277</v>
      </c>
      <c r="H679" s="69">
        <f t="shared" si="290"/>
        <v>0</v>
      </c>
      <c r="I679" s="70">
        <f t="shared" si="291"/>
        <v>0</v>
      </c>
      <c r="J679" s="73" t="str">
        <f t="shared" si="292"/>
        <v>--</v>
      </c>
      <c r="K679" s="32"/>
      <c r="L679" s="233"/>
      <c r="M679" s="277"/>
      <c r="N679" s="277"/>
      <c r="O679" s="277"/>
      <c r="P679" s="277"/>
      <c r="Q679" s="277"/>
      <c r="R679" s="277"/>
      <c r="S679" s="277"/>
      <c r="T679" s="277"/>
      <c r="U679" s="278"/>
      <c r="V679" s="103"/>
      <c r="W679" s="72"/>
      <c r="X679" s="72"/>
      <c r="Y679" s="72"/>
      <c r="Z679" s="45">
        <v>15</v>
      </c>
      <c r="AA679" s="77">
        <f t="shared" si="293"/>
        <v>169</v>
      </c>
      <c r="AB679" s="77">
        <f t="shared" si="294"/>
        <v>180</v>
      </c>
      <c r="AC679" s="72">
        <f t="shared" si="281"/>
        <v>1</v>
      </c>
      <c r="AD679" s="72">
        <f t="shared" si="282"/>
        <v>1</v>
      </c>
      <c r="AE679" s="109" t="str">
        <f t="shared" si="283"/>
        <v>0-0</v>
      </c>
      <c r="AF679" s="109" t="str">
        <f t="shared" si="284"/>
        <v>Y</v>
      </c>
      <c r="AG679" s="109" t="str">
        <f t="shared" si="285"/>
        <v>B</v>
      </c>
      <c r="AM679" s="109">
        <f t="shared" si="286"/>
        <v>0</v>
      </c>
      <c r="AN679" s="109">
        <f t="shared" si="287"/>
        <v>0</v>
      </c>
      <c r="AO679" s="109" t="str">
        <f t="shared" si="288"/>
        <v/>
      </c>
      <c r="AQ679" s="109" t="str">
        <f t="shared" si="289"/>
        <v/>
      </c>
      <c r="BA679" s="229">
        <f>MOD(SUM(E673:E680),12)</f>
        <v>0</v>
      </c>
    </row>
    <row r="680" spans="1:53" ht="15.75" thickBot="1" x14ac:dyDescent="0.3">
      <c r="A680" s="88"/>
      <c r="B680" s="66" t="s">
        <v>285</v>
      </c>
      <c r="C680" s="67"/>
      <c r="D680" s="102"/>
      <c r="E680" s="32"/>
      <c r="F680" s="32"/>
      <c r="G680" s="68" t="s">
        <v>277</v>
      </c>
      <c r="H680" s="69">
        <f t="shared" si="290"/>
        <v>0</v>
      </c>
      <c r="I680" s="70">
        <f t="shared" si="291"/>
        <v>0</v>
      </c>
      <c r="J680" s="73" t="str">
        <f t="shared" si="292"/>
        <v>--</v>
      </c>
      <c r="K680" s="32"/>
      <c r="L680" s="233"/>
      <c r="M680" s="277"/>
      <c r="N680" s="277"/>
      <c r="O680" s="277"/>
      <c r="P680" s="277"/>
      <c r="Q680" s="277"/>
      <c r="R680" s="277"/>
      <c r="S680" s="277"/>
      <c r="T680" s="277"/>
      <c r="U680" s="278"/>
      <c r="V680" s="103"/>
      <c r="W680" s="72"/>
      <c r="X680" s="72"/>
      <c r="Y680" s="72"/>
      <c r="Z680" s="45">
        <f>Z679+1</f>
        <v>16</v>
      </c>
      <c r="AA680" s="77">
        <f t="shared" si="293"/>
        <v>181</v>
      </c>
      <c r="AB680" s="77">
        <f t="shared" si="294"/>
        <v>192</v>
      </c>
      <c r="AC680" s="72">
        <f t="shared" si="281"/>
        <v>1</v>
      </c>
      <c r="AD680" s="72">
        <f t="shared" si="282"/>
        <v>1</v>
      </c>
      <c r="AE680" s="109" t="str">
        <f t="shared" si="283"/>
        <v>0-0</v>
      </c>
      <c r="AF680" s="109" t="str">
        <f t="shared" si="284"/>
        <v>Y</v>
      </c>
      <c r="AG680" s="109" t="str">
        <f t="shared" si="285"/>
        <v>B</v>
      </c>
      <c r="AM680" s="109">
        <f t="shared" si="286"/>
        <v>0</v>
      </c>
      <c r="AN680" s="109">
        <f t="shared" si="287"/>
        <v>0</v>
      </c>
      <c r="AO680" s="109" t="str">
        <f t="shared" si="288"/>
        <v/>
      </c>
      <c r="AQ680" s="109" t="str">
        <f t="shared" si="289"/>
        <v/>
      </c>
      <c r="BA680" s="229">
        <f>MOD(SUM(E673:E681),12)</f>
        <v>0</v>
      </c>
    </row>
    <row r="681" spans="1:53" ht="15.75" thickBot="1" x14ac:dyDescent="0.3">
      <c r="A681" s="88"/>
      <c r="B681" s="66" t="s">
        <v>286</v>
      </c>
      <c r="C681" s="67"/>
      <c r="D681" s="102"/>
      <c r="E681" s="32"/>
      <c r="F681" s="32"/>
      <c r="G681" s="68" t="s">
        <v>277</v>
      </c>
      <c r="H681" s="69">
        <f t="shared" si="290"/>
        <v>0</v>
      </c>
      <c r="I681" s="70">
        <f t="shared" si="291"/>
        <v>0</v>
      </c>
      <c r="J681" s="73" t="str">
        <f t="shared" si="292"/>
        <v>--</v>
      </c>
      <c r="K681" s="32"/>
      <c r="L681" s="233"/>
      <c r="M681" s="277"/>
      <c r="N681" s="277"/>
      <c r="O681" s="277"/>
      <c r="P681" s="277"/>
      <c r="Q681" s="277"/>
      <c r="R681" s="277"/>
      <c r="S681" s="277"/>
      <c r="T681" s="277"/>
      <c r="U681" s="278"/>
      <c r="V681" s="103"/>
      <c r="W681" s="72"/>
      <c r="X681" s="72"/>
      <c r="Y681" s="72"/>
      <c r="Z681" s="45">
        <f>Z680+1</f>
        <v>17</v>
      </c>
      <c r="AA681" s="77">
        <f t="shared" si="293"/>
        <v>193</v>
      </c>
      <c r="AB681" s="77">
        <f t="shared" si="294"/>
        <v>204</v>
      </c>
      <c r="AC681" s="72">
        <f t="shared" si="281"/>
        <v>1</v>
      </c>
      <c r="AD681" s="72">
        <f t="shared" si="282"/>
        <v>1</v>
      </c>
      <c r="AE681" s="109" t="str">
        <f t="shared" si="283"/>
        <v>0-0</v>
      </c>
      <c r="AF681" s="109" t="str">
        <f t="shared" si="284"/>
        <v>Y</v>
      </c>
      <c r="AG681" s="109" t="str">
        <f t="shared" si="285"/>
        <v>B</v>
      </c>
      <c r="AM681" s="109">
        <f t="shared" si="286"/>
        <v>0</v>
      </c>
      <c r="AN681" s="109">
        <f t="shared" si="287"/>
        <v>0</v>
      </c>
      <c r="AO681" s="109" t="str">
        <f t="shared" si="288"/>
        <v/>
      </c>
      <c r="AQ681" s="109" t="str">
        <f t="shared" si="289"/>
        <v/>
      </c>
      <c r="BA681" s="229">
        <f>MOD(SUM(E673:E682),12)</f>
        <v>0</v>
      </c>
    </row>
    <row r="682" spans="1:53" ht="15.75" thickBot="1" x14ac:dyDescent="0.3">
      <c r="A682" s="88"/>
      <c r="B682" s="66" t="s">
        <v>287</v>
      </c>
      <c r="C682" s="67"/>
      <c r="D682" s="102"/>
      <c r="E682" s="32"/>
      <c r="F682" s="32"/>
      <c r="G682" s="68" t="s">
        <v>277</v>
      </c>
      <c r="H682" s="69">
        <f t="shared" si="290"/>
        <v>0</v>
      </c>
      <c r="I682" s="70">
        <f t="shared" si="291"/>
        <v>0</v>
      </c>
      <c r="J682" s="73" t="str">
        <f t="shared" si="292"/>
        <v>--</v>
      </c>
      <c r="K682" s="32"/>
      <c r="L682" s="233"/>
      <c r="M682" s="277"/>
      <c r="N682" s="277"/>
      <c r="O682" s="277"/>
      <c r="P682" s="277"/>
      <c r="Q682" s="277"/>
      <c r="R682" s="277"/>
      <c r="S682" s="277"/>
      <c r="T682" s="277"/>
      <c r="U682" s="278"/>
      <c r="V682" s="103"/>
      <c r="W682" s="72"/>
      <c r="X682" s="72"/>
      <c r="Y682" s="72"/>
      <c r="Z682" s="45">
        <f>Z681+1</f>
        <v>18</v>
      </c>
      <c r="AA682" s="77">
        <f t="shared" si="293"/>
        <v>205</v>
      </c>
      <c r="AB682" s="77">
        <f t="shared" si="294"/>
        <v>216</v>
      </c>
      <c r="AC682" s="72">
        <f t="shared" si="281"/>
        <v>1</v>
      </c>
      <c r="AD682" s="72">
        <f t="shared" si="282"/>
        <v>1</v>
      </c>
      <c r="AE682" s="109" t="str">
        <f t="shared" si="283"/>
        <v>0-0</v>
      </c>
      <c r="AF682" s="109" t="str">
        <f t="shared" si="284"/>
        <v>Y</v>
      </c>
      <c r="AG682" s="109" t="str">
        <f t="shared" si="285"/>
        <v>B</v>
      </c>
      <c r="AM682" s="109">
        <f t="shared" si="286"/>
        <v>0</v>
      </c>
      <c r="AN682" s="109">
        <f t="shared" si="287"/>
        <v>0</v>
      </c>
      <c r="AO682" s="109" t="str">
        <f t="shared" si="288"/>
        <v/>
      </c>
      <c r="AQ682" s="109" t="str">
        <f t="shared" si="289"/>
        <v/>
      </c>
      <c r="BA682" s="229">
        <f>MOD(SUM(E673:E683),12)</f>
        <v>0</v>
      </c>
    </row>
    <row r="683" spans="1:53" ht="15.75" thickBot="1" x14ac:dyDescent="0.3">
      <c r="A683" s="88"/>
      <c r="B683" s="66" t="s">
        <v>288</v>
      </c>
      <c r="C683" s="67"/>
      <c r="D683" s="102"/>
      <c r="E683" s="32"/>
      <c r="F683" s="32"/>
      <c r="G683" s="68" t="s">
        <v>277</v>
      </c>
      <c r="H683" s="69">
        <f t="shared" si="290"/>
        <v>0</v>
      </c>
      <c r="I683" s="70">
        <f t="shared" si="291"/>
        <v>0</v>
      </c>
      <c r="J683" s="73" t="str">
        <f t="shared" si="292"/>
        <v>--</v>
      </c>
      <c r="K683" s="32"/>
      <c r="L683" s="233"/>
      <c r="M683" s="277"/>
      <c r="N683" s="277"/>
      <c r="O683" s="277"/>
      <c r="P683" s="277"/>
      <c r="Q683" s="277"/>
      <c r="R683" s="277"/>
      <c r="S683" s="277"/>
      <c r="T683" s="277"/>
      <c r="U683" s="278"/>
      <c r="V683" s="103"/>
      <c r="W683" s="84"/>
      <c r="X683" s="84"/>
      <c r="Y683" s="72"/>
      <c r="Z683" s="72"/>
      <c r="AA683" s="72"/>
      <c r="AB683" s="72"/>
      <c r="AC683" s="72">
        <f t="shared" si="281"/>
        <v>1</v>
      </c>
      <c r="AD683" s="72">
        <f t="shared" si="282"/>
        <v>1</v>
      </c>
      <c r="AE683" s="109" t="str">
        <f t="shared" si="283"/>
        <v>0-0</v>
      </c>
      <c r="AF683" s="109" t="str">
        <f t="shared" si="284"/>
        <v>Y</v>
      </c>
      <c r="AG683" s="109" t="str">
        <f t="shared" si="285"/>
        <v>B</v>
      </c>
      <c r="AM683" s="109">
        <f t="shared" si="286"/>
        <v>0</v>
      </c>
      <c r="AN683" s="109">
        <f t="shared" si="287"/>
        <v>0</v>
      </c>
      <c r="AO683" s="109" t="str">
        <f t="shared" si="288"/>
        <v/>
      </c>
      <c r="AQ683" s="109" t="str">
        <f t="shared" si="289"/>
        <v/>
      </c>
      <c r="BA683" s="229">
        <f>MOD(SUM(E673:E684),12)</f>
        <v>0</v>
      </c>
    </row>
    <row r="684" spans="1:53" ht="15.75" thickBot="1" x14ac:dyDescent="0.3">
      <c r="A684" s="88"/>
      <c r="B684" s="66" t="s">
        <v>289</v>
      </c>
      <c r="C684" s="67"/>
      <c r="D684" s="102"/>
      <c r="E684" s="32"/>
      <c r="F684" s="32"/>
      <c r="G684" s="68" t="s">
        <v>277</v>
      </c>
      <c r="H684" s="69">
        <f t="shared" si="290"/>
        <v>0</v>
      </c>
      <c r="I684" s="70">
        <f t="shared" si="291"/>
        <v>0</v>
      </c>
      <c r="J684" s="73" t="str">
        <f t="shared" si="292"/>
        <v>--</v>
      </c>
      <c r="K684" s="32"/>
      <c r="L684" s="233"/>
      <c r="M684" s="277"/>
      <c r="N684" s="277"/>
      <c r="O684" s="277"/>
      <c r="P684" s="277"/>
      <c r="Q684" s="277"/>
      <c r="R684" s="277"/>
      <c r="S684" s="277"/>
      <c r="T684" s="277"/>
      <c r="U684" s="278"/>
      <c r="V684" s="103"/>
      <c r="W684" s="84">
        <f>Y684+1</f>
        <v>73</v>
      </c>
      <c r="X684" s="84"/>
      <c r="Y684" s="78">
        <f>SUM(E673:E684)</f>
        <v>72</v>
      </c>
      <c r="Z684" s="72"/>
      <c r="AA684" s="72"/>
      <c r="AB684" s="72"/>
      <c r="AC684" s="72">
        <f t="shared" si="281"/>
        <v>1</v>
      </c>
      <c r="AD684" s="72">
        <f t="shared" si="282"/>
        <v>1</v>
      </c>
      <c r="AE684" s="109" t="str">
        <f t="shared" si="283"/>
        <v>0-0</v>
      </c>
      <c r="AF684" s="109" t="str">
        <f t="shared" si="284"/>
        <v>Y</v>
      </c>
      <c r="AG684" s="109" t="str">
        <f t="shared" si="285"/>
        <v>B</v>
      </c>
      <c r="AM684" s="109">
        <f t="shared" si="286"/>
        <v>0</v>
      </c>
      <c r="AN684" s="109">
        <f t="shared" si="287"/>
        <v>0</v>
      </c>
      <c r="AO684" s="109" t="str">
        <f t="shared" si="288"/>
        <v/>
      </c>
      <c r="AQ684" s="109" t="str">
        <f t="shared" si="289"/>
        <v/>
      </c>
      <c r="BA684" s="229">
        <f>MOD(SUM(E673:E685),12)</f>
        <v>0</v>
      </c>
    </row>
    <row r="685" spans="1:53" ht="15.75" thickBot="1" x14ac:dyDescent="0.3">
      <c r="A685" s="88"/>
      <c r="B685" s="66" t="s">
        <v>290</v>
      </c>
      <c r="C685" s="67"/>
      <c r="D685" s="102"/>
      <c r="E685" s="32"/>
      <c r="F685" s="32"/>
      <c r="G685" s="68" t="s">
        <v>277</v>
      </c>
      <c r="H685" s="69">
        <f t="shared" si="290"/>
        <v>0</v>
      </c>
      <c r="I685" s="70">
        <f t="shared" si="291"/>
        <v>0</v>
      </c>
      <c r="J685" s="73" t="str">
        <f t="shared" si="292"/>
        <v>--</v>
      </c>
      <c r="K685" s="32"/>
      <c r="L685" s="233"/>
      <c r="M685" s="277"/>
      <c r="N685" s="277"/>
      <c r="O685" s="277"/>
      <c r="P685" s="277"/>
      <c r="Q685" s="277"/>
      <c r="R685" s="277"/>
      <c r="S685" s="277"/>
      <c r="T685" s="277"/>
      <c r="U685" s="278"/>
      <c r="V685" s="103"/>
      <c r="W685" s="84">
        <f>Y685+1</f>
        <v>73</v>
      </c>
      <c r="X685" s="84"/>
      <c r="Y685" s="78">
        <f>SUM(E673:E685)</f>
        <v>72</v>
      </c>
      <c r="Z685" s="72" t="str">
        <f t="shared" ref="Z685:Z697" si="295">IF(OR(AND(E$8=216,C684="DBL REV",C685="DBL REV",Y684&lt;=144,Y685&gt;144),AND(E$8=216,C684="TPL REV",C685="TPL REV",Y684&lt;=144,Y685&gt;144),AND(E$8=216,C684="QD REV",C685="QD REV",Y684&lt;=144,Y685&gt;144)),"ERROR","")</f>
        <v/>
      </c>
      <c r="AA685" s="72"/>
      <c r="AB685" s="72"/>
      <c r="AC685" s="72">
        <f t="shared" si="281"/>
        <v>1</v>
      </c>
      <c r="AD685" s="72">
        <f t="shared" si="282"/>
        <v>1</v>
      </c>
      <c r="AE685" s="109" t="str">
        <f t="shared" si="283"/>
        <v>0-0</v>
      </c>
      <c r="AF685" s="109" t="str">
        <f t="shared" si="284"/>
        <v>Y</v>
      </c>
      <c r="AG685" s="109" t="str">
        <f t="shared" si="285"/>
        <v>B</v>
      </c>
      <c r="AM685" s="109">
        <f t="shared" si="286"/>
        <v>0</v>
      </c>
      <c r="AN685" s="109">
        <f t="shared" si="287"/>
        <v>0</v>
      </c>
      <c r="AO685" s="109" t="str">
        <f t="shared" si="288"/>
        <v/>
      </c>
      <c r="AQ685" s="109" t="str">
        <f t="shared" si="289"/>
        <v/>
      </c>
      <c r="BA685" s="229">
        <f>MOD(SUM(E673:E686),12)</f>
        <v>0</v>
      </c>
    </row>
    <row r="686" spans="1:53" ht="15.75" thickBot="1" x14ac:dyDescent="0.3">
      <c r="A686" s="88"/>
      <c r="B686" s="66" t="s">
        <v>291</v>
      </c>
      <c r="C686" s="67"/>
      <c r="D686" s="102"/>
      <c r="E686" s="32"/>
      <c r="F686" s="32"/>
      <c r="G686" s="68" t="s">
        <v>277</v>
      </c>
      <c r="H686" s="69">
        <f t="shared" si="290"/>
        <v>0</v>
      </c>
      <c r="I686" s="70">
        <f t="shared" si="291"/>
        <v>0</v>
      </c>
      <c r="J686" s="73" t="str">
        <f t="shared" si="292"/>
        <v>--</v>
      </c>
      <c r="K686" s="32"/>
      <c r="L686" s="233"/>
      <c r="M686" s="277"/>
      <c r="N686" s="277"/>
      <c r="O686" s="277"/>
      <c r="P686" s="277"/>
      <c r="Q686" s="277"/>
      <c r="R686" s="277"/>
      <c r="S686" s="277"/>
      <c r="T686" s="277"/>
      <c r="U686" s="278"/>
      <c r="V686" s="103"/>
      <c r="W686" s="84">
        <f>Y686+1</f>
        <v>73</v>
      </c>
      <c r="X686" s="84"/>
      <c r="Y686" s="78">
        <f>SUM(E673:E686)</f>
        <v>72</v>
      </c>
      <c r="Z686" s="72" t="str">
        <f t="shared" si="295"/>
        <v/>
      </c>
      <c r="AA686" s="72"/>
      <c r="AB686" s="72"/>
      <c r="AC686" s="72">
        <f t="shared" si="281"/>
        <v>1</v>
      </c>
      <c r="AD686" s="72">
        <f t="shared" si="282"/>
        <v>1</v>
      </c>
      <c r="AE686" s="109" t="str">
        <f t="shared" si="283"/>
        <v>0-0</v>
      </c>
      <c r="AF686" s="109" t="str">
        <f t="shared" si="284"/>
        <v>Y</v>
      </c>
      <c r="AG686" s="109" t="str">
        <f t="shared" si="285"/>
        <v>B</v>
      </c>
      <c r="AM686" s="109">
        <f t="shared" si="286"/>
        <v>0</v>
      </c>
      <c r="AN686" s="109">
        <f t="shared" si="287"/>
        <v>0</v>
      </c>
      <c r="AO686" s="109" t="str">
        <f t="shared" si="288"/>
        <v/>
      </c>
      <c r="AQ686" s="109" t="str">
        <f t="shared" si="289"/>
        <v/>
      </c>
      <c r="BA686" s="229">
        <f>MOD(SUM(E673:E687),12)</f>
        <v>0</v>
      </c>
    </row>
    <row r="687" spans="1:53" ht="15.75" thickBot="1" x14ac:dyDescent="0.3">
      <c r="A687" s="88"/>
      <c r="B687" s="66" t="s">
        <v>292</v>
      </c>
      <c r="C687" s="67"/>
      <c r="D687" s="102"/>
      <c r="E687" s="32"/>
      <c r="F687" s="32"/>
      <c r="G687" s="68" t="s">
        <v>277</v>
      </c>
      <c r="H687" s="69">
        <f t="shared" si="290"/>
        <v>0</v>
      </c>
      <c r="I687" s="70">
        <f t="shared" si="291"/>
        <v>0</v>
      </c>
      <c r="J687" s="73" t="str">
        <f t="shared" si="292"/>
        <v>--</v>
      </c>
      <c r="K687" s="32"/>
      <c r="L687" s="233"/>
      <c r="M687" s="277"/>
      <c r="N687" s="277"/>
      <c r="O687" s="277"/>
      <c r="P687" s="277"/>
      <c r="Q687" s="277"/>
      <c r="R687" s="277"/>
      <c r="S687" s="277"/>
      <c r="T687" s="277"/>
      <c r="U687" s="278"/>
      <c r="V687" s="103"/>
      <c r="W687" s="84">
        <f>Y687+1</f>
        <v>73</v>
      </c>
      <c r="X687" s="84"/>
      <c r="Y687" s="78">
        <f>SUM(E673:E687)</f>
        <v>72</v>
      </c>
      <c r="Z687" s="72" t="str">
        <f t="shared" si="295"/>
        <v/>
      </c>
      <c r="AA687" s="72" t="str">
        <f t="shared" ref="AA687:AA699" si="296">IF(AND(C685&lt;&gt;"Field SPL",W684&lt;=144,Y685&gt;144),"ERROR","")</f>
        <v/>
      </c>
      <c r="AB687" s="72"/>
      <c r="AC687" s="72">
        <f t="shared" si="281"/>
        <v>1</v>
      </c>
      <c r="AD687" s="72">
        <f t="shared" si="282"/>
        <v>1</v>
      </c>
      <c r="AE687" s="109" t="str">
        <f t="shared" si="283"/>
        <v>0-0</v>
      </c>
      <c r="AF687" s="109" t="str">
        <f t="shared" si="284"/>
        <v>Y</v>
      </c>
      <c r="AG687" s="109" t="str">
        <f t="shared" si="285"/>
        <v>B</v>
      </c>
      <c r="AM687" s="109">
        <f t="shared" si="286"/>
        <v>0</v>
      </c>
      <c r="AN687" s="109">
        <f t="shared" si="287"/>
        <v>0</v>
      </c>
      <c r="AO687" s="109" t="str">
        <f t="shared" si="288"/>
        <v/>
      </c>
      <c r="AQ687" s="109" t="str">
        <f t="shared" si="289"/>
        <v/>
      </c>
      <c r="BA687" s="229">
        <f>MOD(SUM(E673:E688),12)</f>
        <v>0</v>
      </c>
    </row>
    <row r="688" spans="1:53" ht="15.75" thickBot="1" x14ac:dyDescent="0.3">
      <c r="A688" s="88"/>
      <c r="B688" s="66" t="s">
        <v>293</v>
      </c>
      <c r="C688" s="67"/>
      <c r="D688" s="102"/>
      <c r="E688" s="32"/>
      <c r="F688" s="32"/>
      <c r="G688" s="68" t="s">
        <v>277</v>
      </c>
      <c r="H688" s="69">
        <f t="shared" si="290"/>
        <v>0</v>
      </c>
      <c r="I688" s="70">
        <f t="shared" si="291"/>
        <v>0</v>
      </c>
      <c r="J688" s="73" t="str">
        <f t="shared" si="292"/>
        <v>--</v>
      </c>
      <c r="K688" s="32"/>
      <c r="L688" s="233"/>
      <c r="M688" s="277"/>
      <c r="N688" s="277"/>
      <c r="O688" s="277"/>
      <c r="P688" s="277"/>
      <c r="Q688" s="277"/>
      <c r="R688" s="277"/>
      <c r="S688" s="277"/>
      <c r="T688" s="277"/>
      <c r="U688" s="278"/>
      <c r="V688" s="103"/>
      <c r="W688" s="84">
        <f t="shared" ref="W688:W696" si="297">Y688+1</f>
        <v>73</v>
      </c>
      <c r="X688" s="84"/>
      <c r="Y688" s="78">
        <f>SUM(E673:E688)</f>
        <v>72</v>
      </c>
      <c r="Z688" s="72" t="str">
        <f t="shared" si="295"/>
        <v/>
      </c>
      <c r="AA688" s="72" t="str">
        <f t="shared" si="296"/>
        <v/>
      </c>
      <c r="AB688" s="72"/>
      <c r="AC688" s="72">
        <f t="shared" si="281"/>
        <v>1</v>
      </c>
      <c r="AD688" s="72">
        <f t="shared" si="282"/>
        <v>1</v>
      </c>
      <c r="AE688" s="109" t="str">
        <f t="shared" si="283"/>
        <v>0-0</v>
      </c>
      <c r="AF688" s="109" t="str">
        <f t="shared" si="284"/>
        <v>Y</v>
      </c>
      <c r="AG688" s="109" t="str">
        <f t="shared" si="285"/>
        <v>B</v>
      </c>
      <c r="AM688" s="109">
        <f t="shared" si="286"/>
        <v>0</v>
      </c>
      <c r="AN688" s="109">
        <f t="shared" si="287"/>
        <v>0</v>
      </c>
      <c r="AO688" s="109" t="str">
        <f t="shared" si="288"/>
        <v/>
      </c>
      <c r="AQ688" s="109" t="str">
        <f t="shared" si="289"/>
        <v/>
      </c>
      <c r="BA688" s="229">
        <f>MOD(SUM(E673:E689),12)</f>
        <v>0</v>
      </c>
    </row>
    <row r="689" spans="1:53" ht="15.75" thickBot="1" x14ac:dyDescent="0.3">
      <c r="A689" s="88"/>
      <c r="B689" s="66" t="s">
        <v>294</v>
      </c>
      <c r="C689" s="67"/>
      <c r="D689" s="102"/>
      <c r="E689" s="32"/>
      <c r="F689" s="32"/>
      <c r="G689" s="68" t="s">
        <v>277</v>
      </c>
      <c r="H689" s="69">
        <f t="shared" si="290"/>
        <v>0</v>
      </c>
      <c r="I689" s="70">
        <f t="shared" si="291"/>
        <v>0</v>
      </c>
      <c r="J689" s="73" t="str">
        <f t="shared" si="292"/>
        <v>--</v>
      </c>
      <c r="K689" s="32"/>
      <c r="L689" s="233"/>
      <c r="M689" s="277"/>
      <c r="N689" s="277"/>
      <c r="O689" s="277"/>
      <c r="P689" s="277"/>
      <c r="Q689" s="277"/>
      <c r="R689" s="277"/>
      <c r="S689" s="277"/>
      <c r="T689" s="277"/>
      <c r="U689" s="278"/>
      <c r="V689" s="103"/>
      <c r="W689" s="84">
        <f t="shared" si="297"/>
        <v>73</v>
      </c>
      <c r="X689" s="84"/>
      <c r="Y689" s="78">
        <f>SUM(E673:E689)</f>
        <v>72</v>
      </c>
      <c r="Z689" s="72" t="str">
        <f t="shared" si="295"/>
        <v/>
      </c>
      <c r="AA689" s="72" t="str">
        <f t="shared" si="296"/>
        <v/>
      </c>
      <c r="AB689" s="72"/>
      <c r="AC689" s="72">
        <f t="shared" si="281"/>
        <v>1</v>
      </c>
      <c r="AD689" s="72">
        <f t="shared" si="282"/>
        <v>1</v>
      </c>
      <c r="AE689" s="109" t="str">
        <f t="shared" si="283"/>
        <v>0-0</v>
      </c>
      <c r="AF689" s="109" t="str">
        <f t="shared" si="284"/>
        <v>Y</v>
      </c>
      <c r="AG689" s="109" t="str">
        <f t="shared" si="285"/>
        <v>B</v>
      </c>
      <c r="AM689" s="109">
        <f t="shared" si="286"/>
        <v>0</v>
      </c>
      <c r="AN689" s="109">
        <f t="shared" si="287"/>
        <v>0</v>
      </c>
      <c r="AO689" s="109" t="str">
        <f t="shared" si="288"/>
        <v/>
      </c>
      <c r="AQ689" s="109" t="str">
        <f t="shared" si="289"/>
        <v/>
      </c>
      <c r="BA689" s="229">
        <f>MOD(SUM(E673:E690),12)</f>
        <v>0</v>
      </c>
    </row>
    <row r="690" spans="1:53" ht="15.75" thickBot="1" x14ac:dyDescent="0.3">
      <c r="A690" s="88"/>
      <c r="B690" s="66" t="s">
        <v>295</v>
      </c>
      <c r="C690" s="67"/>
      <c r="D690" s="102"/>
      <c r="E690" s="32"/>
      <c r="F690" s="32"/>
      <c r="G690" s="68" t="s">
        <v>277</v>
      </c>
      <c r="H690" s="69">
        <f t="shared" si="290"/>
        <v>0</v>
      </c>
      <c r="I690" s="70">
        <f t="shared" si="291"/>
        <v>0</v>
      </c>
      <c r="J690" s="73" t="str">
        <f t="shared" si="292"/>
        <v>--</v>
      </c>
      <c r="K690" s="32"/>
      <c r="L690" s="233"/>
      <c r="M690" s="277"/>
      <c r="N690" s="277"/>
      <c r="O690" s="277"/>
      <c r="P690" s="277"/>
      <c r="Q690" s="277"/>
      <c r="R690" s="277"/>
      <c r="S690" s="277"/>
      <c r="T690" s="277"/>
      <c r="U690" s="278"/>
      <c r="V690" s="103"/>
      <c r="W690" s="84">
        <f t="shared" si="297"/>
        <v>73</v>
      </c>
      <c r="X690" s="84"/>
      <c r="Y690" s="78">
        <f>SUM(E673:E690)</f>
        <v>72</v>
      </c>
      <c r="Z690" s="72" t="str">
        <f t="shared" si="295"/>
        <v/>
      </c>
      <c r="AA690" s="72" t="str">
        <f t="shared" si="296"/>
        <v/>
      </c>
      <c r="AB690" s="72"/>
      <c r="AC690" s="72">
        <f t="shared" si="281"/>
        <v>1</v>
      </c>
      <c r="AD690" s="72">
        <f t="shared" si="282"/>
        <v>1</v>
      </c>
      <c r="AE690" s="109" t="str">
        <f t="shared" si="283"/>
        <v>0-0</v>
      </c>
      <c r="AF690" s="109" t="str">
        <f t="shared" si="284"/>
        <v>Y</v>
      </c>
      <c r="AG690" s="109" t="str">
        <f t="shared" si="285"/>
        <v>B</v>
      </c>
      <c r="AM690" s="109">
        <f t="shared" si="286"/>
        <v>0</v>
      </c>
      <c r="AN690" s="109">
        <f t="shared" si="287"/>
        <v>0</v>
      </c>
      <c r="AO690" s="109" t="str">
        <f t="shared" si="288"/>
        <v/>
      </c>
      <c r="AQ690" s="109" t="str">
        <f t="shared" si="289"/>
        <v/>
      </c>
      <c r="BA690" s="229">
        <f>MOD(SUM(E673:E691),12)</f>
        <v>0</v>
      </c>
    </row>
    <row r="691" spans="1:53" ht="15.75" thickBot="1" x14ac:dyDescent="0.3">
      <c r="A691" s="88"/>
      <c r="B691" s="66" t="s">
        <v>296</v>
      </c>
      <c r="C691" s="67"/>
      <c r="D691" s="102"/>
      <c r="E691" s="32"/>
      <c r="F691" s="32"/>
      <c r="G691" s="68" t="s">
        <v>277</v>
      </c>
      <c r="H691" s="69">
        <f t="shared" si="290"/>
        <v>0</v>
      </c>
      <c r="I691" s="70">
        <f t="shared" si="291"/>
        <v>0</v>
      </c>
      <c r="J691" s="73" t="str">
        <f t="shared" si="292"/>
        <v>--</v>
      </c>
      <c r="K691" s="32"/>
      <c r="L691" s="233"/>
      <c r="M691" s="277"/>
      <c r="N691" s="277"/>
      <c r="O691" s="277"/>
      <c r="P691" s="277"/>
      <c r="Q691" s="277"/>
      <c r="R691" s="277"/>
      <c r="S691" s="277"/>
      <c r="T691" s="277"/>
      <c r="U691" s="278"/>
      <c r="V691" s="103"/>
      <c r="W691" s="84">
        <f t="shared" si="297"/>
        <v>73</v>
      </c>
      <c r="X691" s="84"/>
      <c r="Y691" s="78">
        <f>SUM(E673:E691)</f>
        <v>72</v>
      </c>
      <c r="Z691" s="72" t="str">
        <f t="shared" si="295"/>
        <v/>
      </c>
      <c r="AA691" s="72" t="str">
        <f t="shared" si="296"/>
        <v/>
      </c>
      <c r="AB691" s="72"/>
      <c r="AC691" s="72">
        <f t="shared" si="281"/>
        <v>1</v>
      </c>
      <c r="AD691" s="72">
        <f t="shared" si="282"/>
        <v>1</v>
      </c>
      <c r="AE691" s="109" t="str">
        <f t="shared" si="283"/>
        <v>0-0</v>
      </c>
      <c r="AF691" s="109" t="str">
        <f t="shared" si="284"/>
        <v>Y</v>
      </c>
      <c r="AG691" s="109" t="str">
        <f t="shared" si="285"/>
        <v>B</v>
      </c>
      <c r="AM691" s="109">
        <f t="shared" si="286"/>
        <v>0</v>
      </c>
      <c r="AN691" s="109">
        <f t="shared" si="287"/>
        <v>0</v>
      </c>
      <c r="AO691" s="109" t="str">
        <f t="shared" si="288"/>
        <v/>
      </c>
      <c r="AQ691" s="109" t="str">
        <f t="shared" si="289"/>
        <v/>
      </c>
      <c r="BA691" s="229">
        <f>MOD(SUM(E673:E692),12)</f>
        <v>0</v>
      </c>
    </row>
    <row r="692" spans="1:53" ht="15.75" thickBot="1" x14ac:dyDescent="0.3">
      <c r="A692" s="88"/>
      <c r="B692" s="66" t="s">
        <v>297</v>
      </c>
      <c r="C692" s="67"/>
      <c r="D692" s="102"/>
      <c r="E692" s="32"/>
      <c r="F692" s="32"/>
      <c r="G692" s="68" t="s">
        <v>277</v>
      </c>
      <c r="H692" s="69">
        <f t="shared" si="290"/>
        <v>0</v>
      </c>
      <c r="I692" s="70">
        <f t="shared" si="291"/>
        <v>0</v>
      </c>
      <c r="J692" s="73" t="str">
        <f t="shared" si="292"/>
        <v>--</v>
      </c>
      <c r="K692" s="32"/>
      <c r="L692" s="233"/>
      <c r="M692" s="277"/>
      <c r="N692" s="277"/>
      <c r="O692" s="277"/>
      <c r="P692" s="277"/>
      <c r="Q692" s="277"/>
      <c r="R692" s="277"/>
      <c r="S692" s="277"/>
      <c r="T692" s="277"/>
      <c r="U692" s="278"/>
      <c r="V692" s="103"/>
      <c r="W692" s="84">
        <f t="shared" si="297"/>
        <v>73</v>
      </c>
      <c r="X692" s="84"/>
      <c r="Y692" s="78">
        <f>SUM(E673:E692)</f>
        <v>72</v>
      </c>
      <c r="Z692" s="72" t="str">
        <f t="shared" si="295"/>
        <v/>
      </c>
      <c r="AA692" s="72" t="str">
        <f t="shared" si="296"/>
        <v/>
      </c>
      <c r="AB692" s="72"/>
      <c r="AC692" s="72">
        <f t="shared" si="281"/>
        <v>1</v>
      </c>
      <c r="AD692" s="72">
        <f t="shared" si="282"/>
        <v>1</v>
      </c>
      <c r="AE692" s="109" t="str">
        <f t="shared" si="283"/>
        <v>0-0</v>
      </c>
      <c r="AF692" s="109" t="str">
        <f t="shared" si="284"/>
        <v>Y</v>
      </c>
      <c r="AG692" s="109" t="str">
        <f t="shared" si="285"/>
        <v>B</v>
      </c>
      <c r="AM692" s="109">
        <f t="shared" si="286"/>
        <v>0</v>
      </c>
      <c r="AN692" s="109">
        <f t="shared" si="287"/>
        <v>0</v>
      </c>
      <c r="AO692" s="109" t="str">
        <f t="shared" si="288"/>
        <v/>
      </c>
      <c r="AQ692" s="109" t="str">
        <f t="shared" si="289"/>
        <v/>
      </c>
      <c r="BA692" s="229">
        <f>MOD(SUM(E673:E693),12)</f>
        <v>0</v>
      </c>
    </row>
    <row r="693" spans="1:53" ht="15.75" thickBot="1" x14ac:dyDescent="0.3">
      <c r="A693" s="88"/>
      <c r="B693" s="66" t="s">
        <v>298</v>
      </c>
      <c r="C693" s="67"/>
      <c r="D693" s="102"/>
      <c r="E693" s="32"/>
      <c r="F693" s="32"/>
      <c r="G693" s="68" t="s">
        <v>277</v>
      </c>
      <c r="H693" s="69">
        <f t="shared" si="290"/>
        <v>0</v>
      </c>
      <c r="I693" s="70">
        <f t="shared" si="291"/>
        <v>0</v>
      </c>
      <c r="J693" s="73" t="str">
        <f t="shared" si="292"/>
        <v>--</v>
      </c>
      <c r="K693" s="32"/>
      <c r="L693" s="233"/>
      <c r="M693" s="277"/>
      <c r="N693" s="277"/>
      <c r="O693" s="277"/>
      <c r="P693" s="277"/>
      <c r="Q693" s="277"/>
      <c r="R693" s="277"/>
      <c r="S693" s="277"/>
      <c r="T693" s="277"/>
      <c r="U693" s="278"/>
      <c r="V693" s="103"/>
      <c r="W693" s="84">
        <f t="shared" si="297"/>
        <v>73</v>
      </c>
      <c r="X693" s="84"/>
      <c r="Y693" s="78">
        <f>SUM(E673:E693)</f>
        <v>72</v>
      </c>
      <c r="Z693" s="72" t="str">
        <f t="shared" si="295"/>
        <v/>
      </c>
      <c r="AA693" s="72" t="str">
        <f t="shared" si="296"/>
        <v/>
      </c>
      <c r="AB693" s="72"/>
      <c r="AC693" s="72">
        <f t="shared" si="281"/>
        <v>1</v>
      </c>
      <c r="AD693" s="72">
        <f t="shared" si="282"/>
        <v>1</v>
      </c>
      <c r="AE693" s="109" t="str">
        <f t="shared" si="283"/>
        <v>0-0</v>
      </c>
      <c r="AF693" s="109" t="str">
        <f t="shared" si="284"/>
        <v>Y</v>
      </c>
      <c r="AG693" s="109" t="str">
        <f t="shared" si="285"/>
        <v>B</v>
      </c>
      <c r="AM693" s="109">
        <f t="shared" si="286"/>
        <v>0</v>
      </c>
      <c r="AN693" s="109">
        <f t="shared" si="287"/>
        <v>0</v>
      </c>
      <c r="AO693" s="109" t="str">
        <f t="shared" si="288"/>
        <v/>
      </c>
      <c r="AQ693" s="109" t="str">
        <f t="shared" si="289"/>
        <v/>
      </c>
      <c r="BA693" s="229">
        <f>MOD(SUM(E673:E694),12)</f>
        <v>0</v>
      </c>
    </row>
    <row r="694" spans="1:53" ht="15.75" thickBot="1" x14ac:dyDescent="0.3">
      <c r="A694" s="88"/>
      <c r="B694" s="66" t="s">
        <v>299</v>
      </c>
      <c r="C694" s="67"/>
      <c r="D694" s="102"/>
      <c r="E694" s="32"/>
      <c r="F694" s="32"/>
      <c r="G694" s="68" t="s">
        <v>277</v>
      </c>
      <c r="H694" s="69">
        <f t="shared" si="290"/>
        <v>0</v>
      </c>
      <c r="I694" s="70">
        <f t="shared" si="291"/>
        <v>0</v>
      </c>
      <c r="J694" s="73" t="str">
        <f t="shared" si="292"/>
        <v>--</v>
      </c>
      <c r="K694" s="32"/>
      <c r="L694" s="233"/>
      <c r="M694" s="277"/>
      <c r="N694" s="277"/>
      <c r="O694" s="277"/>
      <c r="P694" s="277"/>
      <c r="Q694" s="277"/>
      <c r="R694" s="277"/>
      <c r="S694" s="277"/>
      <c r="T694" s="277"/>
      <c r="U694" s="278"/>
      <c r="V694" s="103"/>
      <c r="W694" s="84">
        <f t="shared" si="297"/>
        <v>73</v>
      </c>
      <c r="X694" s="84"/>
      <c r="Y694" s="78">
        <f>SUM(E673:E694)</f>
        <v>72</v>
      </c>
      <c r="Z694" s="72" t="str">
        <f t="shared" si="295"/>
        <v/>
      </c>
      <c r="AA694" s="72" t="str">
        <f t="shared" si="296"/>
        <v/>
      </c>
      <c r="AB694" s="72"/>
      <c r="AC694" s="72">
        <f t="shared" si="281"/>
        <v>1</v>
      </c>
      <c r="AD694" s="72">
        <f t="shared" si="282"/>
        <v>1</v>
      </c>
      <c r="AE694" s="109" t="str">
        <f t="shared" si="283"/>
        <v>0-0</v>
      </c>
      <c r="AF694" s="109" t="str">
        <f t="shared" si="284"/>
        <v>Y</v>
      </c>
      <c r="AG694" s="109" t="str">
        <f t="shared" si="285"/>
        <v>B</v>
      </c>
      <c r="AM694" s="109">
        <f t="shared" si="286"/>
        <v>0</v>
      </c>
      <c r="AN694" s="109">
        <f t="shared" si="287"/>
        <v>0</v>
      </c>
      <c r="AO694" s="109" t="str">
        <f t="shared" si="288"/>
        <v/>
      </c>
      <c r="AQ694" s="109" t="str">
        <f t="shared" si="289"/>
        <v/>
      </c>
      <c r="BA694" s="229">
        <f>MOD(SUM(E673:E695),12)</f>
        <v>0</v>
      </c>
    </row>
    <row r="695" spans="1:53" ht="15.75" thickBot="1" x14ac:dyDescent="0.3">
      <c r="A695" s="88"/>
      <c r="B695" s="66" t="s">
        <v>300</v>
      </c>
      <c r="C695" s="67"/>
      <c r="D695" s="102"/>
      <c r="E695" s="32"/>
      <c r="F695" s="32"/>
      <c r="G695" s="68" t="s">
        <v>277</v>
      </c>
      <c r="H695" s="69">
        <f t="shared" si="290"/>
        <v>0</v>
      </c>
      <c r="I695" s="70">
        <f t="shared" si="291"/>
        <v>0</v>
      </c>
      <c r="J695" s="73" t="str">
        <f t="shared" si="292"/>
        <v>--</v>
      </c>
      <c r="K695" s="32"/>
      <c r="L695" s="233"/>
      <c r="M695" s="277"/>
      <c r="N695" s="277"/>
      <c r="O695" s="277"/>
      <c r="P695" s="277"/>
      <c r="Q695" s="277"/>
      <c r="R695" s="277"/>
      <c r="S695" s="277"/>
      <c r="T695" s="277"/>
      <c r="U695" s="278"/>
      <c r="V695" s="103"/>
      <c r="W695" s="84">
        <f t="shared" si="297"/>
        <v>73</v>
      </c>
      <c r="X695" s="84"/>
      <c r="Y695" s="78">
        <f>SUM(E673:E695)</f>
        <v>72</v>
      </c>
      <c r="Z695" s="72" t="str">
        <f t="shared" si="295"/>
        <v/>
      </c>
      <c r="AA695" s="72" t="str">
        <f t="shared" si="296"/>
        <v/>
      </c>
      <c r="AB695" s="72"/>
      <c r="AC695" s="72">
        <f t="shared" si="281"/>
        <v>1</v>
      </c>
      <c r="AD695" s="72">
        <f t="shared" si="282"/>
        <v>1</v>
      </c>
      <c r="AE695" s="109" t="str">
        <f t="shared" si="283"/>
        <v>0-0</v>
      </c>
      <c r="AF695" s="109" t="str">
        <f t="shared" si="284"/>
        <v>Y</v>
      </c>
      <c r="AG695" s="109" t="str">
        <f t="shared" si="285"/>
        <v>B</v>
      </c>
      <c r="AM695" s="109">
        <f t="shared" si="286"/>
        <v>0</v>
      </c>
      <c r="AN695" s="109">
        <f t="shared" si="287"/>
        <v>0</v>
      </c>
      <c r="AO695" s="109" t="str">
        <f t="shared" si="288"/>
        <v/>
      </c>
      <c r="AQ695" s="109" t="str">
        <f t="shared" si="289"/>
        <v/>
      </c>
      <c r="BA695" s="229">
        <f>MOD(SUM(E673:E696),12)</f>
        <v>0</v>
      </c>
    </row>
    <row r="696" spans="1:53" ht="15.75" thickBot="1" x14ac:dyDescent="0.3">
      <c r="A696" s="88"/>
      <c r="B696" s="66" t="s">
        <v>301</v>
      </c>
      <c r="C696" s="67"/>
      <c r="D696" s="102"/>
      <c r="E696" s="32"/>
      <c r="F696" s="32"/>
      <c r="G696" s="68" t="s">
        <v>277</v>
      </c>
      <c r="H696" s="69">
        <f t="shared" si="290"/>
        <v>0</v>
      </c>
      <c r="I696" s="70">
        <f t="shared" si="291"/>
        <v>0</v>
      </c>
      <c r="J696" s="73" t="str">
        <f t="shared" si="292"/>
        <v>--</v>
      </c>
      <c r="K696" s="32"/>
      <c r="L696" s="233"/>
      <c r="M696" s="277"/>
      <c r="N696" s="277"/>
      <c r="O696" s="277"/>
      <c r="P696" s="277"/>
      <c r="Q696" s="277"/>
      <c r="R696" s="277"/>
      <c r="S696" s="277"/>
      <c r="T696" s="277"/>
      <c r="U696" s="278"/>
      <c r="V696" s="103"/>
      <c r="W696" s="84">
        <f t="shared" si="297"/>
        <v>73</v>
      </c>
      <c r="X696" s="84"/>
      <c r="Y696" s="78">
        <f>SUM(E673:E696)</f>
        <v>72</v>
      </c>
      <c r="Z696" s="72" t="str">
        <f t="shared" si="295"/>
        <v/>
      </c>
      <c r="AA696" s="72" t="str">
        <f t="shared" si="296"/>
        <v/>
      </c>
      <c r="AB696" s="72"/>
      <c r="AC696" s="72">
        <f t="shared" si="281"/>
        <v>1</v>
      </c>
      <c r="AD696" s="72">
        <f t="shared" si="282"/>
        <v>1</v>
      </c>
      <c r="AE696" s="109" t="str">
        <f t="shared" si="283"/>
        <v>0-0</v>
      </c>
      <c r="AF696" s="109" t="str">
        <f t="shared" si="284"/>
        <v>Y</v>
      </c>
      <c r="AG696" s="109" t="str">
        <f t="shared" si="285"/>
        <v>B</v>
      </c>
      <c r="AM696" s="109">
        <f t="shared" si="286"/>
        <v>0</v>
      </c>
      <c r="AN696" s="109">
        <f t="shared" si="287"/>
        <v>0</v>
      </c>
      <c r="AO696" s="109" t="str">
        <f t="shared" si="288"/>
        <v/>
      </c>
      <c r="AQ696" s="109" t="str">
        <f t="shared" si="289"/>
        <v/>
      </c>
      <c r="BA696" s="229">
        <f>MOD(SUM(E673:E697),12)</f>
        <v>0</v>
      </c>
    </row>
    <row r="697" spans="1:53" ht="15.75" thickBot="1" x14ac:dyDescent="0.3">
      <c r="A697" s="88"/>
      <c r="B697" s="66" t="s">
        <v>302</v>
      </c>
      <c r="C697" s="67"/>
      <c r="D697" s="102"/>
      <c r="E697" s="32"/>
      <c r="F697" s="32"/>
      <c r="G697" s="68" t="s">
        <v>277</v>
      </c>
      <c r="H697" s="69">
        <f t="shared" si="290"/>
        <v>0</v>
      </c>
      <c r="I697" s="70">
        <f t="shared" si="291"/>
        <v>0</v>
      </c>
      <c r="J697" s="73" t="str">
        <f t="shared" si="292"/>
        <v>--</v>
      </c>
      <c r="K697" s="32"/>
      <c r="L697" s="234"/>
      <c r="M697" s="277"/>
      <c r="N697" s="277"/>
      <c r="O697" s="277"/>
      <c r="P697" s="277"/>
      <c r="Q697" s="277"/>
      <c r="R697" s="277"/>
      <c r="S697" s="277"/>
      <c r="T697" s="277"/>
      <c r="U697" s="278"/>
      <c r="V697" s="103"/>
      <c r="W697" s="72"/>
      <c r="X697" s="72"/>
      <c r="Y697" s="78">
        <f>SUM(E673:E697)</f>
        <v>72</v>
      </c>
      <c r="Z697" s="72" t="str">
        <f t="shared" si="295"/>
        <v/>
      </c>
      <c r="AA697" s="72" t="str">
        <f t="shared" si="296"/>
        <v/>
      </c>
      <c r="AB697" s="72"/>
      <c r="AC697" s="72">
        <f t="shared" si="281"/>
        <v>1</v>
      </c>
      <c r="AD697" s="72">
        <f t="shared" si="282"/>
        <v>1</v>
      </c>
      <c r="AE697" s="109" t="str">
        <f t="shared" si="283"/>
        <v>0-0</v>
      </c>
      <c r="AF697" s="109" t="str">
        <f t="shared" si="284"/>
        <v>Y</v>
      </c>
      <c r="AG697" s="109" t="str">
        <f t="shared" si="285"/>
        <v>B</v>
      </c>
      <c r="AM697" s="109">
        <f t="shared" si="286"/>
        <v>0</v>
      </c>
      <c r="AN697" s="109">
        <f t="shared" si="287"/>
        <v>0</v>
      </c>
      <c r="AO697" s="109" t="str">
        <f t="shared" si="288"/>
        <v/>
      </c>
      <c r="AQ697" s="109" t="str">
        <f t="shared" si="289"/>
        <v/>
      </c>
      <c r="BA697" s="228"/>
    </row>
    <row r="698" spans="1:53" ht="16.5" thickBot="1" x14ac:dyDescent="0.3">
      <c r="A698" s="88"/>
      <c r="B698" s="319" t="s">
        <v>337</v>
      </c>
      <c r="C698" s="320"/>
      <c r="D698" s="79"/>
      <c r="E698" s="80"/>
      <c r="F698" s="80"/>
      <c r="G698" s="81"/>
      <c r="H698" s="192"/>
      <c r="I698" s="192"/>
      <c r="J698" s="192"/>
      <c r="K698" s="82"/>
      <c r="L698" s="319" t="s">
        <v>306</v>
      </c>
      <c r="M698" s="330"/>
      <c r="N698" s="330"/>
      <c r="O698" s="330"/>
      <c r="P698" s="330"/>
      <c r="Q698" s="330"/>
      <c r="R698" s="330"/>
      <c r="S698" s="330"/>
      <c r="T698" s="330"/>
      <c r="U698" s="320"/>
      <c r="V698" s="104"/>
      <c r="W698" s="72"/>
      <c r="X698" s="72"/>
      <c r="Y698" s="72"/>
      <c r="Z698" s="72"/>
      <c r="AA698" s="72" t="str">
        <f t="shared" si="296"/>
        <v/>
      </c>
      <c r="AB698" s="72"/>
      <c r="AC698" s="72">
        <f>SUM(AC673:AC697)</f>
        <v>25</v>
      </c>
      <c r="AD698" s="72">
        <f>SUM(AD673:AD697)</f>
        <v>22</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319" t="s">
        <v>307</v>
      </c>
      <c r="C699" s="320"/>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96"/>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312" t="s">
        <v>222</v>
      </c>
      <c r="C703" s="313"/>
      <c r="D703" s="314" t="s">
        <v>223</v>
      </c>
      <c r="E703" s="305"/>
      <c r="F703" s="88"/>
      <c r="G703" s="315" t="s">
        <v>224</v>
      </c>
      <c r="H703" s="316"/>
      <c r="I703" s="28">
        <f>SUM(E714:E738)</f>
        <v>132</v>
      </c>
      <c r="J703" s="317" t="s">
        <v>225</v>
      </c>
      <c r="K703" s="318"/>
      <c r="L703" s="305"/>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5" t="s">
        <v>226</v>
      </c>
      <c r="AA703" s="296"/>
      <c r="AB703" s="297"/>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12</v>
      </c>
      <c r="D704" s="31" t="s">
        <v>229</v>
      </c>
      <c r="E704" s="66" t="str">
        <f>TEXT(IF('Cable Calculator'!CK7="","",'Cable Calculator'!CK7),)</f>
        <v/>
      </c>
      <c r="F704" s="88"/>
      <c r="G704" s="304" t="s">
        <v>230</v>
      </c>
      <c r="H704" s="305"/>
      <c r="I704" s="33">
        <f>E705-I703</f>
        <v>12</v>
      </c>
      <c r="J704" s="289" t="s">
        <v>231</v>
      </c>
      <c r="K704" s="290"/>
      <c r="L704" s="34">
        <f>I708</f>
        <v>349</v>
      </c>
      <c r="M704" s="196">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298" t="s">
        <v>232</v>
      </c>
      <c r="AA704" s="300" t="s">
        <v>233</v>
      </c>
      <c r="AB704" s="301"/>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v>144</v>
      </c>
      <c r="F705" s="88"/>
      <c r="G705" s="291" t="s">
        <v>237</v>
      </c>
      <c r="H705" s="292"/>
      <c r="I705" s="35">
        <f>IF(E705=0,0,12-(MOD(I703,12)))</f>
        <v>12</v>
      </c>
      <c r="J705" s="289" t="s">
        <v>238</v>
      </c>
      <c r="K705" s="290"/>
      <c r="L705" s="39">
        <f>I709-I703</f>
        <v>360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299"/>
      <c r="AA705" s="302"/>
      <c r="AB705" s="303"/>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v>0</v>
      </c>
      <c r="F706" s="88"/>
      <c r="G706" s="321" t="s">
        <v>242</v>
      </c>
      <c r="H706" s="43" t="s">
        <v>243</v>
      </c>
      <c r="I706" s="35">
        <f>IF(E706&lt;&gt;0,1,0)</f>
        <v>0</v>
      </c>
      <c r="J706" s="291" t="s">
        <v>244</v>
      </c>
      <c r="K706" s="292"/>
      <c r="L706" s="44">
        <f>'Cable Calculator'!CK3</f>
        <v>798</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349</v>
      </c>
      <c r="F707" s="88"/>
      <c r="G707" s="322"/>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12</v>
      </c>
      <c r="F708" s="88"/>
      <c r="G708" s="321" t="s">
        <v>251</v>
      </c>
      <c r="H708" s="51" t="s">
        <v>252</v>
      </c>
      <c r="I708" s="112">
        <f>E707</f>
        <v>349</v>
      </c>
      <c r="J708" s="323" t="s">
        <v>253</v>
      </c>
      <c r="K708" s="324"/>
      <c r="L708" s="325"/>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N</v>
      </c>
      <c r="F709" s="88"/>
      <c r="G709" s="322"/>
      <c r="H709" s="47" t="s">
        <v>257</v>
      </c>
      <c r="I709" s="35">
        <f>IF(E707="","0",IF(AND(E704="EUC",E705=432), I708+(203-E706),IF(E707=0,0,(E707+(E705-E706)-1))))</f>
        <v>492</v>
      </c>
      <c r="J709" s="285" t="str">
        <f>IFERROR(IF(OR(E704="EUC",E704="SS"),"---",IF(OR(P703,S703),"NO 2F Tethers for RPX!",IF(OR(P705,S705),"NO 6F Tethers for RPX!","---"))),"---")</f>
        <v>---</v>
      </c>
      <c r="K709" s="286"/>
      <c r="L709" s="287"/>
      <c r="M709" s="285" t="str">
        <f>IF(E706&gt;60,"Dead Count &gt;60: Consider Downsize","---")</f>
        <v>---</v>
      </c>
      <c r="N709" s="286"/>
      <c r="O709" s="286"/>
      <c r="P709" s="286"/>
      <c r="Q709" s="286"/>
      <c r="R709" s="286"/>
      <c r="S709" s="286"/>
      <c r="T709" s="286"/>
      <c r="U709" s="287"/>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144</v>
      </c>
      <c r="D710" s="31" t="s">
        <v>259</v>
      </c>
      <c r="E710" s="101" t="str">
        <f>IF(AS704="Y","DBL",IF(AS705="Y","TRPL",IF(AS706="Y","QUAD","")))</f>
        <v/>
      </c>
      <c r="F710" s="88"/>
      <c r="G710" s="192"/>
      <c r="H710" s="57"/>
      <c r="I710" s="192"/>
      <c r="J710" s="285"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86"/>
      <c r="L710" s="287"/>
      <c r="M710" s="285" t="str">
        <f>IF(AND(OR(E704="SS",E704="RPX",E704="EUC",E704="RPX-T"),(OR(C714="",C714="Field SPL"))),"Cannot have FlexNap cables without tethers","---")</f>
        <v>---</v>
      </c>
      <c r="N710" s="286"/>
      <c r="O710" s="286"/>
      <c r="P710" s="286"/>
      <c r="Q710" s="286"/>
      <c r="R710" s="286"/>
      <c r="S710" s="286"/>
      <c r="T710" s="286"/>
      <c r="U710" s="287"/>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85" t="str">
        <f>IF(AND(OR(E704="RPX", E704="RPX-T", E704="SS"),E705=216),"NO 216 For RPX, RPX-T, OR SS CABLE","---")</f>
        <v>---</v>
      </c>
      <c r="K711" s="286"/>
      <c r="L711" s="287"/>
      <c r="M711" s="285" t="str" cm="1">
        <f t="array" ref="M711">IF(AND(E704="",OR(C714:C738="FST",C714:C738="REV T",C714:C738="DBL REV",C714:C738="TPL REV", C714:C738="QD REV")),"Non-FlexNap cables cannot have tethers","---")</f>
        <v>---</v>
      </c>
      <c r="N711" s="286"/>
      <c r="O711" s="286"/>
      <c r="P711" s="286"/>
      <c r="Q711" s="286"/>
      <c r="R711" s="286"/>
      <c r="S711" s="286"/>
      <c r="T711" s="286"/>
      <c r="U711" s="287"/>
      <c r="V711" s="25"/>
      <c r="W711" s="58"/>
      <c r="X711" s="58"/>
      <c r="Y711" s="25"/>
      <c r="Z711" s="45">
        <v>6</v>
      </c>
      <c r="AA711" s="65">
        <v>61</v>
      </c>
      <c r="AB711" s="65">
        <v>72</v>
      </c>
      <c r="AC711" s="25"/>
      <c r="AD711" s="25"/>
      <c r="BA711" s="226"/>
    </row>
    <row r="712" spans="1:53" ht="15.75" customHeight="1" thickBot="1" x14ac:dyDescent="0.3">
      <c r="A712" s="88"/>
      <c r="B712" s="321" t="s">
        <v>260</v>
      </c>
      <c r="C712" s="293" t="s">
        <v>261</v>
      </c>
      <c r="D712" s="293" t="s">
        <v>262</v>
      </c>
      <c r="E712" s="306" t="s">
        <v>263</v>
      </c>
      <c r="F712" s="293" t="s">
        <v>264</v>
      </c>
      <c r="G712" s="308" t="s">
        <v>265</v>
      </c>
      <c r="H712" s="308" t="s">
        <v>266</v>
      </c>
      <c r="I712" s="308" t="s">
        <v>267</v>
      </c>
      <c r="J712" s="310" t="s">
        <v>268</v>
      </c>
      <c r="K712" s="293" t="s">
        <v>269</v>
      </c>
      <c r="L712" s="279" t="s">
        <v>270</v>
      </c>
      <c r="M712" s="281" t="s">
        <v>271</v>
      </c>
      <c r="N712" s="281"/>
      <c r="O712" s="281"/>
      <c r="P712" s="281"/>
      <c r="Q712" s="281"/>
      <c r="R712" s="281"/>
      <c r="S712" s="281"/>
      <c r="T712" s="281"/>
      <c r="U712" s="282"/>
      <c r="V712" s="107"/>
      <c r="W712" s="72"/>
      <c r="X712" s="72"/>
      <c r="Y712" s="72"/>
      <c r="Z712" s="45">
        <v>7</v>
      </c>
      <c r="AA712" s="65">
        <v>73</v>
      </c>
      <c r="AB712" s="65">
        <v>84</v>
      </c>
      <c r="AC712" s="25"/>
      <c r="AD712" s="25"/>
      <c r="BA712" s="228"/>
    </row>
    <row r="713" spans="1:53" ht="15.75" thickBot="1" x14ac:dyDescent="0.3">
      <c r="A713" s="88"/>
      <c r="B713" s="322"/>
      <c r="C713" s="294"/>
      <c r="D713" s="294"/>
      <c r="E713" s="307"/>
      <c r="F713" s="294"/>
      <c r="G713" s="309"/>
      <c r="H713" s="309"/>
      <c r="I713" s="309"/>
      <c r="J713" s="311"/>
      <c r="K713" s="294"/>
      <c r="L713" s="280"/>
      <c r="M713" s="283"/>
      <c r="N713" s="283"/>
      <c r="O713" s="283"/>
      <c r="P713" s="283"/>
      <c r="Q713" s="283"/>
      <c r="R713" s="283"/>
      <c r="S713" s="283"/>
      <c r="T713" s="283"/>
      <c r="U713" s="284"/>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502</v>
      </c>
      <c r="D714" s="102"/>
      <c r="E714" s="32">
        <v>132</v>
      </c>
      <c r="F714" s="32"/>
      <c r="G714" s="68" t="s">
        <v>277</v>
      </c>
      <c r="H714" s="69">
        <f>IF(I714=0,0,I714-(E714-1))</f>
        <v>361</v>
      </c>
      <c r="I714" s="70">
        <f>IF(E714=0,0,I709)</f>
        <v>492</v>
      </c>
      <c r="J714" s="71" t="s">
        <v>278</v>
      </c>
      <c r="K714" s="32"/>
      <c r="L714" s="233"/>
      <c r="M714" s="277" t="s">
        <v>425</v>
      </c>
      <c r="N714" s="277"/>
      <c r="O714" s="277"/>
      <c r="P714" s="277"/>
      <c r="Q714" s="277"/>
      <c r="R714" s="277"/>
      <c r="S714" s="277"/>
      <c r="T714" s="277"/>
      <c r="U714" s="278"/>
      <c r="V714" s="103"/>
      <c r="W714" s="72"/>
      <c r="X714" s="72"/>
      <c r="Y714" s="72"/>
      <c r="Z714" s="45">
        <v>9</v>
      </c>
      <c r="AA714" s="46">
        <v>97</v>
      </c>
      <c r="AB714" s="46">
        <v>108</v>
      </c>
      <c r="AC714" s="72">
        <f t="shared" ref="AC714:AC738" si="298">IF(B714&lt;&gt;"FST",1,0)</f>
        <v>1</v>
      </c>
      <c r="AD714" s="72">
        <f t="shared" ref="AD714:AD738" si="299">IF(C714&lt;&gt;"FST",1,0)</f>
        <v>1</v>
      </c>
      <c r="AE714" s="109" t="str">
        <f t="shared" ref="AE714:AE738" si="300">CONCATENATE(H714,"-",I714)</f>
        <v>361-492</v>
      </c>
      <c r="AF714" s="109" t="str">
        <f t="shared" ref="AF714:AF738" si="301">IF(C714="Field SPL","N","Y")</f>
        <v>N</v>
      </c>
      <c r="AG714" s="109" t="str">
        <f t="shared" ref="AG714:AG738" si="302">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303">VALUE(IF(C714="FST","0",IF(C714="REV T","1",IF(C714="DBL REV",".5","0"))))</f>
        <v>0</v>
      </c>
      <c r="AN714" s="109">
        <f t="shared" ref="AN714:AN738" si="304">VALUE(IF(C714="FST","0",IF(C714="REV T","0",IF(C714="DBL REV",".5","0"))))</f>
        <v>0</v>
      </c>
      <c r="AO714" s="109" t="str">
        <f t="shared" ref="AO714:AO738" si="305">IF(C714="TPL REV","Y","")</f>
        <v/>
      </c>
      <c r="AQ714" s="109" t="str">
        <f t="shared" ref="AQ714:AQ738" si="306">IF(C714="QD REV","Y","")</f>
        <v/>
      </c>
      <c r="BA714" s="229">
        <f>MOD(E714,12)</f>
        <v>0</v>
      </c>
    </row>
    <row r="715" spans="1:53" ht="15.75" thickBot="1" x14ac:dyDescent="0.3">
      <c r="A715" s="88"/>
      <c r="B715" s="66" t="s">
        <v>279</v>
      </c>
      <c r="C715" s="67"/>
      <c r="D715" s="102"/>
      <c r="E715" s="32"/>
      <c r="F715" s="32"/>
      <c r="G715" s="68" t="s">
        <v>277</v>
      </c>
      <c r="H715" s="69">
        <f t="shared" ref="H715:H738" si="307">IF(E715=0,0,I715-(E715-1))</f>
        <v>0</v>
      </c>
      <c r="I715" s="70">
        <f t="shared" ref="I715:I738" si="308">IF(E715=0,0,H714-1)</f>
        <v>0</v>
      </c>
      <c r="J715" s="73" t="str">
        <f>IF(C715="","--",IF(AND(C715&lt;&gt;"FST",C715&lt;&gt;"TCF",BA714&lt;&gt;0),BA714,"--"))</f>
        <v>--</v>
      </c>
      <c r="K715" s="32"/>
      <c r="L715" s="233"/>
      <c r="M715" s="277"/>
      <c r="N715" s="277"/>
      <c r="O715" s="277"/>
      <c r="P715" s="277"/>
      <c r="Q715" s="277"/>
      <c r="R715" s="277"/>
      <c r="S715" s="277"/>
      <c r="T715" s="277"/>
      <c r="U715" s="278"/>
      <c r="V715" s="103"/>
      <c r="W715" s="72"/>
      <c r="X715" s="72"/>
      <c r="Y715" s="72"/>
      <c r="Z715" s="45">
        <v>10</v>
      </c>
      <c r="AA715" s="46">
        <v>109</v>
      </c>
      <c r="AB715" s="46">
        <v>120</v>
      </c>
      <c r="AC715" s="72">
        <f t="shared" si="298"/>
        <v>1</v>
      </c>
      <c r="AD715" s="72">
        <f t="shared" si="299"/>
        <v>1</v>
      </c>
      <c r="AE715" s="109" t="str">
        <f t="shared" si="300"/>
        <v>0-0</v>
      </c>
      <c r="AF715" s="109" t="str">
        <f t="shared" si="301"/>
        <v>Y</v>
      </c>
      <c r="AG715" s="109" t="str">
        <f t="shared" si="302"/>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303"/>
        <v>0</v>
      </c>
      <c r="AN715" s="109">
        <f t="shared" si="304"/>
        <v>0</v>
      </c>
      <c r="AO715" s="109" t="str">
        <f t="shared" si="305"/>
        <v/>
      </c>
      <c r="AQ715" s="109" t="str">
        <f t="shared" si="306"/>
        <v/>
      </c>
      <c r="BA715" s="229">
        <f>MOD(SUM(E714:E715),12)</f>
        <v>0</v>
      </c>
    </row>
    <row r="716" spans="1:53" ht="15.75" thickBot="1" x14ac:dyDescent="0.3">
      <c r="A716" s="88"/>
      <c r="B716" s="74" t="s">
        <v>280</v>
      </c>
      <c r="C716" s="67"/>
      <c r="D716" s="102"/>
      <c r="E716" s="32"/>
      <c r="F716" s="32"/>
      <c r="G716" s="75" t="s">
        <v>277</v>
      </c>
      <c r="H716" s="69">
        <f t="shared" si="307"/>
        <v>0</v>
      </c>
      <c r="I716" s="70">
        <f t="shared" si="308"/>
        <v>0</v>
      </c>
      <c r="J716" s="73" t="str">
        <f t="shared" ref="J716:J738" si="309">IF(C716="","--",IF(AND(C716&lt;&gt;"FST",C716&lt;&gt;"TCF",BA715&lt;&gt;0),BA715,"--"))</f>
        <v>--</v>
      </c>
      <c r="K716" s="32"/>
      <c r="L716" s="233"/>
      <c r="M716" s="277"/>
      <c r="N716" s="277"/>
      <c r="O716" s="277"/>
      <c r="P716" s="277"/>
      <c r="Q716" s="277"/>
      <c r="R716" s="277"/>
      <c r="S716" s="277"/>
      <c r="T716" s="277"/>
      <c r="U716" s="278"/>
      <c r="V716" s="103"/>
      <c r="W716" s="72"/>
      <c r="X716" s="72"/>
      <c r="Y716" s="72"/>
      <c r="Z716" s="45">
        <v>11</v>
      </c>
      <c r="AA716" s="46">
        <v>121</v>
      </c>
      <c r="AB716" s="46">
        <v>132</v>
      </c>
      <c r="AC716" s="72">
        <f t="shared" si="298"/>
        <v>1</v>
      </c>
      <c r="AD716" s="72">
        <f t="shared" si="299"/>
        <v>1</v>
      </c>
      <c r="AE716" s="109" t="str">
        <f t="shared" si="300"/>
        <v>0-0</v>
      </c>
      <c r="AF716" s="109" t="str">
        <f t="shared" si="301"/>
        <v>Y</v>
      </c>
      <c r="AG716" s="109" t="str">
        <f t="shared" si="302"/>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303"/>
        <v>0</v>
      </c>
      <c r="AN716" s="109">
        <f t="shared" si="304"/>
        <v>0</v>
      </c>
      <c r="AO716" s="109" t="str">
        <f t="shared" si="305"/>
        <v/>
      </c>
      <c r="AQ716" s="109" t="str">
        <f t="shared" si="306"/>
        <v/>
      </c>
      <c r="BA716" s="229">
        <f>MOD(SUM(E714:E717),12)</f>
        <v>0</v>
      </c>
    </row>
    <row r="717" spans="1:53" ht="15.75" thickBot="1" x14ac:dyDescent="0.3">
      <c r="A717" s="88"/>
      <c r="B717" s="66" t="s">
        <v>281</v>
      </c>
      <c r="C717" s="67"/>
      <c r="D717" s="102"/>
      <c r="E717" s="32"/>
      <c r="F717" s="32"/>
      <c r="G717" s="68" t="s">
        <v>277</v>
      </c>
      <c r="H717" s="69">
        <f t="shared" si="307"/>
        <v>0</v>
      </c>
      <c r="I717" s="70">
        <f t="shared" si="308"/>
        <v>0</v>
      </c>
      <c r="J717" s="73" t="str">
        <f t="shared" si="309"/>
        <v>--</v>
      </c>
      <c r="K717" s="32"/>
      <c r="L717" s="233"/>
      <c r="M717" s="277"/>
      <c r="N717" s="277"/>
      <c r="O717" s="277"/>
      <c r="P717" s="277"/>
      <c r="Q717" s="277"/>
      <c r="R717" s="277"/>
      <c r="S717" s="277"/>
      <c r="T717" s="277"/>
      <c r="U717" s="278"/>
      <c r="V717" s="103"/>
      <c r="W717" s="72"/>
      <c r="X717" s="72"/>
      <c r="Y717" s="72"/>
      <c r="Z717" s="45">
        <v>12</v>
      </c>
      <c r="AA717" s="76">
        <v>133</v>
      </c>
      <c r="AB717" s="76">
        <v>144</v>
      </c>
      <c r="AC717" s="72">
        <f t="shared" si="298"/>
        <v>1</v>
      </c>
      <c r="AD717" s="72">
        <f t="shared" si="299"/>
        <v>1</v>
      </c>
      <c r="AE717" s="109" t="str">
        <f t="shared" si="300"/>
        <v>0-0</v>
      </c>
      <c r="AF717" s="109" t="str">
        <f t="shared" si="301"/>
        <v>Y</v>
      </c>
      <c r="AG717" s="109" t="str">
        <f t="shared" si="302"/>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303"/>
        <v>0</v>
      </c>
      <c r="AN717" s="109">
        <f t="shared" si="304"/>
        <v>0</v>
      </c>
      <c r="AO717" s="109" t="str">
        <f t="shared" si="305"/>
        <v/>
      </c>
      <c r="AQ717" s="109" t="str">
        <f t="shared" si="306"/>
        <v/>
      </c>
      <c r="BA717" s="229">
        <f>MOD(SUM(E714:E718),12)</f>
        <v>0</v>
      </c>
    </row>
    <row r="718" spans="1:53" ht="15.75" thickBot="1" x14ac:dyDescent="0.3">
      <c r="A718" s="88"/>
      <c r="B718" s="66" t="s">
        <v>282</v>
      </c>
      <c r="C718" s="67"/>
      <c r="D718" s="102"/>
      <c r="E718" s="32"/>
      <c r="F718" s="32"/>
      <c r="G718" s="68" t="s">
        <v>277</v>
      </c>
      <c r="H718" s="69">
        <f t="shared" si="307"/>
        <v>0</v>
      </c>
      <c r="I718" s="70">
        <f t="shared" si="308"/>
        <v>0</v>
      </c>
      <c r="J718" s="73" t="str">
        <f t="shared" si="309"/>
        <v>--</v>
      </c>
      <c r="K718" s="32"/>
      <c r="L718" s="233"/>
      <c r="M718" s="277"/>
      <c r="N718" s="277"/>
      <c r="O718" s="277"/>
      <c r="P718" s="277"/>
      <c r="Q718" s="277"/>
      <c r="R718" s="277"/>
      <c r="S718" s="277"/>
      <c r="T718" s="277"/>
      <c r="U718" s="278"/>
      <c r="V718" s="103"/>
      <c r="W718" s="72"/>
      <c r="X718" s="72"/>
      <c r="Y718" s="72"/>
      <c r="Z718" s="45">
        <v>13</v>
      </c>
      <c r="AA718" s="77">
        <f t="shared" ref="AA718:AA723" si="310">AB717+1</f>
        <v>145</v>
      </c>
      <c r="AB718" s="77">
        <f t="shared" ref="AB718:AB723" si="311">AB717+12</f>
        <v>156</v>
      </c>
      <c r="AC718" s="72">
        <f t="shared" si="298"/>
        <v>1</v>
      </c>
      <c r="AD718" s="72">
        <f t="shared" si="299"/>
        <v>1</v>
      </c>
      <c r="AE718" s="109" t="str">
        <f t="shared" si="300"/>
        <v>0-0</v>
      </c>
      <c r="AF718" s="109" t="str">
        <f t="shared" si="301"/>
        <v>Y</v>
      </c>
      <c r="AG718" s="109" t="str">
        <f t="shared" si="302"/>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303"/>
        <v>0</v>
      </c>
      <c r="AN718" s="109">
        <f t="shared" si="304"/>
        <v>0</v>
      </c>
      <c r="AO718" s="109" t="str">
        <f t="shared" si="305"/>
        <v/>
      </c>
      <c r="AQ718" s="109" t="str">
        <f t="shared" si="306"/>
        <v/>
      </c>
      <c r="BA718" s="229">
        <f>MOD(SUM(E714:E719),12)</f>
        <v>0</v>
      </c>
    </row>
    <row r="719" spans="1:53" ht="15.75" thickBot="1" x14ac:dyDescent="0.3">
      <c r="A719" s="88"/>
      <c r="B719" s="66" t="s">
        <v>283</v>
      </c>
      <c r="C719" s="67"/>
      <c r="D719" s="102"/>
      <c r="E719" s="32"/>
      <c r="F719" s="32"/>
      <c r="G719" s="68" t="s">
        <v>277</v>
      </c>
      <c r="H719" s="69">
        <f t="shared" si="307"/>
        <v>0</v>
      </c>
      <c r="I719" s="70">
        <f t="shared" si="308"/>
        <v>0</v>
      </c>
      <c r="J719" s="73" t="str">
        <f t="shared" si="309"/>
        <v>--</v>
      </c>
      <c r="K719" s="32"/>
      <c r="L719" s="233"/>
      <c r="M719" s="277"/>
      <c r="N719" s="277"/>
      <c r="O719" s="277"/>
      <c r="P719" s="277"/>
      <c r="Q719" s="277"/>
      <c r="R719" s="277"/>
      <c r="S719" s="277"/>
      <c r="T719" s="277"/>
      <c r="U719" s="278"/>
      <c r="V719" s="103"/>
      <c r="W719" s="72"/>
      <c r="X719" s="72"/>
      <c r="Y719" s="72"/>
      <c r="Z719" s="45">
        <v>14</v>
      </c>
      <c r="AA719" s="77">
        <f t="shared" si="310"/>
        <v>157</v>
      </c>
      <c r="AB719" s="77">
        <f t="shared" si="311"/>
        <v>168</v>
      </c>
      <c r="AC719" s="72">
        <f t="shared" si="298"/>
        <v>1</v>
      </c>
      <c r="AD719" s="72">
        <f t="shared" si="299"/>
        <v>1</v>
      </c>
      <c r="AE719" s="109" t="str">
        <f t="shared" si="300"/>
        <v>0-0</v>
      </c>
      <c r="AF719" s="109" t="str">
        <f t="shared" si="301"/>
        <v>Y</v>
      </c>
      <c r="AG719" s="109" t="str">
        <f t="shared" si="302"/>
        <v>B</v>
      </c>
      <c r="AM719" s="109">
        <f t="shared" si="303"/>
        <v>0</v>
      </c>
      <c r="AN719" s="109">
        <f t="shared" si="304"/>
        <v>0</v>
      </c>
      <c r="AO719" s="109" t="str">
        <f t="shared" si="305"/>
        <v/>
      </c>
      <c r="AQ719" s="109" t="str">
        <f t="shared" si="306"/>
        <v/>
      </c>
      <c r="BA719" s="229">
        <f>MOD(SUM(E714:E720),12)</f>
        <v>0</v>
      </c>
    </row>
    <row r="720" spans="1:53" ht="15.75" thickBot="1" x14ac:dyDescent="0.3">
      <c r="A720" s="88"/>
      <c r="B720" s="66" t="s">
        <v>284</v>
      </c>
      <c r="C720" s="67"/>
      <c r="D720" s="102"/>
      <c r="E720" s="32"/>
      <c r="F720" s="32"/>
      <c r="G720" s="68" t="s">
        <v>277</v>
      </c>
      <c r="H720" s="69">
        <f t="shared" si="307"/>
        <v>0</v>
      </c>
      <c r="I720" s="70">
        <f t="shared" si="308"/>
        <v>0</v>
      </c>
      <c r="J720" s="73" t="str">
        <f t="shared" si="309"/>
        <v>--</v>
      </c>
      <c r="K720" s="32"/>
      <c r="L720" s="233"/>
      <c r="M720" s="277"/>
      <c r="N720" s="277"/>
      <c r="O720" s="277"/>
      <c r="P720" s="277"/>
      <c r="Q720" s="277"/>
      <c r="R720" s="277"/>
      <c r="S720" s="277"/>
      <c r="T720" s="277"/>
      <c r="U720" s="278"/>
      <c r="V720" s="103"/>
      <c r="W720" s="72"/>
      <c r="X720" s="72"/>
      <c r="Y720" s="72"/>
      <c r="Z720" s="45">
        <v>15</v>
      </c>
      <c r="AA720" s="77">
        <f t="shared" si="310"/>
        <v>169</v>
      </c>
      <c r="AB720" s="77">
        <f t="shared" si="311"/>
        <v>180</v>
      </c>
      <c r="AC720" s="72">
        <f t="shared" si="298"/>
        <v>1</v>
      </c>
      <c r="AD720" s="72">
        <f t="shared" si="299"/>
        <v>1</v>
      </c>
      <c r="AE720" s="109" t="str">
        <f t="shared" si="300"/>
        <v>0-0</v>
      </c>
      <c r="AF720" s="109" t="str">
        <f t="shared" si="301"/>
        <v>Y</v>
      </c>
      <c r="AG720" s="109" t="str">
        <f t="shared" si="302"/>
        <v>B</v>
      </c>
      <c r="AM720" s="109">
        <f t="shared" si="303"/>
        <v>0</v>
      </c>
      <c r="AN720" s="109">
        <f t="shared" si="304"/>
        <v>0</v>
      </c>
      <c r="AO720" s="109" t="str">
        <f t="shared" si="305"/>
        <v/>
      </c>
      <c r="AQ720" s="109" t="str">
        <f t="shared" si="306"/>
        <v/>
      </c>
      <c r="BA720" s="229">
        <f>MOD(SUM(E714:E721),12)</f>
        <v>0</v>
      </c>
    </row>
    <row r="721" spans="1:53" ht="15.75" thickBot="1" x14ac:dyDescent="0.3">
      <c r="A721" s="88"/>
      <c r="B721" s="66" t="s">
        <v>285</v>
      </c>
      <c r="C721" s="67"/>
      <c r="D721" s="102"/>
      <c r="E721" s="32"/>
      <c r="F721" s="32"/>
      <c r="G721" s="68" t="s">
        <v>277</v>
      </c>
      <c r="H721" s="69">
        <f t="shared" si="307"/>
        <v>0</v>
      </c>
      <c r="I721" s="70">
        <f t="shared" si="308"/>
        <v>0</v>
      </c>
      <c r="J721" s="73" t="str">
        <f t="shared" si="309"/>
        <v>--</v>
      </c>
      <c r="K721" s="32"/>
      <c r="L721" s="233"/>
      <c r="M721" s="277"/>
      <c r="N721" s="277"/>
      <c r="O721" s="277"/>
      <c r="P721" s="277"/>
      <c r="Q721" s="277"/>
      <c r="R721" s="277"/>
      <c r="S721" s="277"/>
      <c r="T721" s="277"/>
      <c r="U721" s="278"/>
      <c r="V721" s="103"/>
      <c r="W721" s="72"/>
      <c r="X721" s="72"/>
      <c r="Y721" s="72"/>
      <c r="Z721" s="45">
        <f>Z720+1</f>
        <v>16</v>
      </c>
      <c r="AA721" s="77">
        <f t="shared" si="310"/>
        <v>181</v>
      </c>
      <c r="AB721" s="77">
        <f t="shared" si="311"/>
        <v>192</v>
      </c>
      <c r="AC721" s="72">
        <f t="shared" si="298"/>
        <v>1</v>
      </c>
      <c r="AD721" s="72">
        <f t="shared" si="299"/>
        <v>1</v>
      </c>
      <c r="AE721" s="109" t="str">
        <f t="shared" si="300"/>
        <v>0-0</v>
      </c>
      <c r="AF721" s="109" t="str">
        <f t="shared" si="301"/>
        <v>Y</v>
      </c>
      <c r="AG721" s="109" t="str">
        <f t="shared" si="302"/>
        <v>B</v>
      </c>
      <c r="AM721" s="109">
        <f t="shared" si="303"/>
        <v>0</v>
      </c>
      <c r="AN721" s="109">
        <f t="shared" si="304"/>
        <v>0</v>
      </c>
      <c r="AO721" s="109" t="str">
        <f t="shared" si="305"/>
        <v/>
      </c>
      <c r="AQ721" s="109" t="str">
        <f t="shared" si="306"/>
        <v/>
      </c>
      <c r="BA721" s="229">
        <f>MOD(SUM(E714:E722),12)</f>
        <v>0</v>
      </c>
    </row>
    <row r="722" spans="1:53" ht="15.75" thickBot="1" x14ac:dyDescent="0.3">
      <c r="A722" s="88"/>
      <c r="B722" s="66" t="s">
        <v>286</v>
      </c>
      <c r="C722" s="67"/>
      <c r="D722" s="102"/>
      <c r="E722" s="32"/>
      <c r="F722" s="32"/>
      <c r="G722" s="68" t="s">
        <v>277</v>
      </c>
      <c r="H722" s="69">
        <f t="shared" si="307"/>
        <v>0</v>
      </c>
      <c r="I722" s="70">
        <f t="shared" si="308"/>
        <v>0</v>
      </c>
      <c r="J722" s="73" t="str">
        <f t="shared" si="309"/>
        <v>--</v>
      </c>
      <c r="K722" s="32"/>
      <c r="L722" s="233"/>
      <c r="M722" s="277"/>
      <c r="N722" s="277"/>
      <c r="O722" s="277"/>
      <c r="P722" s="277"/>
      <c r="Q722" s="277"/>
      <c r="R722" s="277"/>
      <c r="S722" s="277"/>
      <c r="T722" s="277"/>
      <c r="U722" s="278"/>
      <c r="V722" s="103"/>
      <c r="W722" s="72"/>
      <c r="X722" s="72"/>
      <c r="Y722" s="72"/>
      <c r="Z722" s="45">
        <f>Z721+1</f>
        <v>17</v>
      </c>
      <c r="AA722" s="77">
        <f t="shared" si="310"/>
        <v>193</v>
      </c>
      <c r="AB722" s="77">
        <f t="shared" si="311"/>
        <v>204</v>
      </c>
      <c r="AC722" s="72">
        <f t="shared" si="298"/>
        <v>1</v>
      </c>
      <c r="AD722" s="72">
        <f t="shared" si="299"/>
        <v>1</v>
      </c>
      <c r="AE722" s="109" t="str">
        <f t="shared" si="300"/>
        <v>0-0</v>
      </c>
      <c r="AF722" s="109" t="str">
        <f t="shared" si="301"/>
        <v>Y</v>
      </c>
      <c r="AG722" s="109" t="str">
        <f t="shared" si="302"/>
        <v>B</v>
      </c>
      <c r="AM722" s="109">
        <f t="shared" si="303"/>
        <v>0</v>
      </c>
      <c r="AN722" s="109">
        <f t="shared" si="304"/>
        <v>0</v>
      </c>
      <c r="AO722" s="109" t="str">
        <f t="shared" si="305"/>
        <v/>
      </c>
      <c r="AQ722" s="109" t="str">
        <f t="shared" si="306"/>
        <v/>
      </c>
      <c r="BA722" s="229">
        <f>MOD(SUM(E714:E723),12)</f>
        <v>0</v>
      </c>
    </row>
    <row r="723" spans="1:53" ht="15.75" thickBot="1" x14ac:dyDescent="0.3">
      <c r="A723" s="88"/>
      <c r="B723" s="66" t="s">
        <v>287</v>
      </c>
      <c r="C723" s="67"/>
      <c r="D723" s="102"/>
      <c r="E723" s="32"/>
      <c r="F723" s="32"/>
      <c r="G723" s="68" t="s">
        <v>277</v>
      </c>
      <c r="H723" s="69">
        <f t="shared" si="307"/>
        <v>0</v>
      </c>
      <c r="I723" s="70">
        <f t="shared" si="308"/>
        <v>0</v>
      </c>
      <c r="J723" s="73" t="str">
        <f t="shared" si="309"/>
        <v>--</v>
      </c>
      <c r="K723" s="32"/>
      <c r="L723" s="233"/>
      <c r="M723" s="277"/>
      <c r="N723" s="277"/>
      <c r="O723" s="277"/>
      <c r="P723" s="277"/>
      <c r="Q723" s="277"/>
      <c r="R723" s="277"/>
      <c r="S723" s="277"/>
      <c r="T723" s="277"/>
      <c r="U723" s="278"/>
      <c r="V723" s="103"/>
      <c r="W723" s="72"/>
      <c r="X723" s="72"/>
      <c r="Y723" s="72"/>
      <c r="Z723" s="45">
        <f>Z722+1</f>
        <v>18</v>
      </c>
      <c r="AA723" s="77">
        <f t="shared" si="310"/>
        <v>205</v>
      </c>
      <c r="AB723" s="77">
        <f t="shared" si="311"/>
        <v>216</v>
      </c>
      <c r="AC723" s="72">
        <f t="shared" si="298"/>
        <v>1</v>
      </c>
      <c r="AD723" s="72">
        <f t="shared" si="299"/>
        <v>1</v>
      </c>
      <c r="AE723" s="109" t="str">
        <f t="shared" si="300"/>
        <v>0-0</v>
      </c>
      <c r="AF723" s="109" t="str">
        <f t="shared" si="301"/>
        <v>Y</v>
      </c>
      <c r="AG723" s="109" t="str">
        <f t="shared" si="302"/>
        <v>B</v>
      </c>
      <c r="AM723" s="109">
        <f t="shared" si="303"/>
        <v>0</v>
      </c>
      <c r="AN723" s="109">
        <f t="shared" si="304"/>
        <v>0</v>
      </c>
      <c r="AO723" s="109" t="str">
        <f t="shared" si="305"/>
        <v/>
      </c>
      <c r="AQ723" s="109" t="str">
        <f t="shared" si="306"/>
        <v/>
      </c>
      <c r="BA723" s="229">
        <f>MOD(SUM(E714:E724),12)</f>
        <v>0</v>
      </c>
    </row>
    <row r="724" spans="1:53" ht="15.75" thickBot="1" x14ac:dyDescent="0.3">
      <c r="A724" s="88"/>
      <c r="B724" s="66" t="s">
        <v>288</v>
      </c>
      <c r="C724" s="67"/>
      <c r="D724" s="102"/>
      <c r="E724" s="32"/>
      <c r="F724" s="32"/>
      <c r="G724" s="68" t="s">
        <v>277</v>
      </c>
      <c r="H724" s="69">
        <f t="shared" si="307"/>
        <v>0</v>
      </c>
      <c r="I724" s="70">
        <f t="shared" si="308"/>
        <v>0</v>
      </c>
      <c r="J724" s="73" t="str">
        <f t="shared" si="309"/>
        <v>--</v>
      </c>
      <c r="K724" s="32"/>
      <c r="L724" s="233"/>
      <c r="M724" s="277"/>
      <c r="N724" s="277"/>
      <c r="O724" s="277"/>
      <c r="P724" s="277"/>
      <c r="Q724" s="277"/>
      <c r="R724" s="277"/>
      <c r="S724" s="277"/>
      <c r="T724" s="277"/>
      <c r="U724" s="278"/>
      <c r="V724" s="103"/>
      <c r="W724" s="84"/>
      <c r="X724" s="84"/>
      <c r="Y724" s="72"/>
      <c r="Z724" s="72"/>
      <c r="AA724" s="72"/>
      <c r="AB724" s="72"/>
      <c r="AC724" s="72">
        <f t="shared" si="298"/>
        <v>1</v>
      </c>
      <c r="AD724" s="72">
        <f t="shared" si="299"/>
        <v>1</v>
      </c>
      <c r="AE724" s="109" t="str">
        <f t="shared" si="300"/>
        <v>0-0</v>
      </c>
      <c r="AF724" s="109" t="str">
        <f t="shared" si="301"/>
        <v>Y</v>
      </c>
      <c r="AG724" s="109" t="str">
        <f t="shared" si="302"/>
        <v>B</v>
      </c>
      <c r="AM724" s="109">
        <f t="shared" si="303"/>
        <v>0</v>
      </c>
      <c r="AN724" s="109">
        <f t="shared" si="304"/>
        <v>0</v>
      </c>
      <c r="AO724" s="109" t="str">
        <f t="shared" si="305"/>
        <v/>
      </c>
      <c r="AQ724" s="109" t="str">
        <f t="shared" si="306"/>
        <v/>
      </c>
      <c r="BA724" s="229">
        <f>MOD(SUM(E714:E725),12)</f>
        <v>0</v>
      </c>
    </row>
    <row r="725" spans="1:53" ht="15.75" thickBot="1" x14ac:dyDescent="0.3">
      <c r="A725" s="88"/>
      <c r="B725" s="66" t="s">
        <v>289</v>
      </c>
      <c r="C725" s="67"/>
      <c r="D725" s="102"/>
      <c r="E725" s="32"/>
      <c r="F725" s="32"/>
      <c r="G725" s="68" t="s">
        <v>277</v>
      </c>
      <c r="H725" s="69">
        <f t="shared" si="307"/>
        <v>0</v>
      </c>
      <c r="I725" s="70">
        <f t="shared" si="308"/>
        <v>0</v>
      </c>
      <c r="J725" s="73" t="str">
        <f t="shared" si="309"/>
        <v>--</v>
      </c>
      <c r="K725" s="32"/>
      <c r="L725" s="233"/>
      <c r="M725" s="277"/>
      <c r="N725" s="277"/>
      <c r="O725" s="277"/>
      <c r="P725" s="277"/>
      <c r="Q725" s="277"/>
      <c r="R725" s="277"/>
      <c r="S725" s="277"/>
      <c r="T725" s="277"/>
      <c r="U725" s="278"/>
      <c r="V725" s="103"/>
      <c r="W725" s="84">
        <f>Y725+1</f>
        <v>133</v>
      </c>
      <c r="X725" s="84"/>
      <c r="Y725" s="78">
        <f>SUM(E714:E725)</f>
        <v>132</v>
      </c>
      <c r="Z725" s="72"/>
      <c r="AA725" s="72"/>
      <c r="AB725" s="72"/>
      <c r="AC725" s="72">
        <f t="shared" si="298"/>
        <v>1</v>
      </c>
      <c r="AD725" s="72">
        <f t="shared" si="299"/>
        <v>1</v>
      </c>
      <c r="AE725" s="109" t="str">
        <f t="shared" si="300"/>
        <v>0-0</v>
      </c>
      <c r="AF725" s="109" t="str">
        <f t="shared" si="301"/>
        <v>Y</v>
      </c>
      <c r="AG725" s="109" t="str">
        <f t="shared" si="302"/>
        <v>B</v>
      </c>
      <c r="AM725" s="109">
        <f t="shared" si="303"/>
        <v>0</v>
      </c>
      <c r="AN725" s="109">
        <f t="shared" si="304"/>
        <v>0</v>
      </c>
      <c r="AO725" s="109" t="str">
        <f t="shared" si="305"/>
        <v/>
      </c>
      <c r="AQ725" s="109" t="str">
        <f t="shared" si="306"/>
        <v/>
      </c>
      <c r="BA725" s="229">
        <f>MOD(SUM(E714:E726),12)</f>
        <v>0</v>
      </c>
    </row>
    <row r="726" spans="1:53" ht="15.75" thickBot="1" x14ac:dyDescent="0.3">
      <c r="A726" s="88"/>
      <c r="B726" s="66" t="s">
        <v>290</v>
      </c>
      <c r="C726" s="67"/>
      <c r="D726" s="102"/>
      <c r="E726" s="32"/>
      <c r="F726" s="32"/>
      <c r="G726" s="68" t="s">
        <v>277</v>
      </c>
      <c r="H726" s="69">
        <f t="shared" si="307"/>
        <v>0</v>
      </c>
      <c r="I726" s="70">
        <f t="shared" si="308"/>
        <v>0</v>
      </c>
      <c r="J726" s="73" t="str">
        <f t="shared" si="309"/>
        <v>--</v>
      </c>
      <c r="K726" s="32"/>
      <c r="L726" s="233"/>
      <c r="M726" s="277"/>
      <c r="N726" s="277"/>
      <c r="O726" s="277"/>
      <c r="P726" s="277"/>
      <c r="Q726" s="277"/>
      <c r="R726" s="277"/>
      <c r="S726" s="277"/>
      <c r="T726" s="277"/>
      <c r="U726" s="278"/>
      <c r="V726" s="103"/>
      <c r="W726" s="84">
        <f>Y726+1</f>
        <v>133</v>
      </c>
      <c r="X726" s="84"/>
      <c r="Y726" s="78">
        <f>SUM(E714:E726)</f>
        <v>132</v>
      </c>
      <c r="Z726" s="72" t="str">
        <f t="shared" ref="Z726:Z738" si="312">IF(OR(AND(E$8=216,C725="DBL REV",C726="DBL REV",Y725&lt;=144,Y726&gt;144),AND(E$8=216,C725="TPL REV",C726="TPL REV",Y725&lt;=144,Y726&gt;144),AND(E$8=216,C725="QD REV",C726="QD REV",Y725&lt;=144,Y726&gt;144)),"ERROR","")</f>
        <v/>
      </c>
      <c r="AA726" s="72"/>
      <c r="AB726" s="72"/>
      <c r="AC726" s="72">
        <f t="shared" si="298"/>
        <v>1</v>
      </c>
      <c r="AD726" s="72">
        <f t="shared" si="299"/>
        <v>1</v>
      </c>
      <c r="AE726" s="109" t="str">
        <f t="shared" si="300"/>
        <v>0-0</v>
      </c>
      <c r="AF726" s="109" t="str">
        <f t="shared" si="301"/>
        <v>Y</v>
      </c>
      <c r="AG726" s="109" t="str">
        <f t="shared" si="302"/>
        <v>B</v>
      </c>
      <c r="AM726" s="109">
        <f t="shared" si="303"/>
        <v>0</v>
      </c>
      <c r="AN726" s="109">
        <f t="shared" si="304"/>
        <v>0</v>
      </c>
      <c r="AO726" s="109" t="str">
        <f t="shared" si="305"/>
        <v/>
      </c>
      <c r="AQ726" s="109" t="str">
        <f t="shared" si="306"/>
        <v/>
      </c>
      <c r="BA726" s="229">
        <f>MOD(SUM(E714:E727),12)</f>
        <v>0</v>
      </c>
    </row>
    <row r="727" spans="1:53" ht="15.75" thickBot="1" x14ac:dyDescent="0.3">
      <c r="A727" s="88"/>
      <c r="B727" s="66" t="s">
        <v>291</v>
      </c>
      <c r="C727" s="67"/>
      <c r="D727" s="102"/>
      <c r="E727" s="32"/>
      <c r="F727" s="32"/>
      <c r="G727" s="68" t="s">
        <v>277</v>
      </c>
      <c r="H727" s="69">
        <f t="shared" si="307"/>
        <v>0</v>
      </c>
      <c r="I727" s="70">
        <f t="shared" si="308"/>
        <v>0</v>
      </c>
      <c r="J727" s="73" t="str">
        <f t="shared" si="309"/>
        <v>--</v>
      </c>
      <c r="K727" s="32"/>
      <c r="L727" s="233"/>
      <c r="M727" s="277"/>
      <c r="N727" s="277"/>
      <c r="O727" s="277"/>
      <c r="P727" s="277"/>
      <c r="Q727" s="277"/>
      <c r="R727" s="277"/>
      <c r="S727" s="277"/>
      <c r="T727" s="277"/>
      <c r="U727" s="278"/>
      <c r="V727" s="103"/>
      <c r="W727" s="84">
        <f>Y727+1</f>
        <v>133</v>
      </c>
      <c r="X727" s="84"/>
      <c r="Y727" s="78">
        <f>SUM(E714:E727)</f>
        <v>132</v>
      </c>
      <c r="Z727" s="72" t="str">
        <f t="shared" si="312"/>
        <v/>
      </c>
      <c r="AA727" s="72"/>
      <c r="AB727" s="72"/>
      <c r="AC727" s="72">
        <f t="shared" si="298"/>
        <v>1</v>
      </c>
      <c r="AD727" s="72">
        <f t="shared" si="299"/>
        <v>1</v>
      </c>
      <c r="AE727" s="109" t="str">
        <f t="shared" si="300"/>
        <v>0-0</v>
      </c>
      <c r="AF727" s="109" t="str">
        <f t="shared" si="301"/>
        <v>Y</v>
      </c>
      <c r="AG727" s="109" t="str">
        <f t="shared" si="302"/>
        <v>B</v>
      </c>
      <c r="AM727" s="109">
        <f t="shared" si="303"/>
        <v>0</v>
      </c>
      <c r="AN727" s="109">
        <f t="shared" si="304"/>
        <v>0</v>
      </c>
      <c r="AO727" s="109" t="str">
        <f t="shared" si="305"/>
        <v/>
      </c>
      <c r="AQ727" s="109" t="str">
        <f t="shared" si="306"/>
        <v/>
      </c>
      <c r="BA727" s="229">
        <f>MOD(SUM(E714:E728),12)</f>
        <v>0</v>
      </c>
    </row>
    <row r="728" spans="1:53" ht="15.75" thickBot="1" x14ac:dyDescent="0.3">
      <c r="A728" s="88"/>
      <c r="B728" s="66" t="s">
        <v>292</v>
      </c>
      <c r="C728" s="67"/>
      <c r="D728" s="102"/>
      <c r="E728" s="32"/>
      <c r="F728" s="32"/>
      <c r="G728" s="68" t="s">
        <v>277</v>
      </c>
      <c r="H728" s="69">
        <f t="shared" si="307"/>
        <v>0</v>
      </c>
      <c r="I728" s="70">
        <f t="shared" si="308"/>
        <v>0</v>
      </c>
      <c r="J728" s="73" t="str">
        <f t="shared" si="309"/>
        <v>--</v>
      </c>
      <c r="K728" s="32"/>
      <c r="L728" s="233"/>
      <c r="M728" s="277"/>
      <c r="N728" s="277"/>
      <c r="O728" s="277"/>
      <c r="P728" s="277"/>
      <c r="Q728" s="277"/>
      <c r="R728" s="277"/>
      <c r="S728" s="277"/>
      <c r="T728" s="277"/>
      <c r="U728" s="278"/>
      <c r="V728" s="103"/>
      <c r="W728" s="84">
        <f>Y728+1</f>
        <v>133</v>
      </c>
      <c r="X728" s="84"/>
      <c r="Y728" s="78">
        <f>SUM(E714:E728)</f>
        <v>132</v>
      </c>
      <c r="Z728" s="72" t="str">
        <f t="shared" si="312"/>
        <v/>
      </c>
      <c r="AA728" s="72" t="str">
        <f t="shared" ref="AA728:AA740" si="313">IF(AND(C726&lt;&gt;"Field SPL",W725&lt;=144,Y726&gt;144),"ERROR","")</f>
        <v/>
      </c>
      <c r="AB728" s="72"/>
      <c r="AC728" s="72">
        <f t="shared" si="298"/>
        <v>1</v>
      </c>
      <c r="AD728" s="72">
        <f t="shared" si="299"/>
        <v>1</v>
      </c>
      <c r="AE728" s="109" t="str">
        <f t="shared" si="300"/>
        <v>0-0</v>
      </c>
      <c r="AF728" s="109" t="str">
        <f t="shared" si="301"/>
        <v>Y</v>
      </c>
      <c r="AG728" s="109" t="str">
        <f t="shared" si="302"/>
        <v>B</v>
      </c>
      <c r="AM728" s="109">
        <f t="shared" si="303"/>
        <v>0</v>
      </c>
      <c r="AN728" s="109">
        <f t="shared" si="304"/>
        <v>0</v>
      </c>
      <c r="AO728" s="109" t="str">
        <f t="shared" si="305"/>
        <v/>
      </c>
      <c r="AQ728" s="109" t="str">
        <f t="shared" si="306"/>
        <v/>
      </c>
      <c r="BA728" s="229">
        <f>MOD(SUM(E714:E729),12)</f>
        <v>0</v>
      </c>
    </row>
    <row r="729" spans="1:53" ht="15.75" thickBot="1" x14ac:dyDescent="0.3">
      <c r="A729" s="88"/>
      <c r="B729" s="66" t="s">
        <v>293</v>
      </c>
      <c r="C729" s="67"/>
      <c r="D729" s="102"/>
      <c r="E729" s="32"/>
      <c r="F729" s="32"/>
      <c r="G729" s="68" t="s">
        <v>277</v>
      </c>
      <c r="H729" s="69">
        <f t="shared" si="307"/>
        <v>0</v>
      </c>
      <c r="I729" s="70">
        <f t="shared" si="308"/>
        <v>0</v>
      </c>
      <c r="J729" s="73" t="str">
        <f t="shared" si="309"/>
        <v>--</v>
      </c>
      <c r="K729" s="32"/>
      <c r="L729" s="233"/>
      <c r="M729" s="277"/>
      <c r="N729" s="277"/>
      <c r="O729" s="277"/>
      <c r="P729" s="277"/>
      <c r="Q729" s="277"/>
      <c r="R729" s="277"/>
      <c r="S729" s="277"/>
      <c r="T729" s="277"/>
      <c r="U729" s="278"/>
      <c r="V729" s="103"/>
      <c r="W729" s="84">
        <f t="shared" ref="W729:W737" si="314">Y729+1</f>
        <v>133</v>
      </c>
      <c r="X729" s="84"/>
      <c r="Y729" s="78">
        <f>SUM(E714:E729)</f>
        <v>132</v>
      </c>
      <c r="Z729" s="72" t="str">
        <f t="shared" si="312"/>
        <v/>
      </c>
      <c r="AA729" s="72" t="str">
        <f t="shared" si="313"/>
        <v/>
      </c>
      <c r="AB729" s="72"/>
      <c r="AC729" s="72">
        <f t="shared" si="298"/>
        <v>1</v>
      </c>
      <c r="AD729" s="72">
        <f t="shared" si="299"/>
        <v>1</v>
      </c>
      <c r="AE729" s="109" t="str">
        <f t="shared" si="300"/>
        <v>0-0</v>
      </c>
      <c r="AF729" s="109" t="str">
        <f t="shared" si="301"/>
        <v>Y</v>
      </c>
      <c r="AG729" s="109" t="str">
        <f t="shared" si="302"/>
        <v>B</v>
      </c>
      <c r="AM729" s="109">
        <f t="shared" si="303"/>
        <v>0</v>
      </c>
      <c r="AN729" s="109">
        <f t="shared" si="304"/>
        <v>0</v>
      </c>
      <c r="AO729" s="109" t="str">
        <f t="shared" si="305"/>
        <v/>
      </c>
      <c r="AQ729" s="109" t="str">
        <f t="shared" si="306"/>
        <v/>
      </c>
      <c r="BA729" s="229">
        <f>MOD(SUM(E714:E730),12)</f>
        <v>0</v>
      </c>
    </row>
    <row r="730" spans="1:53" ht="15.75" thickBot="1" x14ac:dyDescent="0.3">
      <c r="A730" s="88"/>
      <c r="B730" s="66" t="s">
        <v>294</v>
      </c>
      <c r="C730" s="67"/>
      <c r="D730" s="102"/>
      <c r="E730" s="32"/>
      <c r="F730" s="32"/>
      <c r="G730" s="68" t="s">
        <v>277</v>
      </c>
      <c r="H730" s="69">
        <f t="shared" si="307"/>
        <v>0</v>
      </c>
      <c r="I730" s="70">
        <f t="shared" si="308"/>
        <v>0</v>
      </c>
      <c r="J730" s="73" t="str">
        <f t="shared" si="309"/>
        <v>--</v>
      </c>
      <c r="K730" s="32"/>
      <c r="L730" s="233"/>
      <c r="M730" s="277"/>
      <c r="N730" s="277"/>
      <c r="O730" s="277"/>
      <c r="P730" s="277"/>
      <c r="Q730" s="277"/>
      <c r="R730" s="277"/>
      <c r="S730" s="277"/>
      <c r="T730" s="277"/>
      <c r="U730" s="278"/>
      <c r="V730" s="103"/>
      <c r="W730" s="84">
        <f t="shared" si="314"/>
        <v>133</v>
      </c>
      <c r="X730" s="84"/>
      <c r="Y730" s="78">
        <f>SUM(E714:E730)</f>
        <v>132</v>
      </c>
      <c r="Z730" s="72" t="str">
        <f t="shared" si="312"/>
        <v/>
      </c>
      <c r="AA730" s="72" t="str">
        <f t="shared" si="313"/>
        <v/>
      </c>
      <c r="AB730" s="72"/>
      <c r="AC730" s="72">
        <f t="shared" si="298"/>
        <v>1</v>
      </c>
      <c r="AD730" s="72">
        <f t="shared" si="299"/>
        <v>1</v>
      </c>
      <c r="AE730" s="109" t="str">
        <f t="shared" si="300"/>
        <v>0-0</v>
      </c>
      <c r="AF730" s="109" t="str">
        <f t="shared" si="301"/>
        <v>Y</v>
      </c>
      <c r="AG730" s="109" t="str">
        <f t="shared" si="302"/>
        <v>B</v>
      </c>
      <c r="AM730" s="109">
        <f t="shared" si="303"/>
        <v>0</v>
      </c>
      <c r="AN730" s="109">
        <f t="shared" si="304"/>
        <v>0</v>
      </c>
      <c r="AO730" s="109" t="str">
        <f t="shared" si="305"/>
        <v/>
      </c>
      <c r="AQ730" s="109" t="str">
        <f t="shared" si="306"/>
        <v/>
      </c>
      <c r="BA730" s="229">
        <f>MOD(SUM(E714:E731),12)</f>
        <v>0</v>
      </c>
    </row>
    <row r="731" spans="1:53" ht="15.75" thickBot="1" x14ac:dyDescent="0.3">
      <c r="A731" s="88"/>
      <c r="B731" s="66" t="s">
        <v>295</v>
      </c>
      <c r="C731" s="67"/>
      <c r="D731" s="102"/>
      <c r="E731" s="32"/>
      <c r="F731" s="32"/>
      <c r="G731" s="68" t="s">
        <v>277</v>
      </c>
      <c r="H731" s="69">
        <f t="shared" si="307"/>
        <v>0</v>
      </c>
      <c r="I731" s="70">
        <f t="shared" si="308"/>
        <v>0</v>
      </c>
      <c r="J731" s="73" t="str">
        <f t="shared" si="309"/>
        <v>--</v>
      </c>
      <c r="K731" s="32"/>
      <c r="L731" s="233"/>
      <c r="M731" s="277"/>
      <c r="N731" s="277"/>
      <c r="O731" s="277"/>
      <c r="P731" s="277"/>
      <c r="Q731" s="277"/>
      <c r="R731" s="277"/>
      <c r="S731" s="277"/>
      <c r="T731" s="277"/>
      <c r="U731" s="278"/>
      <c r="V731" s="103"/>
      <c r="W731" s="84">
        <f t="shared" si="314"/>
        <v>133</v>
      </c>
      <c r="X731" s="84"/>
      <c r="Y731" s="78">
        <f>SUM(E714:E731)</f>
        <v>132</v>
      </c>
      <c r="Z731" s="72" t="str">
        <f t="shared" si="312"/>
        <v/>
      </c>
      <c r="AA731" s="72" t="str">
        <f t="shared" si="313"/>
        <v/>
      </c>
      <c r="AB731" s="72"/>
      <c r="AC731" s="72">
        <f t="shared" si="298"/>
        <v>1</v>
      </c>
      <c r="AD731" s="72">
        <f t="shared" si="299"/>
        <v>1</v>
      </c>
      <c r="AE731" s="109" t="str">
        <f t="shared" si="300"/>
        <v>0-0</v>
      </c>
      <c r="AF731" s="109" t="str">
        <f t="shared" si="301"/>
        <v>Y</v>
      </c>
      <c r="AG731" s="109" t="str">
        <f t="shared" si="302"/>
        <v>B</v>
      </c>
      <c r="AM731" s="109">
        <f t="shared" si="303"/>
        <v>0</v>
      </c>
      <c r="AN731" s="109">
        <f t="shared" si="304"/>
        <v>0</v>
      </c>
      <c r="AO731" s="109" t="str">
        <f t="shared" si="305"/>
        <v/>
      </c>
      <c r="AQ731" s="109" t="str">
        <f t="shared" si="306"/>
        <v/>
      </c>
      <c r="BA731" s="229">
        <f>MOD(SUM(E714:E732),12)</f>
        <v>0</v>
      </c>
    </row>
    <row r="732" spans="1:53" ht="15.75" thickBot="1" x14ac:dyDescent="0.3">
      <c r="A732" s="88"/>
      <c r="B732" s="66" t="s">
        <v>296</v>
      </c>
      <c r="C732" s="67"/>
      <c r="D732" s="102"/>
      <c r="E732" s="32"/>
      <c r="F732" s="32"/>
      <c r="G732" s="68" t="s">
        <v>277</v>
      </c>
      <c r="H732" s="69">
        <f t="shared" si="307"/>
        <v>0</v>
      </c>
      <c r="I732" s="70">
        <f t="shared" si="308"/>
        <v>0</v>
      </c>
      <c r="J732" s="73" t="str">
        <f t="shared" si="309"/>
        <v>--</v>
      </c>
      <c r="K732" s="32"/>
      <c r="L732" s="233"/>
      <c r="M732" s="277"/>
      <c r="N732" s="277"/>
      <c r="O732" s="277"/>
      <c r="P732" s="277"/>
      <c r="Q732" s="277"/>
      <c r="R732" s="277"/>
      <c r="S732" s="277"/>
      <c r="T732" s="277"/>
      <c r="U732" s="278"/>
      <c r="V732" s="103"/>
      <c r="W732" s="84">
        <f t="shared" si="314"/>
        <v>133</v>
      </c>
      <c r="X732" s="84"/>
      <c r="Y732" s="78">
        <f>SUM(E714:E732)</f>
        <v>132</v>
      </c>
      <c r="Z732" s="72" t="str">
        <f t="shared" si="312"/>
        <v/>
      </c>
      <c r="AA732" s="72" t="str">
        <f t="shared" si="313"/>
        <v/>
      </c>
      <c r="AB732" s="72"/>
      <c r="AC732" s="72">
        <f t="shared" si="298"/>
        <v>1</v>
      </c>
      <c r="AD732" s="72">
        <f t="shared" si="299"/>
        <v>1</v>
      </c>
      <c r="AE732" s="109" t="str">
        <f t="shared" si="300"/>
        <v>0-0</v>
      </c>
      <c r="AF732" s="109" t="str">
        <f t="shared" si="301"/>
        <v>Y</v>
      </c>
      <c r="AG732" s="109" t="str">
        <f t="shared" si="302"/>
        <v>B</v>
      </c>
      <c r="AM732" s="109">
        <f t="shared" si="303"/>
        <v>0</v>
      </c>
      <c r="AN732" s="109">
        <f t="shared" si="304"/>
        <v>0</v>
      </c>
      <c r="AO732" s="109" t="str">
        <f t="shared" si="305"/>
        <v/>
      </c>
      <c r="AQ732" s="109" t="str">
        <f t="shared" si="306"/>
        <v/>
      </c>
      <c r="BA732" s="229">
        <f>MOD(SUM(E714:E733),12)</f>
        <v>0</v>
      </c>
    </row>
    <row r="733" spans="1:53" ht="15.75" thickBot="1" x14ac:dyDescent="0.3">
      <c r="A733" s="88"/>
      <c r="B733" s="66" t="s">
        <v>297</v>
      </c>
      <c r="C733" s="67"/>
      <c r="D733" s="102"/>
      <c r="E733" s="32"/>
      <c r="F733" s="32"/>
      <c r="G733" s="68" t="s">
        <v>277</v>
      </c>
      <c r="H733" s="69">
        <f t="shared" si="307"/>
        <v>0</v>
      </c>
      <c r="I733" s="70">
        <f t="shared" si="308"/>
        <v>0</v>
      </c>
      <c r="J733" s="73" t="str">
        <f t="shared" si="309"/>
        <v>--</v>
      </c>
      <c r="K733" s="32"/>
      <c r="L733" s="233"/>
      <c r="M733" s="277"/>
      <c r="N733" s="277"/>
      <c r="O733" s="277"/>
      <c r="P733" s="277"/>
      <c r="Q733" s="277"/>
      <c r="R733" s="277"/>
      <c r="S733" s="277"/>
      <c r="T733" s="277"/>
      <c r="U733" s="278"/>
      <c r="V733" s="103"/>
      <c r="W733" s="84">
        <f t="shared" si="314"/>
        <v>133</v>
      </c>
      <c r="X733" s="84"/>
      <c r="Y733" s="78">
        <f>SUM(E714:E733)</f>
        <v>132</v>
      </c>
      <c r="Z733" s="72" t="str">
        <f t="shared" si="312"/>
        <v/>
      </c>
      <c r="AA733" s="72" t="str">
        <f t="shared" si="313"/>
        <v/>
      </c>
      <c r="AB733" s="72"/>
      <c r="AC733" s="72">
        <f t="shared" si="298"/>
        <v>1</v>
      </c>
      <c r="AD733" s="72">
        <f t="shared" si="299"/>
        <v>1</v>
      </c>
      <c r="AE733" s="109" t="str">
        <f t="shared" si="300"/>
        <v>0-0</v>
      </c>
      <c r="AF733" s="109" t="str">
        <f t="shared" si="301"/>
        <v>Y</v>
      </c>
      <c r="AG733" s="109" t="str">
        <f t="shared" si="302"/>
        <v>B</v>
      </c>
      <c r="AM733" s="109">
        <f t="shared" si="303"/>
        <v>0</v>
      </c>
      <c r="AN733" s="109">
        <f t="shared" si="304"/>
        <v>0</v>
      </c>
      <c r="AO733" s="109" t="str">
        <f t="shared" si="305"/>
        <v/>
      </c>
      <c r="AQ733" s="109" t="str">
        <f t="shared" si="306"/>
        <v/>
      </c>
      <c r="BA733" s="229">
        <f>MOD(SUM(E714:E734),12)</f>
        <v>0</v>
      </c>
    </row>
    <row r="734" spans="1:53" ht="15.75" thickBot="1" x14ac:dyDescent="0.3">
      <c r="A734" s="88"/>
      <c r="B734" s="66" t="s">
        <v>298</v>
      </c>
      <c r="C734" s="67"/>
      <c r="D734" s="102"/>
      <c r="E734" s="32"/>
      <c r="F734" s="32"/>
      <c r="G734" s="68" t="s">
        <v>277</v>
      </c>
      <c r="H734" s="69">
        <f t="shared" si="307"/>
        <v>0</v>
      </c>
      <c r="I734" s="70">
        <f t="shared" si="308"/>
        <v>0</v>
      </c>
      <c r="J734" s="73" t="str">
        <f t="shared" si="309"/>
        <v>--</v>
      </c>
      <c r="K734" s="32"/>
      <c r="L734" s="233"/>
      <c r="M734" s="277"/>
      <c r="N734" s="277"/>
      <c r="O734" s="277"/>
      <c r="P734" s="277"/>
      <c r="Q734" s="277"/>
      <c r="R734" s="277"/>
      <c r="S734" s="277"/>
      <c r="T734" s="277"/>
      <c r="U734" s="278"/>
      <c r="V734" s="103"/>
      <c r="W734" s="84">
        <f t="shared" si="314"/>
        <v>133</v>
      </c>
      <c r="X734" s="84"/>
      <c r="Y734" s="78">
        <f>SUM(E714:E734)</f>
        <v>132</v>
      </c>
      <c r="Z734" s="72" t="str">
        <f t="shared" si="312"/>
        <v/>
      </c>
      <c r="AA734" s="72" t="str">
        <f t="shared" si="313"/>
        <v/>
      </c>
      <c r="AB734" s="72"/>
      <c r="AC734" s="72">
        <f t="shared" si="298"/>
        <v>1</v>
      </c>
      <c r="AD734" s="72">
        <f t="shared" si="299"/>
        <v>1</v>
      </c>
      <c r="AE734" s="109" t="str">
        <f t="shared" si="300"/>
        <v>0-0</v>
      </c>
      <c r="AF734" s="109" t="str">
        <f t="shared" si="301"/>
        <v>Y</v>
      </c>
      <c r="AG734" s="109" t="str">
        <f t="shared" si="302"/>
        <v>B</v>
      </c>
      <c r="AM734" s="109">
        <f t="shared" si="303"/>
        <v>0</v>
      </c>
      <c r="AN734" s="109">
        <f t="shared" si="304"/>
        <v>0</v>
      </c>
      <c r="AO734" s="109" t="str">
        <f t="shared" si="305"/>
        <v/>
      </c>
      <c r="AQ734" s="109" t="str">
        <f t="shared" si="306"/>
        <v/>
      </c>
      <c r="BA734" s="229">
        <f>MOD(SUM(E714:E735),12)</f>
        <v>0</v>
      </c>
    </row>
    <row r="735" spans="1:53" ht="15.75" thickBot="1" x14ac:dyDescent="0.3">
      <c r="A735" s="88"/>
      <c r="B735" s="66" t="s">
        <v>299</v>
      </c>
      <c r="C735" s="67"/>
      <c r="D735" s="102"/>
      <c r="E735" s="32"/>
      <c r="F735" s="32"/>
      <c r="G735" s="68" t="s">
        <v>277</v>
      </c>
      <c r="H735" s="69">
        <f t="shared" si="307"/>
        <v>0</v>
      </c>
      <c r="I735" s="70">
        <f t="shared" si="308"/>
        <v>0</v>
      </c>
      <c r="J735" s="73" t="str">
        <f t="shared" si="309"/>
        <v>--</v>
      </c>
      <c r="K735" s="32"/>
      <c r="L735" s="233"/>
      <c r="M735" s="277"/>
      <c r="N735" s="277"/>
      <c r="O735" s="277"/>
      <c r="P735" s="277"/>
      <c r="Q735" s="277"/>
      <c r="R735" s="277"/>
      <c r="S735" s="277"/>
      <c r="T735" s="277"/>
      <c r="U735" s="278"/>
      <c r="V735" s="103"/>
      <c r="W735" s="84">
        <f t="shared" si="314"/>
        <v>133</v>
      </c>
      <c r="X735" s="84"/>
      <c r="Y735" s="78">
        <f>SUM(E714:E735)</f>
        <v>132</v>
      </c>
      <c r="Z735" s="72" t="str">
        <f t="shared" si="312"/>
        <v/>
      </c>
      <c r="AA735" s="72" t="str">
        <f t="shared" si="313"/>
        <v/>
      </c>
      <c r="AB735" s="72"/>
      <c r="AC735" s="72">
        <f t="shared" si="298"/>
        <v>1</v>
      </c>
      <c r="AD735" s="72">
        <f t="shared" si="299"/>
        <v>1</v>
      </c>
      <c r="AE735" s="109" t="str">
        <f t="shared" si="300"/>
        <v>0-0</v>
      </c>
      <c r="AF735" s="109" t="str">
        <f t="shared" si="301"/>
        <v>Y</v>
      </c>
      <c r="AG735" s="109" t="str">
        <f t="shared" si="302"/>
        <v>B</v>
      </c>
      <c r="AM735" s="109">
        <f t="shared" si="303"/>
        <v>0</v>
      </c>
      <c r="AN735" s="109">
        <f t="shared" si="304"/>
        <v>0</v>
      </c>
      <c r="AO735" s="109" t="str">
        <f t="shared" si="305"/>
        <v/>
      </c>
      <c r="AQ735" s="109" t="str">
        <f t="shared" si="306"/>
        <v/>
      </c>
      <c r="BA735" s="229">
        <f>MOD(SUM(E714:E736),12)</f>
        <v>0</v>
      </c>
    </row>
    <row r="736" spans="1:53" ht="15.75" thickBot="1" x14ac:dyDescent="0.3">
      <c r="A736" s="88"/>
      <c r="B736" s="66" t="s">
        <v>300</v>
      </c>
      <c r="C736" s="67"/>
      <c r="D736" s="102"/>
      <c r="E736" s="32"/>
      <c r="F736" s="32"/>
      <c r="G736" s="68" t="s">
        <v>277</v>
      </c>
      <c r="H736" s="69">
        <f t="shared" si="307"/>
        <v>0</v>
      </c>
      <c r="I736" s="70">
        <f t="shared" si="308"/>
        <v>0</v>
      </c>
      <c r="J736" s="73" t="str">
        <f t="shared" si="309"/>
        <v>--</v>
      </c>
      <c r="K736" s="32"/>
      <c r="L736" s="233"/>
      <c r="M736" s="277"/>
      <c r="N736" s="277"/>
      <c r="O736" s="277"/>
      <c r="P736" s="277"/>
      <c r="Q736" s="277"/>
      <c r="R736" s="277"/>
      <c r="S736" s="277"/>
      <c r="T736" s="277"/>
      <c r="U736" s="278"/>
      <c r="V736" s="103"/>
      <c r="W736" s="84">
        <f t="shared" si="314"/>
        <v>133</v>
      </c>
      <c r="X736" s="84"/>
      <c r="Y736" s="78">
        <f>SUM(E714:E736)</f>
        <v>132</v>
      </c>
      <c r="Z736" s="72" t="str">
        <f t="shared" si="312"/>
        <v/>
      </c>
      <c r="AA736" s="72" t="str">
        <f t="shared" si="313"/>
        <v/>
      </c>
      <c r="AB736" s="72"/>
      <c r="AC736" s="72">
        <f t="shared" si="298"/>
        <v>1</v>
      </c>
      <c r="AD736" s="72">
        <f t="shared" si="299"/>
        <v>1</v>
      </c>
      <c r="AE736" s="109" t="str">
        <f t="shared" si="300"/>
        <v>0-0</v>
      </c>
      <c r="AF736" s="109" t="str">
        <f t="shared" si="301"/>
        <v>Y</v>
      </c>
      <c r="AG736" s="109" t="str">
        <f t="shared" si="302"/>
        <v>B</v>
      </c>
      <c r="AM736" s="109">
        <f t="shared" si="303"/>
        <v>0</v>
      </c>
      <c r="AN736" s="109">
        <f t="shared" si="304"/>
        <v>0</v>
      </c>
      <c r="AO736" s="109" t="str">
        <f t="shared" si="305"/>
        <v/>
      </c>
      <c r="AQ736" s="109" t="str">
        <f t="shared" si="306"/>
        <v/>
      </c>
      <c r="BA736" s="229">
        <f>MOD(SUM(E714:E737),12)</f>
        <v>0</v>
      </c>
    </row>
    <row r="737" spans="1:53" ht="15.75" thickBot="1" x14ac:dyDescent="0.3">
      <c r="A737" s="88"/>
      <c r="B737" s="66" t="s">
        <v>301</v>
      </c>
      <c r="C737" s="67"/>
      <c r="D737" s="102"/>
      <c r="E737" s="32"/>
      <c r="F737" s="32"/>
      <c r="G737" s="68" t="s">
        <v>277</v>
      </c>
      <c r="H737" s="69">
        <f t="shared" si="307"/>
        <v>0</v>
      </c>
      <c r="I737" s="70">
        <f t="shared" si="308"/>
        <v>0</v>
      </c>
      <c r="J737" s="73" t="str">
        <f t="shared" si="309"/>
        <v>--</v>
      </c>
      <c r="K737" s="32"/>
      <c r="L737" s="233"/>
      <c r="M737" s="277"/>
      <c r="N737" s="277"/>
      <c r="O737" s="277"/>
      <c r="P737" s="277"/>
      <c r="Q737" s="277"/>
      <c r="R737" s="277"/>
      <c r="S737" s="277"/>
      <c r="T737" s="277"/>
      <c r="U737" s="278"/>
      <c r="V737" s="103"/>
      <c r="W737" s="84">
        <f t="shared" si="314"/>
        <v>133</v>
      </c>
      <c r="X737" s="84"/>
      <c r="Y737" s="78">
        <f>SUM(E714:E737)</f>
        <v>132</v>
      </c>
      <c r="Z737" s="72" t="str">
        <f t="shared" si="312"/>
        <v/>
      </c>
      <c r="AA737" s="72" t="str">
        <f t="shared" si="313"/>
        <v/>
      </c>
      <c r="AB737" s="72"/>
      <c r="AC737" s="72">
        <f t="shared" si="298"/>
        <v>1</v>
      </c>
      <c r="AD737" s="72">
        <f t="shared" si="299"/>
        <v>1</v>
      </c>
      <c r="AE737" s="109" t="str">
        <f t="shared" si="300"/>
        <v>0-0</v>
      </c>
      <c r="AF737" s="109" t="str">
        <f t="shared" si="301"/>
        <v>Y</v>
      </c>
      <c r="AG737" s="109" t="str">
        <f t="shared" si="302"/>
        <v>B</v>
      </c>
      <c r="AM737" s="109">
        <f t="shared" si="303"/>
        <v>0</v>
      </c>
      <c r="AN737" s="109">
        <f t="shared" si="304"/>
        <v>0</v>
      </c>
      <c r="AO737" s="109" t="str">
        <f t="shared" si="305"/>
        <v/>
      </c>
      <c r="AQ737" s="109" t="str">
        <f t="shared" si="306"/>
        <v/>
      </c>
      <c r="BA737" s="229">
        <f>MOD(SUM(E714:E738),12)</f>
        <v>0</v>
      </c>
    </row>
    <row r="738" spans="1:53" ht="15.75" thickBot="1" x14ac:dyDescent="0.3">
      <c r="A738" s="88"/>
      <c r="B738" s="66" t="s">
        <v>302</v>
      </c>
      <c r="C738" s="67"/>
      <c r="D738" s="102"/>
      <c r="E738" s="32"/>
      <c r="F738" s="32"/>
      <c r="G738" s="68" t="s">
        <v>277</v>
      </c>
      <c r="H738" s="69">
        <f t="shared" si="307"/>
        <v>0</v>
      </c>
      <c r="I738" s="70">
        <f t="shared" si="308"/>
        <v>0</v>
      </c>
      <c r="J738" s="73" t="str">
        <f t="shared" si="309"/>
        <v>--</v>
      </c>
      <c r="K738" s="32"/>
      <c r="L738" s="234"/>
      <c r="M738" s="277"/>
      <c r="N738" s="277"/>
      <c r="O738" s="277"/>
      <c r="P738" s="277"/>
      <c r="Q738" s="277"/>
      <c r="R738" s="277"/>
      <c r="S738" s="277"/>
      <c r="T738" s="277"/>
      <c r="U738" s="278"/>
      <c r="V738" s="103"/>
      <c r="W738" s="72"/>
      <c r="X738" s="72"/>
      <c r="Y738" s="78">
        <f>SUM(E714:E738)</f>
        <v>132</v>
      </c>
      <c r="Z738" s="72" t="str">
        <f t="shared" si="312"/>
        <v/>
      </c>
      <c r="AA738" s="72" t="str">
        <f t="shared" si="313"/>
        <v/>
      </c>
      <c r="AB738" s="72"/>
      <c r="AC738" s="72">
        <f t="shared" si="298"/>
        <v>1</v>
      </c>
      <c r="AD738" s="72">
        <f t="shared" si="299"/>
        <v>1</v>
      </c>
      <c r="AE738" s="109" t="str">
        <f t="shared" si="300"/>
        <v>0-0</v>
      </c>
      <c r="AF738" s="109" t="str">
        <f t="shared" si="301"/>
        <v>Y</v>
      </c>
      <c r="AG738" s="109" t="str">
        <f t="shared" si="302"/>
        <v>B</v>
      </c>
      <c r="AM738" s="109">
        <f t="shared" si="303"/>
        <v>0</v>
      </c>
      <c r="AN738" s="109">
        <f t="shared" si="304"/>
        <v>0</v>
      </c>
      <c r="AO738" s="109" t="str">
        <f t="shared" si="305"/>
        <v/>
      </c>
      <c r="AQ738" s="109" t="str">
        <f t="shared" si="306"/>
        <v/>
      </c>
      <c r="BA738" s="228"/>
    </row>
    <row r="739" spans="1:53" ht="16.5" thickBot="1" x14ac:dyDescent="0.3">
      <c r="A739" s="88"/>
      <c r="B739" s="319" t="s">
        <v>339</v>
      </c>
      <c r="C739" s="320"/>
      <c r="D739" s="79"/>
      <c r="E739" s="80"/>
      <c r="F739" s="80"/>
      <c r="G739" s="81"/>
      <c r="H739" s="192"/>
      <c r="I739" s="192"/>
      <c r="J739" s="192"/>
      <c r="K739" s="82"/>
      <c r="L739" s="319" t="s">
        <v>306</v>
      </c>
      <c r="M739" s="330"/>
      <c r="N739" s="330"/>
      <c r="O739" s="330"/>
      <c r="P739" s="330"/>
      <c r="Q739" s="330"/>
      <c r="R739" s="330"/>
      <c r="S739" s="330"/>
      <c r="T739" s="330"/>
      <c r="U739" s="320"/>
      <c r="V739" s="104"/>
      <c r="W739" s="72"/>
      <c r="X739" s="72"/>
      <c r="Y739" s="72"/>
      <c r="Z739" s="72"/>
      <c r="AA739" s="72" t="str">
        <f t="shared" si="313"/>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319" t="s">
        <v>307</v>
      </c>
      <c r="C740" s="320"/>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13"/>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312" t="s">
        <v>222</v>
      </c>
      <c r="C744" s="313"/>
      <c r="D744" s="314" t="s">
        <v>223</v>
      </c>
      <c r="E744" s="305"/>
      <c r="F744" s="88"/>
      <c r="G744" s="315" t="s">
        <v>224</v>
      </c>
      <c r="H744" s="316"/>
      <c r="I744" s="28">
        <f>SUM(E755:E779)</f>
        <v>60</v>
      </c>
      <c r="J744" s="317" t="s">
        <v>225</v>
      </c>
      <c r="K744" s="318"/>
      <c r="L744" s="305"/>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5" t="s">
        <v>226</v>
      </c>
      <c r="AA744" s="296"/>
      <c r="AB744" s="297"/>
      <c r="AC744" s="25"/>
      <c r="AD744" s="25"/>
      <c r="AH744" s="109">
        <v>2</v>
      </c>
      <c r="AI744" s="109" t="str">
        <f>IF($E745="SS",COUNTIFS($C755:$C779,"FST",$E755:$E779,"2"),"0")</f>
        <v>0</v>
      </c>
      <c r="AJ744" s="109" t="str">
        <f>IF($E745="RPX",COUNTIFS($C755:$C779,"FST",$E755:$E779,"2"),"0")</f>
        <v>0</v>
      </c>
      <c r="AK744" s="109">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EUC</v>
      </c>
      <c r="F745" s="88"/>
      <c r="G745" s="304" t="s">
        <v>230</v>
      </c>
      <c r="H745" s="305"/>
      <c r="I745" s="33">
        <f>E746-I744</f>
        <v>12</v>
      </c>
      <c r="J745" s="289" t="s">
        <v>231</v>
      </c>
      <c r="K745" s="290"/>
      <c r="L745" s="34">
        <f>I749</f>
        <v>493</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298" t="s">
        <v>232</v>
      </c>
      <c r="AA745" s="300" t="s">
        <v>233</v>
      </c>
      <c r="AB745" s="301"/>
      <c r="AC745" s="25"/>
      <c r="AD745" s="25"/>
      <c r="AH745" s="109">
        <v>4</v>
      </c>
      <c r="AI745" s="109" t="str">
        <f>IF($E745="SS",COUNTIFS($C755:$C779,"FST",$E755:$E779,"4"),"0")</f>
        <v>0</v>
      </c>
      <c r="AJ745" s="109" t="str">
        <f>IF($E745="RPX",COUNTIFS($C755:$C779,"FST",$E755:$E779,"4"),"0")</f>
        <v>0</v>
      </c>
      <c r="AK745" s="109">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72</v>
      </c>
      <c r="F746" s="88"/>
      <c r="G746" s="291" t="s">
        <v>237</v>
      </c>
      <c r="H746" s="292"/>
      <c r="I746" s="35">
        <f>IF(E746=0,0,12-(MOD(I744,12)))</f>
        <v>12</v>
      </c>
      <c r="J746" s="289" t="s">
        <v>238</v>
      </c>
      <c r="K746" s="290"/>
      <c r="L746" s="39">
        <f>I750-I744</f>
        <v>492</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299"/>
      <c r="AA746" s="302"/>
      <c r="AB746" s="303"/>
      <c r="AC746" s="25"/>
      <c r="AD746" s="25"/>
      <c r="AH746" s="109">
        <v>6</v>
      </c>
      <c r="AI746" s="109" t="str">
        <f>IF($E745="SS",COUNTIFS($C755:$C779,"FST",$E755:$E779,"6"),"0")</f>
        <v>0</v>
      </c>
      <c r="AJ746" s="109" t="str">
        <f>IF($E745="RPX",COUNTIFS($C755:$C779,"FST",$E755:$E779,"6"),"0")</f>
        <v>0</v>
      </c>
      <c r="AK746" s="109">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12</v>
      </c>
      <c r="F747" s="88"/>
      <c r="G747" s="321" t="s">
        <v>242</v>
      </c>
      <c r="H747" s="43" t="s">
        <v>243</v>
      </c>
      <c r="I747" s="35">
        <f>IF(E747&lt;&gt;0,1,0)</f>
        <v>1</v>
      </c>
      <c r="J747" s="291" t="s">
        <v>244</v>
      </c>
      <c r="K747" s="292"/>
      <c r="L747" s="44">
        <f>'Cable Calculator'!CP3</f>
        <v>1455</v>
      </c>
      <c r="M747" s="196">
        <v>8</v>
      </c>
      <c r="N747" s="35">
        <f>SUM(AI747,AI758)</f>
        <v>0</v>
      </c>
      <c r="O747" s="35">
        <v>0</v>
      </c>
      <c r="P747" s="35">
        <f>SUM(AJ747,AJ758)</f>
        <v>0</v>
      </c>
      <c r="Q747" s="35">
        <v>0</v>
      </c>
      <c r="R747" s="35">
        <f>COUNTIFS($E755:$E779,"8",$F755:$F779,"Pole",$C755:$C779,"FST")</f>
        <v>0</v>
      </c>
      <c r="S747" s="35">
        <f>SUM(AL747,AK758)</f>
        <v>0</v>
      </c>
      <c r="T747" s="35">
        <v>0</v>
      </c>
      <c r="U747" s="35">
        <f>SUM(AK747,AL758)</f>
        <v>3</v>
      </c>
      <c r="V747" s="35">
        <v>0</v>
      </c>
      <c r="W747" s="34">
        <f>COUNTIFS($E755:$E779,"8",$F755:$F779,"HH",$C755:$C779,"FST")</f>
        <v>3</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f>IF($E745="EUC",COUNTIFS($C755:$C779,"FST",$E755:$E779,"8"),"0")</f>
        <v>3</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493</v>
      </c>
      <c r="F748" s="88"/>
      <c r="G748" s="322"/>
      <c r="H748" s="47" t="s">
        <v>248</v>
      </c>
      <c r="I748" s="35">
        <f>IF(E747&lt;&gt;0,E747,0)</f>
        <v>12</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f>IF($E745="EUC",SUM(AK748,AL759,AM780,AO780,AQ780),"0")</f>
        <v>2</v>
      </c>
      <c r="V748" s="35">
        <f>IF($E745="EUC",SUM($AN780,AP780,AR780),"0")</f>
        <v>1</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6</v>
      </c>
      <c r="F749" s="88"/>
      <c r="G749" s="321" t="s">
        <v>251</v>
      </c>
      <c r="H749" s="51" t="s">
        <v>252</v>
      </c>
      <c r="I749" s="112">
        <f>E748</f>
        <v>493</v>
      </c>
      <c r="J749" s="323" t="s">
        <v>253</v>
      </c>
      <c r="K749" s="324"/>
      <c r="L749" s="325"/>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N</v>
      </c>
      <c r="F750" s="88"/>
      <c r="G750" s="322"/>
      <c r="H750" s="47" t="s">
        <v>257</v>
      </c>
      <c r="I750" s="35">
        <f>IF(E748="","0",IF(AND(E745="EUC",E746=432), I749+(203-E747),IF(E748=0,0,(E748+(E746-E747)-1))))</f>
        <v>552</v>
      </c>
      <c r="J750" s="285" t="str">
        <f>IFERROR(IF(OR(E745="EUC",E745="SS"),"---",IF(OR(P744,S744),"NO 2F Tethers for RPX!",IF(OR(P746,S746),"NO 6F Tethers for RPX!","---"))),"---")</f>
        <v>---</v>
      </c>
      <c r="K750" s="286"/>
      <c r="L750" s="287"/>
      <c r="M750" s="285" t="str">
        <f>IF(E747&gt;60,"Dead Count &gt;60: Consider Downsize","---")</f>
        <v>---</v>
      </c>
      <c r="N750" s="286"/>
      <c r="O750" s="286"/>
      <c r="P750" s="286"/>
      <c r="Q750" s="286"/>
      <c r="R750" s="286"/>
      <c r="S750" s="286"/>
      <c r="T750" s="286"/>
      <c r="U750" s="287"/>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60</v>
      </c>
      <c r="D751" s="31" t="s">
        <v>259</v>
      </c>
      <c r="E751" s="101" t="str">
        <f>IF(AS745="Y","DBL",IF(AS746="Y","TRPL",IF(AS747="Y","QUAD","")))</f>
        <v/>
      </c>
      <c r="F751" s="88"/>
      <c r="G751" s="192"/>
      <c r="H751" s="57"/>
      <c r="I751" s="192"/>
      <c r="J751" s="285"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86"/>
      <c r="L751" s="287"/>
      <c r="M751" s="285" t="str">
        <f>IF(AND(OR(E745="SS",E745="RPX",E745="EUC",E745="RPX-T"),(OR(C755="",C755="Field SPL"))),"Cannot have FlexNap cables without tethers","---")</f>
        <v>---</v>
      </c>
      <c r="N751" s="286"/>
      <c r="O751" s="286"/>
      <c r="P751" s="286"/>
      <c r="Q751" s="286"/>
      <c r="R751" s="286"/>
      <c r="S751" s="286"/>
      <c r="T751" s="286"/>
      <c r="U751" s="287"/>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85" t="str">
        <f>IF(AND(OR(E745="RPX", E745="RPX-T", E745="SS"),E746=216),"NO 216 For RPX, RPX-T, OR SS CABLE","---")</f>
        <v>---</v>
      </c>
      <c r="K752" s="286"/>
      <c r="L752" s="287"/>
      <c r="M752" s="285" t="str" cm="1">
        <f t="array" ref="M752">IF(AND(E745="",OR(C755:C779="FST",C755:C779="REV T",C755:C779="DBL REV",C755:C779="TPL REV", C755:C779="QD REV")),"Non-FlexNap cables cannot have tethers","---")</f>
        <v>---</v>
      </c>
      <c r="N752" s="286"/>
      <c r="O752" s="286"/>
      <c r="P752" s="286"/>
      <c r="Q752" s="286"/>
      <c r="R752" s="286"/>
      <c r="S752" s="286"/>
      <c r="T752" s="286"/>
      <c r="U752" s="287"/>
      <c r="V752" s="25"/>
      <c r="W752" s="58"/>
      <c r="X752" s="58"/>
      <c r="Y752" s="25"/>
      <c r="Z752" s="45">
        <v>6</v>
      </c>
      <c r="AA752" s="65">
        <v>61</v>
      </c>
      <c r="AB752" s="65">
        <v>72</v>
      </c>
      <c r="AC752" s="25"/>
      <c r="AD752" s="25"/>
      <c r="BA752" s="226"/>
    </row>
    <row r="753" spans="1:53" ht="15.75" customHeight="1" thickBot="1" x14ac:dyDescent="0.3">
      <c r="A753" s="88"/>
      <c r="B753" s="321" t="s">
        <v>260</v>
      </c>
      <c r="C753" s="293" t="s">
        <v>261</v>
      </c>
      <c r="D753" s="293" t="s">
        <v>262</v>
      </c>
      <c r="E753" s="306" t="s">
        <v>263</v>
      </c>
      <c r="F753" s="293" t="s">
        <v>264</v>
      </c>
      <c r="G753" s="308" t="s">
        <v>265</v>
      </c>
      <c r="H753" s="308" t="s">
        <v>266</v>
      </c>
      <c r="I753" s="308" t="s">
        <v>267</v>
      </c>
      <c r="J753" s="310" t="s">
        <v>268</v>
      </c>
      <c r="K753" s="293" t="s">
        <v>269</v>
      </c>
      <c r="L753" s="279" t="s">
        <v>270</v>
      </c>
      <c r="M753" s="281" t="s">
        <v>271</v>
      </c>
      <c r="N753" s="281"/>
      <c r="O753" s="281"/>
      <c r="P753" s="281"/>
      <c r="Q753" s="281"/>
      <c r="R753" s="281"/>
      <c r="S753" s="281"/>
      <c r="T753" s="281"/>
      <c r="U753" s="282"/>
      <c r="V753" s="107"/>
      <c r="W753" s="72"/>
      <c r="X753" s="72"/>
      <c r="Y753" s="72"/>
      <c r="Z753" s="45">
        <v>7</v>
      </c>
      <c r="AA753" s="65">
        <v>73</v>
      </c>
      <c r="AB753" s="65">
        <v>84</v>
      </c>
      <c r="AC753" s="25"/>
      <c r="AD753" s="25"/>
      <c r="BA753" s="228"/>
    </row>
    <row r="754" spans="1:53" ht="15.75" thickBot="1" x14ac:dyDescent="0.3">
      <c r="A754" s="88"/>
      <c r="B754" s="322"/>
      <c r="C754" s="294"/>
      <c r="D754" s="294"/>
      <c r="E754" s="307"/>
      <c r="F754" s="294"/>
      <c r="G754" s="309"/>
      <c r="H754" s="309"/>
      <c r="I754" s="309"/>
      <c r="J754" s="311"/>
      <c r="K754" s="294"/>
      <c r="L754" s="280"/>
      <c r="M754" s="283"/>
      <c r="N754" s="283"/>
      <c r="O754" s="283"/>
      <c r="P754" s="283"/>
      <c r="Q754" s="283"/>
      <c r="R754" s="283"/>
      <c r="S754" s="283"/>
      <c r="T754" s="283"/>
      <c r="U754" s="284"/>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484</v>
      </c>
      <c r="D755" s="102" t="s">
        <v>776</v>
      </c>
      <c r="E755" s="32">
        <v>8</v>
      </c>
      <c r="F755" s="32" t="s">
        <v>488</v>
      </c>
      <c r="G755" s="68" t="s">
        <v>277</v>
      </c>
      <c r="H755" s="69">
        <f>IF(I755=0,0,I755-(E755-1))</f>
        <v>545</v>
      </c>
      <c r="I755" s="70">
        <f>IF(E755=0,0,I750)</f>
        <v>552</v>
      </c>
      <c r="J755" s="71" t="s">
        <v>278</v>
      </c>
      <c r="K755" s="32"/>
      <c r="L755" s="233"/>
      <c r="M755" s="277"/>
      <c r="N755" s="277"/>
      <c r="O755" s="277"/>
      <c r="P755" s="277"/>
      <c r="Q755" s="277"/>
      <c r="R755" s="277"/>
      <c r="S755" s="277"/>
      <c r="T755" s="277"/>
      <c r="U755" s="278"/>
      <c r="V755" s="103"/>
      <c r="W755" s="72"/>
      <c r="X755" s="72"/>
      <c r="Y755" s="72"/>
      <c r="Z755" s="45">
        <v>9</v>
      </c>
      <c r="AA755" s="46">
        <v>97</v>
      </c>
      <c r="AB755" s="46">
        <v>108</v>
      </c>
      <c r="AC755" s="72">
        <f t="shared" ref="AC755:AC779" si="315">IF(B755&lt;&gt;"FST",1,0)</f>
        <v>1</v>
      </c>
      <c r="AD755" s="72">
        <f t="shared" ref="AD755:AD779" si="316">IF(C755&lt;&gt;"FST",1,0)</f>
        <v>0</v>
      </c>
      <c r="AE755" s="109" t="str">
        <f t="shared" ref="AE755:AE779" si="317">CONCATENATE(H755,"-",I755)</f>
        <v>545-552</v>
      </c>
      <c r="AF755" s="109" t="str">
        <f t="shared" ref="AF755:AF779" si="318">IF(C755="Field SPL","N","Y")</f>
        <v>Y</v>
      </c>
      <c r="AG755" s="109" t="str">
        <f t="shared" ref="AG755:AG779" si="319">IF(OR(E$745="RPX",E$745="SS"),"A","B")</f>
        <v>B</v>
      </c>
      <c r="AH755" s="109">
        <v>2</v>
      </c>
      <c r="AI755" s="109" t="str">
        <f>IF(E745="SS",COUNTIFS(C755:C779,"TCF",E755:E779,"2"),"")</f>
        <v/>
      </c>
      <c r="AJ755" s="109" t="str">
        <f>IF(E745="RPX",COUNTIFS(C755:C779,"TCF",E755:E779,"2"),"")</f>
        <v/>
      </c>
      <c r="AK755" s="109" t="str">
        <f>IF(E745="RPX-T",COUNTIFS(C755:C779,"TCF",E755:E779,"2"),"")</f>
        <v/>
      </c>
      <c r="AL755" s="109">
        <f>IF(E745="EUC",COUNTIFS(C755:C779,"TCF",E755:E779,"2"),"")</f>
        <v>0</v>
      </c>
      <c r="AM755" s="109">
        <f t="shared" ref="AM755:AM779" si="320">VALUE(IF(C755="FST","0",IF(C755="REV T","1",IF(C755="DBL REV",".5","0"))))</f>
        <v>0</v>
      </c>
      <c r="AN755" s="109">
        <f t="shared" ref="AN755:AN779" si="321">VALUE(IF(C755="FST","0",IF(C755="REV T","0",IF(C755="DBL REV",".5","0"))))</f>
        <v>0</v>
      </c>
      <c r="AO755" s="109" t="str">
        <f t="shared" ref="AO755:AO779" si="322">IF(C755="TPL REV","Y","")</f>
        <v/>
      </c>
      <c r="AQ755" s="109" t="str">
        <f t="shared" ref="AQ755:AQ779" si="323">IF(C755="QD REV","Y","")</f>
        <v/>
      </c>
      <c r="BA755" s="229">
        <f>MOD(E755,12)</f>
        <v>8</v>
      </c>
    </row>
    <row r="756" spans="1:53" ht="15.75" thickBot="1" x14ac:dyDescent="0.3">
      <c r="A756" s="88"/>
      <c r="B756" s="66" t="s">
        <v>279</v>
      </c>
      <c r="C756" s="67" t="s">
        <v>484</v>
      </c>
      <c r="D756" s="102" t="s">
        <v>780</v>
      </c>
      <c r="E756" s="32">
        <v>8</v>
      </c>
      <c r="F756" s="32" t="s">
        <v>488</v>
      </c>
      <c r="G756" s="68" t="s">
        <v>277</v>
      </c>
      <c r="H756" s="69">
        <f t="shared" ref="H756:H779" si="324">IF(E756=0,0,I756-(E756-1))</f>
        <v>537</v>
      </c>
      <c r="I756" s="70">
        <f t="shared" ref="I756:I779" si="325">IF(E756=0,0,H755-1)</f>
        <v>544</v>
      </c>
      <c r="J756" s="73" t="str">
        <f>IF(C756="","--",IF(AND(C756&lt;&gt;"FST",C756&lt;&gt;"TCF",BA755&lt;&gt;0),BA755,"--"))</f>
        <v>--</v>
      </c>
      <c r="K756" s="32"/>
      <c r="L756" s="233"/>
      <c r="M756" s="277"/>
      <c r="N756" s="277"/>
      <c r="O756" s="277"/>
      <c r="P756" s="277"/>
      <c r="Q756" s="277"/>
      <c r="R756" s="277"/>
      <c r="S756" s="277"/>
      <c r="T756" s="277"/>
      <c r="U756" s="278"/>
      <c r="V756" s="103"/>
      <c r="W756" s="72"/>
      <c r="X756" s="72"/>
      <c r="Y756" s="72"/>
      <c r="Z756" s="45">
        <v>10</v>
      </c>
      <c r="AA756" s="46">
        <v>109</v>
      </c>
      <c r="AB756" s="46">
        <v>120</v>
      </c>
      <c r="AC756" s="72">
        <f t="shared" si="315"/>
        <v>1</v>
      </c>
      <c r="AD756" s="72">
        <f t="shared" si="316"/>
        <v>0</v>
      </c>
      <c r="AE756" s="109" t="str">
        <f t="shared" si="317"/>
        <v>537-544</v>
      </c>
      <c r="AF756" s="109" t="str">
        <f t="shared" si="318"/>
        <v>Y</v>
      </c>
      <c r="AG756" s="109" t="str">
        <f t="shared" si="319"/>
        <v>B</v>
      </c>
      <c r="AH756" s="109">
        <v>4</v>
      </c>
      <c r="AI756" s="109" t="str">
        <f>IF(E745="SS",COUNTIFS(C755:C779,"TCF",E755:E779,"4"),"")</f>
        <v/>
      </c>
      <c r="AJ756" s="109" t="str">
        <f>IF(E745="RPX",COUNTIFS(C755:C779,"TCF",E755:E779,"4"),"")</f>
        <v/>
      </c>
      <c r="AK756" s="109" t="str">
        <f>IF(E745="RPX-T",COUNTIFS(C755:C779,"TCF",E755:E779,"4"),"")</f>
        <v/>
      </c>
      <c r="AL756" s="109">
        <f>IF(E745="EUC",COUNTIFS(C755:C779,"TCF",E755:E779,"4"),"")</f>
        <v>0</v>
      </c>
      <c r="AM756" s="109">
        <f t="shared" si="320"/>
        <v>0</v>
      </c>
      <c r="AN756" s="109">
        <f t="shared" si="321"/>
        <v>0</v>
      </c>
      <c r="AO756" s="109" t="str">
        <f t="shared" si="322"/>
        <v/>
      </c>
      <c r="AQ756" s="109" t="str">
        <f t="shared" si="323"/>
        <v/>
      </c>
      <c r="BA756" s="229">
        <f>MOD(SUM(E755:E756),12)</f>
        <v>4</v>
      </c>
    </row>
    <row r="757" spans="1:53" ht="15.75" thickBot="1" x14ac:dyDescent="0.3">
      <c r="A757" s="88"/>
      <c r="B757" s="74" t="s">
        <v>280</v>
      </c>
      <c r="C757" s="67" t="s">
        <v>484</v>
      </c>
      <c r="D757" s="102" t="s">
        <v>781</v>
      </c>
      <c r="E757" s="32">
        <v>8</v>
      </c>
      <c r="F757" s="32" t="s">
        <v>488</v>
      </c>
      <c r="G757" s="75" t="s">
        <v>277</v>
      </c>
      <c r="H757" s="69">
        <f t="shared" si="324"/>
        <v>529</v>
      </c>
      <c r="I757" s="70">
        <f t="shared" si="325"/>
        <v>536</v>
      </c>
      <c r="J757" s="73" t="str">
        <f t="shared" ref="J757:J779" si="326">IF(C757="","--",IF(AND(C757&lt;&gt;"FST",C757&lt;&gt;"TCF",BA756&lt;&gt;0),BA756,"--"))</f>
        <v>--</v>
      </c>
      <c r="K757" s="32"/>
      <c r="L757" s="233"/>
      <c r="M757" s="277"/>
      <c r="N757" s="277"/>
      <c r="O757" s="277"/>
      <c r="P757" s="277"/>
      <c r="Q757" s="277"/>
      <c r="R757" s="277"/>
      <c r="S757" s="277"/>
      <c r="T757" s="277"/>
      <c r="U757" s="278"/>
      <c r="V757" s="103"/>
      <c r="W757" s="72"/>
      <c r="X757" s="72"/>
      <c r="Y757" s="72"/>
      <c r="Z757" s="45">
        <v>11</v>
      </c>
      <c r="AA757" s="46">
        <v>121</v>
      </c>
      <c r="AB757" s="46">
        <v>132</v>
      </c>
      <c r="AC757" s="72">
        <f t="shared" si="315"/>
        <v>1</v>
      </c>
      <c r="AD757" s="72">
        <f t="shared" si="316"/>
        <v>0</v>
      </c>
      <c r="AE757" s="109" t="str">
        <f t="shared" si="317"/>
        <v>529-536</v>
      </c>
      <c r="AF757" s="109" t="str">
        <f t="shared" si="318"/>
        <v>Y</v>
      </c>
      <c r="AG757" s="109" t="str">
        <f t="shared" si="319"/>
        <v>B</v>
      </c>
      <c r="AH757" s="109">
        <v>6</v>
      </c>
      <c r="AI757" s="109" t="str">
        <f>IF(E745="SS",COUNTIFS(C755:C779,"TCF",E755:E779,"6"),"")</f>
        <v/>
      </c>
      <c r="AJ757" s="109" t="str">
        <f>IF(E745="RPX",COUNTIFS(C755:C779,"TCF",E755:E779,"6"),"")</f>
        <v/>
      </c>
      <c r="AK757" s="109" t="str">
        <f>IF(E745="RPX-T",COUNTIFS(C755:C779,"TCF",E755:E779,"6"),"")</f>
        <v/>
      </c>
      <c r="AL757" s="109">
        <f>IF(E745="EUC",COUNTIFS(C755:C779,"TCF",E755:E779,"6"),"")</f>
        <v>0</v>
      </c>
      <c r="AM757" s="109">
        <f t="shared" si="320"/>
        <v>0</v>
      </c>
      <c r="AN757" s="109">
        <f t="shared" si="321"/>
        <v>0</v>
      </c>
      <c r="AO757" s="109" t="str">
        <f t="shared" si="322"/>
        <v/>
      </c>
      <c r="AQ757" s="109" t="str">
        <f t="shared" si="323"/>
        <v/>
      </c>
      <c r="BA757" s="229">
        <f>MOD(SUM(E755:E758),12)</f>
        <v>0</v>
      </c>
    </row>
    <row r="758" spans="1:53" ht="15.75" thickBot="1" x14ac:dyDescent="0.3">
      <c r="A758" s="88"/>
      <c r="B758" s="66" t="s">
        <v>281</v>
      </c>
      <c r="C758" s="67" t="s">
        <v>500</v>
      </c>
      <c r="D758" s="102"/>
      <c r="E758" s="32">
        <v>12</v>
      </c>
      <c r="F758" s="32"/>
      <c r="G758" s="68" t="s">
        <v>277</v>
      </c>
      <c r="H758" s="69">
        <f t="shared" si="324"/>
        <v>517</v>
      </c>
      <c r="I758" s="70">
        <f t="shared" si="325"/>
        <v>528</v>
      </c>
      <c r="J758" s="73" t="str">
        <f t="shared" si="326"/>
        <v>--</v>
      </c>
      <c r="K758" s="32"/>
      <c r="L758" s="233"/>
      <c r="M758" s="277" t="s">
        <v>736</v>
      </c>
      <c r="N758" s="277"/>
      <c r="O758" s="277"/>
      <c r="P758" s="277"/>
      <c r="Q758" s="277"/>
      <c r="R758" s="277"/>
      <c r="S758" s="277"/>
      <c r="T758" s="277"/>
      <c r="U758" s="278"/>
      <c r="V758" s="103"/>
      <c r="W758" s="72"/>
      <c r="X758" s="72"/>
      <c r="Y758" s="72"/>
      <c r="Z758" s="45">
        <v>12</v>
      </c>
      <c r="AA758" s="76">
        <v>133</v>
      </c>
      <c r="AB758" s="76">
        <v>144</v>
      </c>
      <c r="AC758" s="72">
        <f t="shared" si="315"/>
        <v>1</v>
      </c>
      <c r="AD758" s="72">
        <f t="shared" si="316"/>
        <v>1</v>
      </c>
      <c r="AE758" s="109" t="str">
        <f t="shared" si="317"/>
        <v>517-528</v>
      </c>
      <c r="AF758" s="109" t="str">
        <f t="shared" si="318"/>
        <v>Y</v>
      </c>
      <c r="AG758" s="109" t="str">
        <f t="shared" si="319"/>
        <v>B</v>
      </c>
      <c r="AH758" s="109">
        <v>8</v>
      </c>
      <c r="AI758" s="109" t="str">
        <f>IF(E745="SS",COUNTIFS(C755:C779,"TCF",E755:E779,"8"),"")</f>
        <v/>
      </c>
      <c r="AJ758" s="109" t="str">
        <f>IF(E745="RPX",COUNTIFS(C755:C779,"TCF",E755:E779,"8"),"")</f>
        <v/>
      </c>
      <c r="AK758" s="109" t="str">
        <f>IF(E745="RPX-T",COUNTIFS(C755:C779,"TCF",E755:E779,"8"),"")</f>
        <v/>
      </c>
      <c r="AL758" s="109">
        <f>IF(E745="EUC",COUNTIFS(C755:C779,"TCF",E755:E779,"8"),"")</f>
        <v>0</v>
      </c>
      <c r="AM758" s="109">
        <f t="shared" si="320"/>
        <v>0</v>
      </c>
      <c r="AN758" s="109">
        <f t="shared" si="321"/>
        <v>0</v>
      </c>
      <c r="AO758" s="109" t="str">
        <f t="shared" si="322"/>
        <v>Y</v>
      </c>
      <c r="AQ758" s="109" t="str">
        <f t="shared" si="323"/>
        <v/>
      </c>
      <c r="BA758" s="229">
        <f>MOD(SUM(E755:E759),12)</f>
        <v>0</v>
      </c>
    </row>
    <row r="759" spans="1:53" ht="15.75" thickBot="1" x14ac:dyDescent="0.3">
      <c r="A759" s="88"/>
      <c r="B759" s="66" t="s">
        <v>282</v>
      </c>
      <c r="C759" s="67" t="s">
        <v>500</v>
      </c>
      <c r="D759" s="102"/>
      <c r="E759" s="32">
        <v>12</v>
      </c>
      <c r="F759" s="32"/>
      <c r="G759" s="68" t="s">
        <v>277</v>
      </c>
      <c r="H759" s="69">
        <f t="shared" si="324"/>
        <v>505</v>
      </c>
      <c r="I759" s="70">
        <f t="shared" si="325"/>
        <v>516</v>
      </c>
      <c r="J759" s="73" t="str">
        <f t="shared" si="326"/>
        <v>--</v>
      </c>
      <c r="K759" s="32"/>
      <c r="L759" s="233"/>
      <c r="M759" s="277" t="s">
        <v>422</v>
      </c>
      <c r="N759" s="277"/>
      <c r="O759" s="277"/>
      <c r="P759" s="277"/>
      <c r="Q759" s="277"/>
      <c r="R759" s="277"/>
      <c r="S759" s="277"/>
      <c r="T759" s="277"/>
      <c r="U759" s="278"/>
      <c r="V759" s="103"/>
      <c r="W759" s="72"/>
      <c r="X759" s="72"/>
      <c r="Y759" s="72"/>
      <c r="Z759" s="45">
        <v>13</v>
      </c>
      <c r="AA759" s="77">
        <f t="shared" ref="AA759:AA764" si="327">AB758+1</f>
        <v>145</v>
      </c>
      <c r="AB759" s="77">
        <f t="shared" ref="AB759:AB764" si="328">AB758+12</f>
        <v>156</v>
      </c>
      <c r="AC759" s="72">
        <f t="shared" si="315"/>
        <v>1</v>
      </c>
      <c r="AD759" s="72">
        <f t="shared" si="316"/>
        <v>1</v>
      </c>
      <c r="AE759" s="109" t="str">
        <f t="shared" si="317"/>
        <v>505-516</v>
      </c>
      <c r="AF759" s="109" t="str">
        <f t="shared" si="318"/>
        <v>Y</v>
      </c>
      <c r="AG759" s="109" t="str">
        <f t="shared" si="319"/>
        <v>B</v>
      </c>
      <c r="AH759" s="109">
        <v>12</v>
      </c>
      <c r="AI759" s="109" t="str">
        <f>IF(E745="SS",COUNTIFS(C755:C779,"TCF",E755:E779,"12"),"")</f>
        <v/>
      </c>
      <c r="AJ759" s="109" t="str">
        <f>IF(E745="RPX",COUNTIFS(C755:C779,"TCF",E755:E779,"12"),"")</f>
        <v/>
      </c>
      <c r="AK759" s="109" t="str">
        <f>IF(E745="RPX-T",COUNTIFS(C755:C779,"TCF",E755:E779,"12"),"")</f>
        <v/>
      </c>
      <c r="AL759" s="109">
        <f>IF(E745="EUC",COUNTIFS(C755:C779,"TCF",E755:E779,"12"),"")</f>
        <v>0</v>
      </c>
      <c r="AM759" s="109">
        <f t="shared" si="320"/>
        <v>0</v>
      </c>
      <c r="AN759" s="109">
        <f t="shared" si="321"/>
        <v>0</v>
      </c>
      <c r="AO759" s="109" t="str">
        <f t="shared" si="322"/>
        <v>Y</v>
      </c>
      <c r="AQ759" s="109" t="str">
        <f t="shared" si="323"/>
        <v/>
      </c>
      <c r="BA759" s="229">
        <f>MOD(SUM(E755:E760),12)</f>
        <v>0</v>
      </c>
    </row>
    <row r="760" spans="1:53" ht="15.75" thickBot="1" x14ac:dyDescent="0.3">
      <c r="A760" s="88"/>
      <c r="B760" s="66" t="s">
        <v>283</v>
      </c>
      <c r="C760" s="67" t="s">
        <v>500</v>
      </c>
      <c r="D760" s="102"/>
      <c r="E760" s="32">
        <v>12</v>
      </c>
      <c r="F760" s="32"/>
      <c r="G760" s="68" t="s">
        <v>277</v>
      </c>
      <c r="H760" s="69">
        <f t="shared" si="324"/>
        <v>493</v>
      </c>
      <c r="I760" s="70">
        <f t="shared" si="325"/>
        <v>504</v>
      </c>
      <c r="J760" s="73" t="str">
        <f t="shared" si="326"/>
        <v>--</v>
      </c>
      <c r="K760" s="32"/>
      <c r="L760" s="233"/>
      <c r="M760" s="277" t="s">
        <v>736</v>
      </c>
      <c r="N760" s="277"/>
      <c r="O760" s="277"/>
      <c r="P760" s="277"/>
      <c r="Q760" s="277"/>
      <c r="R760" s="277"/>
      <c r="S760" s="277"/>
      <c r="T760" s="277"/>
      <c r="U760" s="278"/>
      <c r="V760" s="103"/>
      <c r="W760" s="72"/>
      <c r="X760" s="72"/>
      <c r="Y760" s="72"/>
      <c r="Z760" s="45">
        <v>14</v>
      </c>
      <c r="AA760" s="77">
        <f t="shared" si="327"/>
        <v>157</v>
      </c>
      <c r="AB760" s="77">
        <f t="shared" si="328"/>
        <v>168</v>
      </c>
      <c r="AC760" s="72">
        <f t="shared" si="315"/>
        <v>1</v>
      </c>
      <c r="AD760" s="72">
        <f t="shared" si="316"/>
        <v>1</v>
      </c>
      <c r="AE760" s="109" t="str">
        <f t="shared" si="317"/>
        <v>493-504</v>
      </c>
      <c r="AF760" s="109" t="str">
        <f t="shared" si="318"/>
        <v>Y</v>
      </c>
      <c r="AG760" s="109" t="str">
        <f t="shared" si="319"/>
        <v>B</v>
      </c>
      <c r="AM760" s="109">
        <f t="shared" si="320"/>
        <v>0</v>
      </c>
      <c r="AN760" s="109">
        <f t="shared" si="321"/>
        <v>0</v>
      </c>
      <c r="AO760" s="109" t="str">
        <f t="shared" si="322"/>
        <v>Y</v>
      </c>
      <c r="AQ760" s="109" t="str">
        <f t="shared" si="323"/>
        <v/>
      </c>
      <c r="BA760" s="229">
        <f>MOD(SUM(E755:E761),12)</f>
        <v>0</v>
      </c>
    </row>
    <row r="761" spans="1:53" ht="15.75" thickBot="1" x14ac:dyDescent="0.3">
      <c r="A761" s="88"/>
      <c r="B761" s="66" t="s">
        <v>284</v>
      </c>
      <c r="C761" s="67"/>
      <c r="D761" s="102"/>
      <c r="E761" s="32"/>
      <c r="F761" s="32"/>
      <c r="G761" s="68" t="s">
        <v>277</v>
      </c>
      <c r="H761" s="69">
        <f t="shared" si="324"/>
        <v>0</v>
      </c>
      <c r="I761" s="70">
        <f t="shared" si="325"/>
        <v>0</v>
      </c>
      <c r="J761" s="73" t="str">
        <f t="shared" si="326"/>
        <v>--</v>
      </c>
      <c r="K761" s="32"/>
      <c r="L761" s="233"/>
      <c r="M761" s="277"/>
      <c r="N761" s="277"/>
      <c r="O761" s="277"/>
      <c r="P761" s="277"/>
      <c r="Q761" s="277"/>
      <c r="R761" s="277"/>
      <c r="S761" s="277"/>
      <c r="T761" s="277"/>
      <c r="U761" s="278"/>
      <c r="V761" s="103"/>
      <c r="W761" s="72"/>
      <c r="X761" s="72"/>
      <c r="Y761" s="72"/>
      <c r="Z761" s="45">
        <v>15</v>
      </c>
      <c r="AA761" s="77">
        <f t="shared" si="327"/>
        <v>169</v>
      </c>
      <c r="AB761" s="77">
        <f t="shared" si="328"/>
        <v>180</v>
      </c>
      <c r="AC761" s="72">
        <f t="shared" si="315"/>
        <v>1</v>
      </c>
      <c r="AD761" s="72">
        <f t="shared" si="316"/>
        <v>1</v>
      </c>
      <c r="AE761" s="109" t="str">
        <f t="shared" si="317"/>
        <v>0-0</v>
      </c>
      <c r="AF761" s="109" t="str">
        <f t="shared" si="318"/>
        <v>Y</v>
      </c>
      <c r="AG761" s="109" t="str">
        <f t="shared" si="319"/>
        <v>B</v>
      </c>
      <c r="AM761" s="109">
        <f t="shared" si="320"/>
        <v>0</v>
      </c>
      <c r="AN761" s="109">
        <f t="shared" si="321"/>
        <v>0</v>
      </c>
      <c r="AO761" s="109" t="str">
        <f t="shared" si="322"/>
        <v/>
      </c>
      <c r="AQ761" s="109" t="str">
        <f t="shared" si="323"/>
        <v/>
      </c>
      <c r="BA761" s="229">
        <f>MOD(SUM(E755:E762),12)</f>
        <v>0</v>
      </c>
    </row>
    <row r="762" spans="1:53" ht="15.75" thickBot="1" x14ac:dyDescent="0.3">
      <c r="A762" s="88"/>
      <c r="B762" s="66" t="s">
        <v>285</v>
      </c>
      <c r="C762" s="67"/>
      <c r="D762" s="102"/>
      <c r="E762" s="32"/>
      <c r="F762" s="32"/>
      <c r="G762" s="68" t="s">
        <v>277</v>
      </c>
      <c r="H762" s="69">
        <f t="shared" si="324"/>
        <v>0</v>
      </c>
      <c r="I762" s="70">
        <f t="shared" si="325"/>
        <v>0</v>
      </c>
      <c r="J762" s="73" t="str">
        <f t="shared" si="326"/>
        <v>--</v>
      </c>
      <c r="K762" s="32"/>
      <c r="L762" s="233"/>
      <c r="M762" s="277"/>
      <c r="N762" s="277"/>
      <c r="O762" s="277"/>
      <c r="P762" s="277"/>
      <c r="Q762" s="277"/>
      <c r="R762" s="277"/>
      <c r="S762" s="277"/>
      <c r="T762" s="277"/>
      <c r="U762" s="278"/>
      <c r="V762" s="103"/>
      <c r="W762" s="72"/>
      <c r="X762" s="72"/>
      <c r="Y762" s="72"/>
      <c r="Z762" s="45">
        <f>Z761+1</f>
        <v>16</v>
      </c>
      <c r="AA762" s="77">
        <f t="shared" si="327"/>
        <v>181</v>
      </c>
      <c r="AB762" s="77">
        <f t="shared" si="328"/>
        <v>192</v>
      </c>
      <c r="AC762" s="72">
        <f t="shared" si="315"/>
        <v>1</v>
      </c>
      <c r="AD762" s="72">
        <f t="shared" si="316"/>
        <v>1</v>
      </c>
      <c r="AE762" s="109" t="str">
        <f t="shared" si="317"/>
        <v>0-0</v>
      </c>
      <c r="AF762" s="109" t="str">
        <f t="shared" si="318"/>
        <v>Y</v>
      </c>
      <c r="AG762" s="109" t="str">
        <f t="shared" si="319"/>
        <v>B</v>
      </c>
      <c r="AM762" s="109">
        <f t="shared" si="320"/>
        <v>0</v>
      </c>
      <c r="AN762" s="109">
        <f t="shared" si="321"/>
        <v>0</v>
      </c>
      <c r="AO762" s="109" t="str">
        <f t="shared" si="322"/>
        <v/>
      </c>
      <c r="AQ762" s="109" t="str">
        <f t="shared" si="323"/>
        <v/>
      </c>
      <c r="BA762" s="229">
        <f>MOD(SUM(E755:E763),12)</f>
        <v>0</v>
      </c>
    </row>
    <row r="763" spans="1:53" ht="15.75" thickBot="1" x14ac:dyDescent="0.3">
      <c r="A763" s="88"/>
      <c r="B763" s="66" t="s">
        <v>286</v>
      </c>
      <c r="C763" s="67"/>
      <c r="D763" s="102"/>
      <c r="E763" s="32"/>
      <c r="F763" s="32"/>
      <c r="G763" s="68" t="s">
        <v>277</v>
      </c>
      <c r="H763" s="69">
        <f t="shared" si="324"/>
        <v>0</v>
      </c>
      <c r="I763" s="70">
        <f t="shared" si="325"/>
        <v>0</v>
      </c>
      <c r="J763" s="73" t="str">
        <f t="shared" si="326"/>
        <v>--</v>
      </c>
      <c r="K763" s="32"/>
      <c r="L763" s="233"/>
      <c r="M763" s="277"/>
      <c r="N763" s="277"/>
      <c r="O763" s="277"/>
      <c r="P763" s="277"/>
      <c r="Q763" s="277"/>
      <c r="R763" s="277"/>
      <c r="S763" s="277"/>
      <c r="T763" s="277"/>
      <c r="U763" s="278"/>
      <c r="V763" s="103"/>
      <c r="W763" s="72"/>
      <c r="X763" s="72"/>
      <c r="Y763" s="72"/>
      <c r="Z763" s="45">
        <f>Z762+1</f>
        <v>17</v>
      </c>
      <c r="AA763" s="77">
        <f t="shared" si="327"/>
        <v>193</v>
      </c>
      <c r="AB763" s="77">
        <f t="shared" si="328"/>
        <v>204</v>
      </c>
      <c r="AC763" s="72">
        <f t="shared" si="315"/>
        <v>1</v>
      </c>
      <c r="AD763" s="72">
        <f t="shared" si="316"/>
        <v>1</v>
      </c>
      <c r="AE763" s="109" t="str">
        <f t="shared" si="317"/>
        <v>0-0</v>
      </c>
      <c r="AF763" s="109" t="str">
        <f t="shared" si="318"/>
        <v>Y</v>
      </c>
      <c r="AG763" s="109" t="str">
        <f t="shared" si="319"/>
        <v>B</v>
      </c>
      <c r="AM763" s="109">
        <f t="shared" si="320"/>
        <v>0</v>
      </c>
      <c r="AN763" s="109">
        <f t="shared" si="321"/>
        <v>0</v>
      </c>
      <c r="AO763" s="109" t="str">
        <f t="shared" si="322"/>
        <v/>
      </c>
      <c r="AQ763" s="109" t="str">
        <f t="shared" si="323"/>
        <v/>
      </c>
      <c r="BA763" s="229">
        <f>MOD(SUM(E755:E764),12)</f>
        <v>0</v>
      </c>
    </row>
    <row r="764" spans="1:53" ht="15.75" thickBot="1" x14ac:dyDescent="0.3">
      <c r="A764" s="88"/>
      <c r="B764" s="66" t="s">
        <v>287</v>
      </c>
      <c r="C764" s="67"/>
      <c r="D764" s="102"/>
      <c r="E764" s="32"/>
      <c r="F764" s="32"/>
      <c r="G764" s="68" t="s">
        <v>277</v>
      </c>
      <c r="H764" s="69">
        <f t="shared" si="324"/>
        <v>0</v>
      </c>
      <c r="I764" s="70">
        <f t="shared" si="325"/>
        <v>0</v>
      </c>
      <c r="J764" s="73" t="str">
        <f t="shared" si="326"/>
        <v>--</v>
      </c>
      <c r="K764" s="32"/>
      <c r="L764" s="233"/>
      <c r="M764" s="277"/>
      <c r="N764" s="277"/>
      <c r="O764" s="277"/>
      <c r="P764" s="277"/>
      <c r="Q764" s="277"/>
      <c r="R764" s="277"/>
      <c r="S764" s="277"/>
      <c r="T764" s="277"/>
      <c r="U764" s="278"/>
      <c r="V764" s="103"/>
      <c r="W764" s="72"/>
      <c r="X764" s="72"/>
      <c r="Y764" s="72"/>
      <c r="Z764" s="45">
        <f>Z763+1</f>
        <v>18</v>
      </c>
      <c r="AA764" s="77">
        <f t="shared" si="327"/>
        <v>205</v>
      </c>
      <c r="AB764" s="77">
        <f t="shared" si="328"/>
        <v>216</v>
      </c>
      <c r="AC764" s="72">
        <f t="shared" si="315"/>
        <v>1</v>
      </c>
      <c r="AD764" s="72">
        <f t="shared" si="316"/>
        <v>1</v>
      </c>
      <c r="AE764" s="109" t="str">
        <f t="shared" si="317"/>
        <v>0-0</v>
      </c>
      <c r="AF764" s="109" t="str">
        <f t="shared" si="318"/>
        <v>Y</v>
      </c>
      <c r="AG764" s="109" t="str">
        <f t="shared" si="319"/>
        <v>B</v>
      </c>
      <c r="AM764" s="109">
        <f t="shared" si="320"/>
        <v>0</v>
      </c>
      <c r="AN764" s="109">
        <f t="shared" si="321"/>
        <v>0</v>
      </c>
      <c r="AO764" s="109" t="str">
        <f t="shared" si="322"/>
        <v/>
      </c>
      <c r="AQ764" s="109" t="str">
        <f t="shared" si="323"/>
        <v/>
      </c>
      <c r="BA764" s="229">
        <f>MOD(SUM(E755:E765),12)</f>
        <v>0</v>
      </c>
    </row>
    <row r="765" spans="1:53" ht="15.75" thickBot="1" x14ac:dyDescent="0.3">
      <c r="A765" s="88"/>
      <c r="B765" s="66" t="s">
        <v>288</v>
      </c>
      <c r="C765" s="67"/>
      <c r="D765" s="102"/>
      <c r="E765" s="32"/>
      <c r="F765" s="32"/>
      <c r="G765" s="68" t="s">
        <v>277</v>
      </c>
      <c r="H765" s="69">
        <f t="shared" si="324"/>
        <v>0</v>
      </c>
      <c r="I765" s="70">
        <f t="shared" si="325"/>
        <v>0</v>
      </c>
      <c r="J765" s="73" t="str">
        <f t="shared" si="326"/>
        <v>--</v>
      </c>
      <c r="K765" s="32"/>
      <c r="L765" s="233"/>
      <c r="M765" s="277"/>
      <c r="N765" s="277"/>
      <c r="O765" s="277"/>
      <c r="P765" s="277"/>
      <c r="Q765" s="277"/>
      <c r="R765" s="277"/>
      <c r="S765" s="277"/>
      <c r="T765" s="277"/>
      <c r="U765" s="278"/>
      <c r="V765" s="103"/>
      <c r="W765" s="84"/>
      <c r="X765" s="84"/>
      <c r="Y765" s="72"/>
      <c r="Z765" s="72"/>
      <c r="AA765" s="72"/>
      <c r="AB765" s="72"/>
      <c r="AC765" s="72">
        <f t="shared" si="315"/>
        <v>1</v>
      </c>
      <c r="AD765" s="72">
        <f t="shared" si="316"/>
        <v>1</v>
      </c>
      <c r="AE765" s="109" t="str">
        <f t="shared" si="317"/>
        <v>0-0</v>
      </c>
      <c r="AF765" s="109" t="str">
        <f t="shared" si="318"/>
        <v>Y</v>
      </c>
      <c r="AG765" s="109" t="str">
        <f t="shared" si="319"/>
        <v>B</v>
      </c>
      <c r="AM765" s="109">
        <f t="shared" si="320"/>
        <v>0</v>
      </c>
      <c r="AN765" s="109">
        <f t="shared" si="321"/>
        <v>0</v>
      </c>
      <c r="AO765" s="109" t="str">
        <f t="shared" si="322"/>
        <v/>
      </c>
      <c r="AQ765" s="109" t="str">
        <f t="shared" si="323"/>
        <v/>
      </c>
      <c r="BA765" s="229">
        <f>MOD(SUM(E755:E766),12)</f>
        <v>0</v>
      </c>
    </row>
    <row r="766" spans="1:53" ht="15.75" thickBot="1" x14ac:dyDescent="0.3">
      <c r="A766" s="88"/>
      <c r="B766" s="66" t="s">
        <v>289</v>
      </c>
      <c r="C766" s="67"/>
      <c r="D766" s="102"/>
      <c r="E766" s="32"/>
      <c r="F766" s="32"/>
      <c r="G766" s="68" t="s">
        <v>277</v>
      </c>
      <c r="H766" s="69">
        <f t="shared" si="324"/>
        <v>0</v>
      </c>
      <c r="I766" s="70">
        <f t="shared" si="325"/>
        <v>0</v>
      </c>
      <c r="J766" s="73" t="str">
        <f t="shared" si="326"/>
        <v>--</v>
      </c>
      <c r="K766" s="32"/>
      <c r="L766" s="233"/>
      <c r="M766" s="277"/>
      <c r="N766" s="277"/>
      <c r="O766" s="277"/>
      <c r="P766" s="277"/>
      <c r="Q766" s="277"/>
      <c r="R766" s="277"/>
      <c r="S766" s="277"/>
      <c r="T766" s="277"/>
      <c r="U766" s="278"/>
      <c r="V766" s="103"/>
      <c r="W766" s="84">
        <f>Y766+1</f>
        <v>61</v>
      </c>
      <c r="X766" s="84"/>
      <c r="Y766" s="78">
        <f>SUM(E755:E766)</f>
        <v>60</v>
      </c>
      <c r="Z766" s="72"/>
      <c r="AA766" s="72"/>
      <c r="AB766" s="72"/>
      <c r="AC766" s="72">
        <f t="shared" si="315"/>
        <v>1</v>
      </c>
      <c r="AD766" s="72">
        <f t="shared" si="316"/>
        <v>1</v>
      </c>
      <c r="AE766" s="109" t="str">
        <f t="shared" si="317"/>
        <v>0-0</v>
      </c>
      <c r="AF766" s="109" t="str">
        <f t="shared" si="318"/>
        <v>Y</v>
      </c>
      <c r="AG766" s="109" t="str">
        <f t="shared" si="319"/>
        <v>B</v>
      </c>
      <c r="AM766" s="109">
        <f t="shared" si="320"/>
        <v>0</v>
      </c>
      <c r="AN766" s="109">
        <f t="shared" si="321"/>
        <v>0</v>
      </c>
      <c r="AO766" s="109" t="str">
        <f t="shared" si="322"/>
        <v/>
      </c>
      <c r="AQ766" s="109" t="str">
        <f t="shared" si="323"/>
        <v/>
      </c>
      <c r="BA766" s="229">
        <f>MOD(SUM(E755:E767),12)</f>
        <v>0</v>
      </c>
    </row>
    <row r="767" spans="1:53" ht="15.75" thickBot="1" x14ac:dyDescent="0.3">
      <c r="A767" s="88"/>
      <c r="B767" s="66" t="s">
        <v>290</v>
      </c>
      <c r="C767" s="67"/>
      <c r="D767" s="102"/>
      <c r="E767" s="32"/>
      <c r="F767" s="32"/>
      <c r="G767" s="68" t="s">
        <v>277</v>
      </c>
      <c r="H767" s="69">
        <f t="shared" si="324"/>
        <v>0</v>
      </c>
      <c r="I767" s="70">
        <f t="shared" si="325"/>
        <v>0</v>
      </c>
      <c r="J767" s="73" t="str">
        <f t="shared" si="326"/>
        <v>--</v>
      </c>
      <c r="K767" s="32"/>
      <c r="L767" s="233"/>
      <c r="M767" s="277"/>
      <c r="N767" s="277"/>
      <c r="O767" s="277"/>
      <c r="P767" s="277"/>
      <c r="Q767" s="277"/>
      <c r="R767" s="277"/>
      <c r="S767" s="277"/>
      <c r="T767" s="277"/>
      <c r="U767" s="278"/>
      <c r="V767" s="103"/>
      <c r="W767" s="84">
        <f>Y767+1</f>
        <v>61</v>
      </c>
      <c r="X767" s="84"/>
      <c r="Y767" s="78">
        <f>SUM(E755:E767)</f>
        <v>60</v>
      </c>
      <c r="Z767" s="72" t="str">
        <f t="shared" ref="Z767:Z779" si="329">IF(OR(AND(E$8=216,C766="DBL REV",C767="DBL REV",Y766&lt;=144,Y767&gt;144),AND(E$8=216,C766="TPL REV",C767="TPL REV",Y766&lt;=144,Y767&gt;144),AND(E$8=216,C766="QD REV",C767="QD REV",Y766&lt;=144,Y767&gt;144)),"ERROR","")</f>
        <v/>
      </c>
      <c r="AA767" s="72"/>
      <c r="AB767" s="72"/>
      <c r="AC767" s="72">
        <f t="shared" si="315"/>
        <v>1</v>
      </c>
      <c r="AD767" s="72">
        <f t="shared" si="316"/>
        <v>1</v>
      </c>
      <c r="AE767" s="109" t="str">
        <f t="shared" si="317"/>
        <v>0-0</v>
      </c>
      <c r="AF767" s="109" t="str">
        <f t="shared" si="318"/>
        <v>Y</v>
      </c>
      <c r="AG767" s="109" t="str">
        <f t="shared" si="319"/>
        <v>B</v>
      </c>
      <c r="AM767" s="109">
        <f t="shared" si="320"/>
        <v>0</v>
      </c>
      <c r="AN767" s="109">
        <f t="shared" si="321"/>
        <v>0</v>
      </c>
      <c r="AO767" s="109" t="str">
        <f t="shared" si="322"/>
        <v/>
      </c>
      <c r="AQ767" s="109" t="str">
        <f t="shared" si="323"/>
        <v/>
      </c>
      <c r="BA767" s="229">
        <f>MOD(SUM(E755:E768),12)</f>
        <v>0</v>
      </c>
    </row>
    <row r="768" spans="1:53" ht="15.75" thickBot="1" x14ac:dyDescent="0.3">
      <c r="A768" s="88"/>
      <c r="B768" s="66" t="s">
        <v>291</v>
      </c>
      <c r="C768" s="67"/>
      <c r="D768" s="102"/>
      <c r="E768" s="32"/>
      <c r="F768" s="32"/>
      <c r="G768" s="68" t="s">
        <v>277</v>
      </c>
      <c r="H768" s="69">
        <f t="shared" si="324"/>
        <v>0</v>
      </c>
      <c r="I768" s="70">
        <f t="shared" si="325"/>
        <v>0</v>
      </c>
      <c r="J768" s="73" t="str">
        <f t="shared" si="326"/>
        <v>--</v>
      </c>
      <c r="K768" s="32"/>
      <c r="L768" s="233"/>
      <c r="M768" s="277"/>
      <c r="N768" s="277"/>
      <c r="O768" s="277"/>
      <c r="P768" s="277"/>
      <c r="Q768" s="277"/>
      <c r="R768" s="277"/>
      <c r="S768" s="277"/>
      <c r="T768" s="277"/>
      <c r="U768" s="278"/>
      <c r="V768" s="103"/>
      <c r="W768" s="84">
        <f>Y768+1</f>
        <v>61</v>
      </c>
      <c r="X768" s="84"/>
      <c r="Y768" s="78">
        <f>SUM(E755:E768)</f>
        <v>60</v>
      </c>
      <c r="Z768" s="72" t="str">
        <f t="shared" si="329"/>
        <v/>
      </c>
      <c r="AA768" s="72"/>
      <c r="AB768" s="72"/>
      <c r="AC768" s="72">
        <f t="shared" si="315"/>
        <v>1</v>
      </c>
      <c r="AD768" s="72">
        <f t="shared" si="316"/>
        <v>1</v>
      </c>
      <c r="AE768" s="109" t="str">
        <f t="shared" si="317"/>
        <v>0-0</v>
      </c>
      <c r="AF768" s="109" t="str">
        <f t="shared" si="318"/>
        <v>Y</v>
      </c>
      <c r="AG768" s="109" t="str">
        <f t="shared" si="319"/>
        <v>B</v>
      </c>
      <c r="AM768" s="109">
        <f t="shared" si="320"/>
        <v>0</v>
      </c>
      <c r="AN768" s="109">
        <f t="shared" si="321"/>
        <v>0</v>
      </c>
      <c r="AO768" s="109" t="str">
        <f t="shared" si="322"/>
        <v/>
      </c>
      <c r="AQ768" s="109" t="str">
        <f t="shared" si="323"/>
        <v/>
      </c>
      <c r="BA768" s="229">
        <f>MOD(SUM(E755:E769),12)</f>
        <v>0</v>
      </c>
    </row>
    <row r="769" spans="1:53" ht="15.75" thickBot="1" x14ac:dyDescent="0.3">
      <c r="A769" s="88"/>
      <c r="B769" s="66" t="s">
        <v>292</v>
      </c>
      <c r="C769" s="67"/>
      <c r="D769" s="102"/>
      <c r="E769" s="32"/>
      <c r="F769" s="32"/>
      <c r="G769" s="68" t="s">
        <v>277</v>
      </c>
      <c r="H769" s="69">
        <f t="shared" si="324"/>
        <v>0</v>
      </c>
      <c r="I769" s="70">
        <f t="shared" si="325"/>
        <v>0</v>
      </c>
      <c r="J769" s="73" t="str">
        <f t="shared" si="326"/>
        <v>--</v>
      </c>
      <c r="K769" s="32"/>
      <c r="L769" s="233"/>
      <c r="M769" s="277"/>
      <c r="N769" s="277"/>
      <c r="O769" s="277"/>
      <c r="P769" s="277"/>
      <c r="Q769" s="277"/>
      <c r="R769" s="277"/>
      <c r="S769" s="277"/>
      <c r="T769" s="277"/>
      <c r="U769" s="278"/>
      <c r="V769" s="103"/>
      <c r="W769" s="84">
        <f>Y769+1</f>
        <v>61</v>
      </c>
      <c r="X769" s="84"/>
      <c r="Y769" s="78">
        <f>SUM(E755:E769)</f>
        <v>60</v>
      </c>
      <c r="Z769" s="72" t="str">
        <f t="shared" si="329"/>
        <v/>
      </c>
      <c r="AA769" s="72" t="str">
        <f t="shared" ref="AA769:AA781" si="330">IF(AND(C767&lt;&gt;"Field SPL",W766&lt;=144,Y767&gt;144),"ERROR","")</f>
        <v/>
      </c>
      <c r="AB769" s="72"/>
      <c r="AC769" s="72">
        <f t="shared" si="315"/>
        <v>1</v>
      </c>
      <c r="AD769" s="72">
        <f t="shared" si="316"/>
        <v>1</v>
      </c>
      <c r="AE769" s="109" t="str">
        <f t="shared" si="317"/>
        <v>0-0</v>
      </c>
      <c r="AF769" s="109" t="str">
        <f t="shared" si="318"/>
        <v>Y</v>
      </c>
      <c r="AG769" s="109" t="str">
        <f t="shared" si="319"/>
        <v>B</v>
      </c>
      <c r="AM769" s="109">
        <f t="shared" si="320"/>
        <v>0</v>
      </c>
      <c r="AN769" s="109">
        <f t="shared" si="321"/>
        <v>0</v>
      </c>
      <c r="AO769" s="109" t="str">
        <f t="shared" si="322"/>
        <v/>
      </c>
      <c r="AQ769" s="109" t="str">
        <f t="shared" si="323"/>
        <v/>
      </c>
      <c r="BA769" s="229">
        <f>MOD(SUM(E755:E770),12)</f>
        <v>0</v>
      </c>
    </row>
    <row r="770" spans="1:53" ht="15.75" thickBot="1" x14ac:dyDescent="0.3">
      <c r="A770" s="88"/>
      <c r="B770" s="66" t="s">
        <v>293</v>
      </c>
      <c r="C770" s="67"/>
      <c r="D770" s="102"/>
      <c r="E770" s="32"/>
      <c r="F770" s="32"/>
      <c r="G770" s="68" t="s">
        <v>277</v>
      </c>
      <c r="H770" s="69">
        <f t="shared" si="324"/>
        <v>0</v>
      </c>
      <c r="I770" s="70">
        <f t="shared" si="325"/>
        <v>0</v>
      </c>
      <c r="J770" s="73" t="str">
        <f t="shared" si="326"/>
        <v>--</v>
      </c>
      <c r="K770" s="32"/>
      <c r="L770" s="233"/>
      <c r="M770" s="277"/>
      <c r="N770" s="277"/>
      <c r="O770" s="277"/>
      <c r="P770" s="277"/>
      <c r="Q770" s="277"/>
      <c r="R770" s="277"/>
      <c r="S770" s="277"/>
      <c r="T770" s="277"/>
      <c r="U770" s="278"/>
      <c r="V770" s="103"/>
      <c r="W770" s="84">
        <f t="shared" ref="W770:W778" si="331">Y770+1</f>
        <v>61</v>
      </c>
      <c r="X770" s="84"/>
      <c r="Y770" s="78">
        <f>SUM(E755:E770)</f>
        <v>60</v>
      </c>
      <c r="Z770" s="72" t="str">
        <f t="shared" si="329"/>
        <v/>
      </c>
      <c r="AA770" s="72" t="str">
        <f t="shared" si="330"/>
        <v/>
      </c>
      <c r="AB770" s="72"/>
      <c r="AC770" s="72">
        <f t="shared" si="315"/>
        <v>1</v>
      </c>
      <c r="AD770" s="72">
        <f t="shared" si="316"/>
        <v>1</v>
      </c>
      <c r="AE770" s="109" t="str">
        <f t="shared" si="317"/>
        <v>0-0</v>
      </c>
      <c r="AF770" s="109" t="str">
        <f t="shared" si="318"/>
        <v>Y</v>
      </c>
      <c r="AG770" s="109" t="str">
        <f t="shared" si="319"/>
        <v>B</v>
      </c>
      <c r="AM770" s="109">
        <f t="shared" si="320"/>
        <v>0</v>
      </c>
      <c r="AN770" s="109">
        <f t="shared" si="321"/>
        <v>0</v>
      </c>
      <c r="AO770" s="109" t="str">
        <f t="shared" si="322"/>
        <v/>
      </c>
      <c r="AQ770" s="109" t="str">
        <f t="shared" si="323"/>
        <v/>
      </c>
      <c r="BA770" s="229">
        <f>MOD(SUM(E755:E771),12)</f>
        <v>0</v>
      </c>
    </row>
    <row r="771" spans="1:53" ht="15.75" thickBot="1" x14ac:dyDescent="0.3">
      <c r="A771" s="88"/>
      <c r="B771" s="66" t="s">
        <v>294</v>
      </c>
      <c r="C771" s="67"/>
      <c r="D771" s="102"/>
      <c r="E771" s="32"/>
      <c r="F771" s="32"/>
      <c r="G771" s="68" t="s">
        <v>277</v>
      </c>
      <c r="H771" s="69">
        <f t="shared" si="324"/>
        <v>0</v>
      </c>
      <c r="I771" s="70">
        <f t="shared" si="325"/>
        <v>0</v>
      </c>
      <c r="J771" s="73" t="str">
        <f t="shared" si="326"/>
        <v>--</v>
      </c>
      <c r="K771" s="32"/>
      <c r="L771" s="233"/>
      <c r="M771" s="277"/>
      <c r="N771" s="277"/>
      <c r="O771" s="277"/>
      <c r="P771" s="277"/>
      <c r="Q771" s="277"/>
      <c r="R771" s="277"/>
      <c r="S771" s="277"/>
      <c r="T771" s="277"/>
      <c r="U771" s="278"/>
      <c r="V771" s="103"/>
      <c r="W771" s="84">
        <f t="shared" si="331"/>
        <v>61</v>
      </c>
      <c r="X771" s="84"/>
      <c r="Y771" s="78">
        <f>SUM(E755:E771)</f>
        <v>60</v>
      </c>
      <c r="Z771" s="72" t="str">
        <f t="shared" si="329"/>
        <v/>
      </c>
      <c r="AA771" s="72" t="str">
        <f t="shared" si="330"/>
        <v/>
      </c>
      <c r="AB771" s="72"/>
      <c r="AC771" s="72">
        <f t="shared" si="315"/>
        <v>1</v>
      </c>
      <c r="AD771" s="72">
        <f t="shared" si="316"/>
        <v>1</v>
      </c>
      <c r="AE771" s="109" t="str">
        <f t="shared" si="317"/>
        <v>0-0</v>
      </c>
      <c r="AF771" s="109" t="str">
        <f t="shared" si="318"/>
        <v>Y</v>
      </c>
      <c r="AG771" s="109" t="str">
        <f t="shared" si="319"/>
        <v>B</v>
      </c>
      <c r="AM771" s="109">
        <f t="shared" si="320"/>
        <v>0</v>
      </c>
      <c r="AN771" s="109">
        <f t="shared" si="321"/>
        <v>0</v>
      </c>
      <c r="AO771" s="109" t="str">
        <f t="shared" si="322"/>
        <v/>
      </c>
      <c r="AQ771" s="109" t="str">
        <f t="shared" si="323"/>
        <v/>
      </c>
      <c r="BA771" s="229">
        <f>MOD(SUM(E755:E772),12)</f>
        <v>0</v>
      </c>
    </row>
    <row r="772" spans="1:53" ht="15.75" thickBot="1" x14ac:dyDescent="0.3">
      <c r="A772" s="88"/>
      <c r="B772" s="66" t="s">
        <v>295</v>
      </c>
      <c r="C772" s="67"/>
      <c r="D772" s="102"/>
      <c r="E772" s="32"/>
      <c r="F772" s="32"/>
      <c r="G772" s="68" t="s">
        <v>277</v>
      </c>
      <c r="H772" s="69">
        <f t="shared" si="324"/>
        <v>0</v>
      </c>
      <c r="I772" s="70">
        <f t="shared" si="325"/>
        <v>0</v>
      </c>
      <c r="J772" s="73" t="str">
        <f t="shared" si="326"/>
        <v>--</v>
      </c>
      <c r="K772" s="32"/>
      <c r="L772" s="233"/>
      <c r="M772" s="277"/>
      <c r="N772" s="277"/>
      <c r="O772" s="277"/>
      <c r="P772" s="277"/>
      <c r="Q772" s="277"/>
      <c r="R772" s="277"/>
      <c r="S772" s="277"/>
      <c r="T772" s="277"/>
      <c r="U772" s="278"/>
      <c r="V772" s="103"/>
      <c r="W772" s="84">
        <f t="shared" si="331"/>
        <v>61</v>
      </c>
      <c r="X772" s="84"/>
      <c r="Y772" s="78">
        <f>SUM(E755:E772)</f>
        <v>60</v>
      </c>
      <c r="Z772" s="72" t="str">
        <f t="shared" si="329"/>
        <v/>
      </c>
      <c r="AA772" s="72" t="str">
        <f t="shared" si="330"/>
        <v/>
      </c>
      <c r="AB772" s="72"/>
      <c r="AC772" s="72">
        <f t="shared" si="315"/>
        <v>1</v>
      </c>
      <c r="AD772" s="72">
        <f t="shared" si="316"/>
        <v>1</v>
      </c>
      <c r="AE772" s="109" t="str">
        <f t="shared" si="317"/>
        <v>0-0</v>
      </c>
      <c r="AF772" s="109" t="str">
        <f t="shared" si="318"/>
        <v>Y</v>
      </c>
      <c r="AG772" s="109" t="str">
        <f t="shared" si="319"/>
        <v>B</v>
      </c>
      <c r="AM772" s="109">
        <f t="shared" si="320"/>
        <v>0</v>
      </c>
      <c r="AN772" s="109">
        <f t="shared" si="321"/>
        <v>0</v>
      </c>
      <c r="AO772" s="109" t="str">
        <f t="shared" si="322"/>
        <v/>
      </c>
      <c r="AQ772" s="109" t="str">
        <f t="shared" si="323"/>
        <v/>
      </c>
      <c r="BA772" s="229">
        <f>MOD(SUM(E755:E773),12)</f>
        <v>0</v>
      </c>
    </row>
    <row r="773" spans="1:53" ht="15.75" thickBot="1" x14ac:dyDescent="0.3">
      <c r="A773" s="88"/>
      <c r="B773" s="66" t="s">
        <v>296</v>
      </c>
      <c r="C773" s="67"/>
      <c r="D773" s="102"/>
      <c r="E773" s="32"/>
      <c r="F773" s="32"/>
      <c r="G773" s="68" t="s">
        <v>277</v>
      </c>
      <c r="H773" s="69">
        <f t="shared" si="324"/>
        <v>0</v>
      </c>
      <c r="I773" s="70">
        <f t="shared" si="325"/>
        <v>0</v>
      </c>
      <c r="J773" s="73" t="str">
        <f t="shared" si="326"/>
        <v>--</v>
      </c>
      <c r="K773" s="32"/>
      <c r="L773" s="233"/>
      <c r="M773" s="277"/>
      <c r="N773" s="277"/>
      <c r="O773" s="277"/>
      <c r="P773" s="277"/>
      <c r="Q773" s="277"/>
      <c r="R773" s="277"/>
      <c r="S773" s="277"/>
      <c r="T773" s="277"/>
      <c r="U773" s="278"/>
      <c r="V773" s="103"/>
      <c r="W773" s="84">
        <f t="shared" si="331"/>
        <v>61</v>
      </c>
      <c r="X773" s="84"/>
      <c r="Y773" s="78">
        <f>SUM(E755:E773)</f>
        <v>60</v>
      </c>
      <c r="Z773" s="72" t="str">
        <f t="shared" si="329"/>
        <v/>
      </c>
      <c r="AA773" s="72" t="str">
        <f t="shared" si="330"/>
        <v/>
      </c>
      <c r="AB773" s="72"/>
      <c r="AC773" s="72">
        <f t="shared" si="315"/>
        <v>1</v>
      </c>
      <c r="AD773" s="72">
        <f t="shared" si="316"/>
        <v>1</v>
      </c>
      <c r="AE773" s="109" t="str">
        <f t="shared" si="317"/>
        <v>0-0</v>
      </c>
      <c r="AF773" s="109" t="str">
        <f t="shared" si="318"/>
        <v>Y</v>
      </c>
      <c r="AG773" s="109" t="str">
        <f t="shared" si="319"/>
        <v>B</v>
      </c>
      <c r="AM773" s="109">
        <f t="shared" si="320"/>
        <v>0</v>
      </c>
      <c r="AN773" s="109">
        <f t="shared" si="321"/>
        <v>0</v>
      </c>
      <c r="AO773" s="109" t="str">
        <f t="shared" si="322"/>
        <v/>
      </c>
      <c r="AQ773" s="109" t="str">
        <f t="shared" si="323"/>
        <v/>
      </c>
      <c r="BA773" s="229">
        <f>MOD(SUM(E755:E774),12)</f>
        <v>0</v>
      </c>
    </row>
    <row r="774" spans="1:53" ht="15.75" thickBot="1" x14ac:dyDescent="0.3">
      <c r="A774" s="88"/>
      <c r="B774" s="66" t="s">
        <v>297</v>
      </c>
      <c r="C774" s="67"/>
      <c r="D774" s="102"/>
      <c r="E774" s="32"/>
      <c r="F774" s="32"/>
      <c r="G774" s="68" t="s">
        <v>277</v>
      </c>
      <c r="H774" s="69">
        <f t="shared" si="324"/>
        <v>0</v>
      </c>
      <c r="I774" s="70">
        <f t="shared" si="325"/>
        <v>0</v>
      </c>
      <c r="J774" s="73" t="str">
        <f t="shared" si="326"/>
        <v>--</v>
      </c>
      <c r="K774" s="32"/>
      <c r="L774" s="233"/>
      <c r="M774" s="277"/>
      <c r="N774" s="277"/>
      <c r="O774" s="277"/>
      <c r="P774" s="277"/>
      <c r="Q774" s="277"/>
      <c r="R774" s="277"/>
      <c r="S774" s="277"/>
      <c r="T774" s="277"/>
      <c r="U774" s="278"/>
      <c r="V774" s="103"/>
      <c r="W774" s="84">
        <f t="shared" si="331"/>
        <v>61</v>
      </c>
      <c r="X774" s="84"/>
      <c r="Y774" s="78">
        <f>SUM(E755:E774)</f>
        <v>60</v>
      </c>
      <c r="Z774" s="72" t="str">
        <f t="shared" si="329"/>
        <v/>
      </c>
      <c r="AA774" s="72" t="str">
        <f t="shared" si="330"/>
        <v/>
      </c>
      <c r="AB774" s="72"/>
      <c r="AC774" s="72">
        <f t="shared" si="315"/>
        <v>1</v>
      </c>
      <c r="AD774" s="72">
        <f t="shared" si="316"/>
        <v>1</v>
      </c>
      <c r="AE774" s="109" t="str">
        <f t="shared" si="317"/>
        <v>0-0</v>
      </c>
      <c r="AF774" s="109" t="str">
        <f t="shared" si="318"/>
        <v>Y</v>
      </c>
      <c r="AG774" s="109" t="str">
        <f t="shared" si="319"/>
        <v>B</v>
      </c>
      <c r="AM774" s="109">
        <f t="shared" si="320"/>
        <v>0</v>
      </c>
      <c r="AN774" s="109">
        <f t="shared" si="321"/>
        <v>0</v>
      </c>
      <c r="AO774" s="109" t="str">
        <f t="shared" si="322"/>
        <v/>
      </c>
      <c r="AQ774" s="109" t="str">
        <f t="shared" si="323"/>
        <v/>
      </c>
      <c r="BA774" s="229">
        <f>MOD(SUM(E755:E775),12)</f>
        <v>0</v>
      </c>
    </row>
    <row r="775" spans="1:53" ht="15.75" thickBot="1" x14ac:dyDescent="0.3">
      <c r="A775" s="88"/>
      <c r="B775" s="66" t="s">
        <v>298</v>
      </c>
      <c r="C775" s="67"/>
      <c r="D775" s="102"/>
      <c r="E775" s="32"/>
      <c r="F775" s="32"/>
      <c r="G775" s="68" t="s">
        <v>277</v>
      </c>
      <c r="H775" s="69">
        <f t="shared" si="324"/>
        <v>0</v>
      </c>
      <c r="I775" s="70">
        <f t="shared" si="325"/>
        <v>0</v>
      </c>
      <c r="J775" s="73" t="str">
        <f t="shared" si="326"/>
        <v>--</v>
      </c>
      <c r="K775" s="32"/>
      <c r="L775" s="233"/>
      <c r="M775" s="277"/>
      <c r="N775" s="277"/>
      <c r="O775" s="277"/>
      <c r="P775" s="277"/>
      <c r="Q775" s="277"/>
      <c r="R775" s="277"/>
      <c r="S775" s="277"/>
      <c r="T775" s="277"/>
      <c r="U775" s="278"/>
      <c r="V775" s="103"/>
      <c r="W775" s="84">
        <f t="shared" si="331"/>
        <v>61</v>
      </c>
      <c r="X775" s="84"/>
      <c r="Y775" s="78">
        <f>SUM(E755:E775)</f>
        <v>60</v>
      </c>
      <c r="Z775" s="72" t="str">
        <f t="shared" si="329"/>
        <v/>
      </c>
      <c r="AA775" s="72" t="str">
        <f t="shared" si="330"/>
        <v/>
      </c>
      <c r="AB775" s="72"/>
      <c r="AC775" s="72">
        <f t="shared" si="315"/>
        <v>1</v>
      </c>
      <c r="AD775" s="72">
        <f t="shared" si="316"/>
        <v>1</v>
      </c>
      <c r="AE775" s="109" t="str">
        <f t="shared" si="317"/>
        <v>0-0</v>
      </c>
      <c r="AF775" s="109" t="str">
        <f t="shared" si="318"/>
        <v>Y</v>
      </c>
      <c r="AG775" s="109" t="str">
        <f t="shared" si="319"/>
        <v>B</v>
      </c>
      <c r="AM775" s="109">
        <f t="shared" si="320"/>
        <v>0</v>
      </c>
      <c r="AN775" s="109">
        <f t="shared" si="321"/>
        <v>0</v>
      </c>
      <c r="AO775" s="109" t="str">
        <f t="shared" si="322"/>
        <v/>
      </c>
      <c r="AQ775" s="109" t="str">
        <f t="shared" si="323"/>
        <v/>
      </c>
      <c r="BA775" s="229">
        <f>MOD(SUM(E755:E776),12)</f>
        <v>0</v>
      </c>
    </row>
    <row r="776" spans="1:53" ht="15.75" thickBot="1" x14ac:dyDescent="0.3">
      <c r="A776" s="88"/>
      <c r="B776" s="66" t="s">
        <v>299</v>
      </c>
      <c r="C776" s="67"/>
      <c r="D776" s="102"/>
      <c r="E776" s="32"/>
      <c r="F776" s="32"/>
      <c r="G776" s="68" t="s">
        <v>277</v>
      </c>
      <c r="H776" s="69">
        <f t="shared" si="324"/>
        <v>0</v>
      </c>
      <c r="I776" s="70">
        <f t="shared" si="325"/>
        <v>0</v>
      </c>
      <c r="J776" s="73" t="str">
        <f t="shared" si="326"/>
        <v>--</v>
      </c>
      <c r="K776" s="32"/>
      <c r="L776" s="233"/>
      <c r="M776" s="277"/>
      <c r="N776" s="277"/>
      <c r="O776" s="277"/>
      <c r="P776" s="277"/>
      <c r="Q776" s="277"/>
      <c r="R776" s="277"/>
      <c r="S776" s="277"/>
      <c r="T776" s="277"/>
      <c r="U776" s="278"/>
      <c r="V776" s="103"/>
      <c r="W776" s="84">
        <f t="shared" si="331"/>
        <v>61</v>
      </c>
      <c r="X776" s="84"/>
      <c r="Y776" s="78">
        <f>SUM(E755:E776)</f>
        <v>60</v>
      </c>
      <c r="Z776" s="72" t="str">
        <f t="shared" si="329"/>
        <v/>
      </c>
      <c r="AA776" s="72" t="str">
        <f t="shared" si="330"/>
        <v/>
      </c>
      <c r="AB776" s="72"/>
      <c r="AC776" s="72">
        <f t="shared" si="315"/>
        <v>1</v>
      </c>
      <c r="AD776" s="72">
        <f t="shared" si="316"/>
        <v>1</v>
      </c>
      <c r="AE776" s="109" t="str">
        <f t="shared" si="317"/>
        <v>0-0</v>
      </c>
      <c r="AF776" s="109" t="str">
        <f t="shared" si="318"/>
        <v>Y</v>
      </c>
      <c r="AG776" s="109" t="str">
        <f t="shared" si="319"/>
        <v>B</v>
      </c>
      <c r="AM776" s="109">
        <f t="shared" si="320"/>
        <v>0</v>
      </c>
      <c r="AN776" s="109">
        <f t="shared" si="321"/>
        <v>0</v>
      </c>
      <c r="AO776" s="109" t="str">
        <f t="shared" si="322"/>
        <v/>
      </c>
      <c r="AQ776" s="109" t="str">
        <f t="shared" si="323"/>
        <v/>
      </c>
      <c r="BA776" s="229">
        <f>MOD(SUM(E755:E777),12)</f>
        <v>0</v>
      </c>
    </row>
    <row r="777" spans="1:53" ht="15.75" thickBot="1" x14ac:dyDescent="0.3">
      <c r="A777" s="88"/>
      <c r="B777" s="66" t="s">
        <v>300</v>
      </c>
      <c r="C777" s="67"/>
      <c r="D777" s="102"/>
      <c r="E777" s="32"/>
      <c r="F777" s="32"/>
      <c r="G777" s="68" t="s">
        <v>277</v>
      </c>
      <c r="H777" s="69">
        <f t="shared" si="324"/>
        <v>0</v>
      </c>
      <c r="I777" s="70">
        <f t="shared" si="325"/>
        <v>0</v>
      </c>
      <c r="J777" s="73" t="str">
        <f t="shared" si="326"/>
        <v>--</v>
      </c>
      <c r="K777" s="32"/>
      <c r="L777" s="233"/>
      <c r="M777" s="277"/>
      <c r="N777" s="277"/>
      <c r="O777" s="277"/>
      <c r="P777" s="277"/>
      <c r="Q777" s="277"/>
      <c r="R777" s="277"/>
      <c r="S777" s="277"/>
      <c r="T777" s="277"/>
      <c r="U777" s="278"/>
      <c r="V777" s="103"/>
      <c r="W777" s="84">
        <f t="shared" si="331"/>
        <v>61</v>
      </c>
      <c r="X777" s="84"/>
      <c r="Y777" s="78">
        <f>SUM(E755:E777)</f>
        <v>60</v>
      </c>
      <c r="Z777" s="72" t="str">
        <f t="shared" si="329"/>
        <v/>
      </c>
      <c r="AA777" s="72" t="str">
        <f t="shared" si="330"/>
        <v/>
      </c>
      <c r="AB777" s="72"/>
      <c r="AC777" s="72">
        <f t="shared" si="315"/>
        <v>1</v>
      </c>
      <c r="AD777" s="72">
        <f t="shared" si="316"/>
        <v>1</v>
      </c>
      <c r="AE777" s="109" t="str">
        <f t="shared" si="317"/>
        <v>0-0</v>
      </c>
      <c r="AF777" s="109" t="str">
        <f t="shared" si="318"/>
        <v>Y</v>
      </c>
      <c r="AG777" s="109" t="str">
        <f t="shared" si="319"/>
        <v>B</v>
      </c>
      <c r="AM777" s="109">
        <f t="shared" si="320"/>
        <v>0</v>
      </c>
      <c r="AN777" s="109">
        <f t="shared" si="321"/>
        <v>0</v>
      </c>
      <c r="AO777" s="109" t="str">
        <f t="shared" si="322"/>
        <v/>
      </c>
      <c r="AQ777" s="109" t="str">
        <f t="shared" si="323"/>
        <v/>
      </c>
      <c r="BA777" s="229">
        <f>MOD(SUM(E755:E778),12)</f>
        <v>0</v>
      </c>
    </row>
    <row r="778" spans="1:53" ht="15.75" thickBot="1" x14ac:dyDescent="0.3">
      <c r="A778" s="88"/>
      <c r="B778" s="66" t="s">
        <v>301</v>
      </c>
      <c r="C778" s="67"/>
      <c r="D778" s="102"/>
      <c r="E778" s="32"/>
      <c r="F778" s="32"/>
      <c r="G778" s="68" t="s">
        <v>277</v>
      </c>
      <c r="H778" s="69">
        <f t="shared" si="324"/>
        <v>0</v>
      </c>
      <c r="I778" s="70">
        <f t="shared" si="325"/>
        <v>0</v>
      </c>
      <c r="J778" s="73" t="str">
        <f t="shared" si="326"/>
        <v>--</v>
      </c>
      <c r="K778" s="32"/>
      <c r="L778" s="233"/>
      <c r="M778" s="277"/>
      <c r="N778" s="277"/>
      <c r="O778" s="277"/>
      <c r="P778" s="277"/>
      <c r="Q778" s="277"/>
      <c r="R778" s="277"/>
      <c r="S778" s="277"/>
      <c r="T778" s="277"/>
      <c r="U778" s="278"/>
      <c r="V778" s="103"/>
      <c r="W778" s="84">
        <f t="shared" si="331"/>
        <v>61</v>
      </c>
      <c r="X778" s="84"/>
      <c r="Y778" s="78">
        <f>SUM(E755:E778)</f>
        <v>60</v>
      </c>
      <c r="Z778" s="72" t="str">
        <f t="shared" si="329"/>
        <v/>
      </c>
      <c r="AA778" s="72" t="str">
        <f t="shared" si="330"/>
        <v/>
      </c>
      <c r="AB778" s="72"/>
      <c r="AC778" s="72">
        <f t="shared" si="315"/>
        <v>1</v>
      </c>
      <c r="AD778" s="72">
        <f t="shared" si="316"/>
        <v>1</v>
      </c>
      <c r="AE778" s="109" t="str">
        <f t="shared" si="317"/>
        <v>0-0</v>
      </c>
      <c r="AF778" s="109" t="str">
        <f t="shared" si="318"/>
        <v>Y</v>
      </c>
      <c r="AG778" s="109" t="str">
        <f t="shared" si="319"/>
        <v>B</v>
      </c>
      <c r="AM778" s="109">
        <f t="shared" si="320"/>
        <v>0</v>
      </c>
      <c r="AN778" s="109">
        <f t="shared" si="321"/>
        <v>0</v>
      </c>
      <c r="AO778" s="109" t="str">
        <f t="shared" si="322"/>
        <v/>
      </c>
      <c r="AQ778" s="109" t="str">
        <f t="shared" si="323"/>
        <v/>
      </c>
      <c r="BA778" s="229">
        <f>MOD(SUM(E755:E779),12)</f>
        <v>0</v>
      </c>
    </row>
    <row r="779" spans="1:53" ht="15.75" thickBot="1" x14ac:dyDescent="0.3">
      <c r="A779" s="88"/>
      <c r="B779" s="66" t="s">
        <v>302</v>
      </c>
      <c r="C779" s="67"/>
      <c r="D779" s="102"/>
      <c r="E779" s="32"/>
      <c r="F779" s="32"/>
      <c r="G779" s="68" t="s">
        <v>277</v>
      </c>
      <c r="H779" s="69">
        <f t="shared" si="324"/>
        <v>0</v>
      </c>
      <c r="I779" s="70">
        <f t="shared" si="325"/>
        <v>0</v>
      </c>
      <c r="J779" s="73" t="str">
        <f t="shared" si="326"/>
        <v>--</v>
      </c>
      <c r="K779" s="32"/>
      <c r="L779" s="234"/>
      <c r="M779" s="277"/>
      <c r="N779" s="277"/>
      <c r="O779" s="277"/>
      <c r="P779" s="277"/>
      <c r="Q779" s="277"/>
      <c r="R779" s="277"/>
      <c r="S779" s="277"/>
      <c r="T779" s="277"/>
      <c r="U779" s="278"/>
      <c r="V779" s="103"/>
      <c r="W779" s="72"/>
      <c r="X779" s="72"/>
      <c r="Y779" s="78">
        <f>SUM(E755:E779)</f>
        <v>60</v>
      </c>
      <c r="Z779" s="72" t="str">
        <f t="shared" si="329"/>
        <v/>
      </c>
      <c r="AA779" s="72" t="str">
        <f t="shared" si="330"/>
        <v/>
      </c>
      <c r="AB779" s="72"/>
      <c r="AC779" s="72">
        <f t="shared" si="315"/>
        <v>1</v>
      </c>
      <c r="AD779" s="72">
        <f t="shared" si="316"/>
        <v>1</v>
      </c>
      <c r="AE779" s="109" t="str">
        <f t="shared" si="317"/>
        <v>0-0</v>
      </c>
      <c r="AF779" s="109" t="str">
        <f t="shared" si="318"/>
        <v>Y</v>
      </c>
      <c r="AG779" s="109" t="str">
        <f t="shared" si="319"/>
        <v>B</v>
      </c>
      <c r="AM779" s="109">
        <f t="shared" si="320"/>
        <v>0</v>
      </c>
      <c r="AN779" s="109">
        <f t="shared" si="321"/>
        <v>0</v>
      </c>
      <c r="AO779" s="109" t="str">
        <f t="shared" si="322"/>
        <v/>
      </c>
      <c r="AQ779" s="109" t="str">
        <f t="shared" si="323"/>
        <v/>
      </c>
      <c r="BA779" s="228"/>
    </row>
    <row r="780" spans="1:53" ht="16.5" thickBot="1" x14ac:dyDescent="0.3">
      <c r="A780" s="88"/>
      <c r="B780" s="319" t="s">
        <v>341</v>
      </c>
      <c r="C780" s="320"/>
      <c r="D780" s="79"/>
      <c r="E780" s="80"/>
      <c r="F780" s="80"/>
      <c r="G780" s="81"/>
      <c r="H780" s="192"/>
      <c r="I780" s="192"/>
      <c r="J780" s="192"/>
      <c r="K780" s="82"/>
      <c r="L780" s="319" t="s">
        <v>306</v>
      </c>
      <c r="M780" s="330"/>
      <c r="N780" s="330"/>
      <c r="O780" s="330"/>
      <c r="P780" s="330"/>
      <c r="Q780" s="330"/>
      <c r="R780" s="330"/>
      <c r="S780" s="330"/>
      <c r="T780" s="330"/>
      <c r="U780" s="320"/>
      <c r="V780" s="104"/>
      <c r="W780" s="72"/>
      <c r="X780" s="72"/>
      <c r="Y780" s="72"/>
      <c r="Z780" s="72"/>
      <c r="AA780" s="72" t="str">
        <f t="shared" si="330"/>
        <v/>
      </c>
      <c r="AB780" s="72"/>
      <c r="AC780" s="72">
        <f>SUM(AC755:AC779)</f>
        <v>25</v>
      </c>
      <c r="AD780" s="72">
        <f>SUM(AD755:AD779)</f>
        <v>22</v>
      </c>
      <c r="AM780" s="109">
        <f>SUM(AM755:AM779)</f>
        <v>0</v>
      </c>
      <c r="AN780" s="109">
        <f>SUM(AN755:AN779)</f>
        <v>0</v>
      </c>
      <c r="AO780" s="109">
        <f>((COUNTIF(AO755:AO779,"Y")/3)*2)</f>
        <v>2</v>
      </c>
      <c r="AP780" s="109">
        <f>(COUNTIF(AO755:AO779,"Y")/3)</f>
        <v>1</v>
      </c>
      <c r="AQ780" s="109">
        <f>(COUNTIF(AQ755:AQ779,"Y")/2)</f>
        <v>0</v>
      </c>
      <c r="AR780" s="109">
        <f>(COUNTIF(AQ755:AQ779,"Y")/2)</f>
        <v>0</v>
      </c>
      <c r="BA780" s="228"/>
    </row>
    <row r="781" spans="1:53" ht="16.5" thickBot="1" x14ac:dyDescent="0.3">
      <c r="A781" s="88"/>
      <c r="B781" s="319" t="s">
        <v>307</v>
      </c>
      <c r="C781" s="320"/>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30"/>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312" t="s">
        <v>222</v>
      </c>
      <c r="C785" s="313"/>
      <c r="D785" s="314" t="s">
        <v>223</v>
      </c>
      <c r="E785" s="305"/>
      <c r="F785" s="88"/>
      <c r="G785" s="315" t="s">
        <v>224</v>
      </c>
      <c r="H785" s="316"/>
      <c r="I785" s="28">
        <f>SUM(E796:E820)</f>
        <v>36</v>
      </c>
      <c r="J785" s="317" t="s">
        <v>225</v>
      </c>
      <c r="K785" s="318"/>
      <c r="L785" s="305"/>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5" t="s">
        <v>226</v>
      </c>
      <c r="AA785" s="296"/>
      <c r="AB785" s="297"/>
      <c r="AC785" s="25"/>
      <c r="AD785" s="25"/>
      <c r="AH785" s="109">
        <v>2</v>
      </c>
      <c r="AI785" s="109" t="str">
        <f>IF($E786="SS",COUNTIFS($C796:$C820,"FST",$E796:$E820,"2"),"0")</f>
        <v>0</v>
      </c>
      <c r="AJ785" s="109" t="str">
        <f>IF($E786="RPX",COUNTIFS($C796:$C820,"FST",$E796:$E820,"2"),"0")</f>
        <v>0</v>
      </c>
      <c r="AK785" s="109">
        <f>IF($E786="EUC",COUNTIFS($C796:$C820,"FST",$E796:$E820,"2"),"0")</f>
        <v>0</v>
      </c>
      <c r="AL785" s="109" t="str">
        <f>IF($E786="RPX-T",COUNTIFS($C796:$C820,"FST",$E796:$E820,"2"),"0")</f>
        <v>0</v>
      </c>
      <c r="AT785" s="110" t="s">
        <v>227</v>
      </c>
      <c r="AU785" s="108" t="str">
        <f>IF(OR($AS786="Y",$AS787="Y",$AS788="Y"),"",COUNTIFS($E786,"SS",$E791,"Y"))</f>
        <v/>
      </c>
      <c r="AV785" s="111" t="str">
        <f>IF(OR($AS786="Y",$AS787="Y",$AS788="Y"),"",COUNTIFS($E786,"RPX",$E791,"Y"))</f>
        <v/>
      </c>
      <c r="AW785" s="111" t="str">
        <f>IF(OR($AS786="Y",$AS787="Y",$AS788="Y"),"",COUNTIFS($E786,"EUC",$E791,"Y"))</f>
        <v/>
      </c>
      <c r="AX785" s="109" t="str">
        <f>IF(OR($AS786="Y",$AS787="Y",$AS788="Y"),"",COUNTIFS($E786,"RPX-T",$E791,"Y"))</f>
        <v/>
      </c>
      <c r="BA785" s="226"/>
    </row>
    <row r="786" spans="1:53" ht="16.5" customHeight="1" thickTop="1" thickBot="1" x14ac:dyDescent="0.3">
      <c r="A786" s="88"/>
      <c r="B786" s="29" t="s">
        <v>228</v>
      </c>
      <c r="C786" s="30">
        <v>0</v>
      </c>
      <c r="D786" s="31" t="s">
        <v>229</v>
      </c>
      <c r="E786" s="66" t="str">
        <f>TEXT(IF('Cable Calculator'!CU7="","",'Cable Calculator'!CU7),)</f>
        <v>EUC</v>
      </c>
      <c r="F786" s="88"/>
      <c r="G786" s="304" t="s">
        <v>230</v>
      </c>
      <c r="H786" s="305"/>
      <c r="I786" s="33">
        <f>E787-I785</f>
        <v>12</v>
      </c>
      <c r="J786" s="289" t="s">
        <v>231</v>
      </c>
      <c r="K786" s="290"/>
      <c r="L786" s="34">
        <f>I790</f>
        <v>493</v>
      </c>
      <c r="M786" s="196">
        <v>4</v>
      </c>
      <c r="N786" s="35">
        <f>SUM(AI786,AI797)</f>
        <v>0</v>
      </c>
      <c r="O786" s="35">
        <v>0</v>
      </c>
      <c r="P786" s="35">
        <f>SUM(AJ786,AJ797)</f>
        <v>0</v>
      </c>
      <c r="Q786" s="35">
        <v>0</v>
      </c>
      <c r="R786" s="35">
        <f>COUNTIFS($E796:$E820,"4",$F796:$F820,"Pole",$C796:$C820,"FST")</f>
        <v>0</v>
      </c>
      <c r="S786" s="35">
        <f>SUM(AL786,AK797)</f>
        <v>0</v>
      </c>
      <c r="T786" s="35">
        <v>0</v>
      </c>
      <c r="U786" s="35">
        <f>SUM(AK786,AL797)</f>
        <v>1</v>
      </c>
      <c r="V786" s="35">
        <v>0</v>
      </c>
      <c r="W786" s="34">
        <f>COUNTIFS($E796:$E820,"4",$F796:$F820,"HH",$C796:$C820,"FST")</f>
        <v>1</v>
      </c>
      <c r="X786" s="35">
        <f>COUNTIFS($E796:$E820,"4",$F796:$F820,"Ped",$C796:$C820,"FST")</f>
        <v>0</v>
      </c>
      <c r="Y786" s="25"/>
      <c r="Z786" s="298" t="s">
        <v>232</v>
      </c>
      <c r="AA786" s="300" t="s">
        <v>233</v>
      </c>
      <c r="AB786" s="301"/>
      <c r="AC786" s="25"/>
      <c r="AD786" s="25"/>
      <c r="AH786" s="109">
        <v>4</v>
      </c>
      <c r="AI786" s="109" t="str">
        <f>IF($E786="SS",COUNTIFS($C796:$C820,"FST",$E796:$E820,"4"),"0")</f>
        <v>0</v>
      </c>
      <c r="AJ786" s="109" t="str">
        <f>IF($E786="RPX",COUNTIFS($C796:$C820,"FST",$E796:$E820,"4"),"0")</f>
        <v>0</v>
      </c>
      <c r="AK786" s="109">
        <f>IF($E786="EUC",COUNTIFS($C796:$C820,"FST",$E796:$E820,"4"),"0")</f>
        <v>1</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v>48</v>
      </c>
      <c r="F787" s="88"/>
      <c r="G787" s="291" t="s">
        <v>237</v>
      </c>
      <c r="H787" s="292"/>
      <c r="I787" s="35">
        <f>IF(E787=0,0,12-(MOD(I785,12)))</f>
        <v>12</v>
      </c>
      <c r="J787" s="289" t="s">
        <v>238</v>
      </c>
      <c r="K787" s="290"/>
      <c r="L787" s="39">
        <f>I791-I785</f>
        <v>492</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299"/>
      <c r="AA787" s="302"/>
      <c r="AB787" s="303"/>
      <c r="AC787" s="25"/>
      <c r="AD787" s="25"/>
      <c r="AH787" s="109">
        <v>6</v>
      </c>
      <c r="AI787" s="109" t="str">
        <f>IF($E786="SS",COUNTIFS($C796:$C820,"FST",$E796:$E820,"6"),"0")</f>
        <v>0</v>
      </c>
      <c r="AJ787" s="109" t="str">
        <f>IF($E786="RPX",COUNTIFS($C796:$C820,"FST",$E796:$E820,"6"),"0")</f>
        <v>0</v>
      </c>
      <c r="AK787" s="109">
        <f>IF($E786="EUC",COUNTIFS($C796:$C820,"FST",$E796:$E820,"6"),"0")</f>
        <v>0</v>
      </c>
      <c r="AL787" s="109" t="str">
        <f>IF($E786="RPX-T",COUNTIFS($C796:$C820,"FST",$E796:$E820,"6"),"0")</f>
        <v>0</v>
      </c>
      <c r="AS787" s="109" t="str">
        <f>IF(AND(E791="Y",E787=48,E788=12),"Y","N")</f>
        <v>Y</v>
      </c>
      <c r="AT787" s="110" t="s">
        <v>239</v>
      </c>
      <c r="AU787" s="109">
        <f>COUNTIFS($E786,"SS",$AS787,"Y")</f>
        <v>0</v>
      </c>
      <c r="AV787" s="108">
        <f>COUNTIFS($E786,"RPX",$AS787,"Y")</f>
        <v>0</v>
      </c>
      <c r="AW787" s="108">
        <f>COUNTIFS($E786,"EUC",$AS787,"Y")</f>
        <v>1</v>
      </c>
      <c r="AX787" s="109">
        <f>COUNTIFS($E786,"RPX-T",$AS787,"Y")</f>
        <v>0</v>
      </c>
      <c r="BA787" s="227"/>
    </row>
    <row r="788" spans="1:53" ht="16.5" customHeight="1" thickTop="1" thickBot="1" x14ac:dyDescent="0.3">
      <c r="A788" s="88"/>
      <c r="B788" s="40" t="s">
        <v>240</v>
      </c>
      <c r="C788" s="30">
        <v>0</v>
      </c>
      <c r="D788" s="41" t="s">
        <v>241</v>
      </c>
      <c r="E788" s="42">
        <v>12</v>
      </c>
      <c r="F788" s="88"/>
      <c r="G788" s="321" t="s">
        <v>242</v>
      </c>
      <c r="H788" s="43" t="s">
        <v>243</v>
      </c>
      <c r="I788" s="35">
        <f>IF(E788&lt;&gt;0,1,0)</f>
        <v>1</v>
      </c>
      <c r="J788" s="291" t="s">
        <v>244</v>
      </c>
      <c r="K788" s="292"/>
      <c r="L788" s="44">
        <f>'Cable Calculator'!CU3</f>
        <v>1955</v>
      </c>
      <c r="M788" s="196">
        <v>8</v>
      </c>
      <c r="N788" s="35">
        <f>SUM(AI788,AI799)</f>
        <v>0</v>
      </c>
      <c r="O788" s="35">
        <v>0</v>
      </c>
      <c r="P788" s="35">
        <f>SUM(AJ788,AJ799)</f>
        <v>0</v>
      </c>
      <c r="Q788" s="35">
        <v>0</v>
      </c>
      <c r="R788" s="35">
        <f>COUNTIFS($E796:$E820,"8",$F796:$F820,"Pole",$C796:$C820,"FST")</f>
        <v>0</v>
      </c>
      <c r="S788" s="35">
        <f>SUM(AL788,AK799)</f>
        <v>0</v>
      </c>
      <c r="T788" s="35">
        <v>0</v>
      </c>
      <c r="U788" s="35">
        <f>SUM(AK788,AL799)</f>
        <v>1</v>
      </c>
      <c r="V788" s="35">
        <v>0</v>
      </c>
      <c r="W788" s="34">
        <f>COUNTIFS($E796:$E820,"8",$F796:$F820,"HH",$C796:$C820,"FST")</f>
        <v>1</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f>IF($E786="EUC",COUNTIFS($C796:$C820,"FST",$E796:$E820,"8"),"0")</f>
        <v>1</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v>493</v>
      </c>
      <c r="F789" s="88"/>
      <c r="G789" s="322"/>
      <c r="H789" s="47" t="s">
        <v>248</v>
      </c>
      <c r="I789" s="35">
        <f>IF(E788&lt;&gt;0,E788,0)</f>
        <v>12</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f>IF($E786="EUC",SUM(AK789,AL800,AM821,AO821,AQ821),"0")</f>
        <v>0</v>
      </c>
      <c r="V789" s="35">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4</v>
      </c>
      <c r="F790" s="88"/>
      <c r="G790" s="321" t="s">
        <v>251</v>
      </c>
      <c r="H790" s="51" t="s">
        <v>252</v>
      </c>
      <c r="I790" s="112">
        <f>E789</f>
        <v>493</v>
      </c>
      <c r="J790" s="323" t="s">
        <v>253</v>
      </c>
      <c r="K790" s="324"/>
      <c r="L790" s="325"/>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Y</v>
      </c>
      <c r="F791" s="88"/>
      <c r="G791" s="322"/>
      <c r="H791" s="47" t="s">
        <v>257</v>
      </c>
      <c r="I791" s="35">
        <f>IF(E789="","0",IF(AND(E786="EUC",E787=432), I790+(203-E788),IF(E789=0,0,(E789+(E787-E788)-1))))</f>
        <v>528</v>
      </c>
      <c r="J791" s="285" t="str">
        <f>IFERROR(IF(OR(E786="EUC",E786="SS"),"---",IF(OR(P785,S785),"NO 2F Tethers for RPX!",IF(OR(P787,S787),"NO 6F Tethers for RPX!","---"))),"---")</f>
        <v>---</v>
      </c>
      <c r="K791" s="286"/>
      <c r="L791" s="287"/>
      <c r="M791" s="285" t="str">
        <f>IF(E788&gt;60,"Dead Count &gt;60: Consider Downsize","---")</f>
        <v>---</v>
      </c>
      <c r="N791" s="286"/>
      <c r="O791" s="286"/>
      <c r="P791" s="286"/>
      <c r="Q791" s="286"/>
      <c r="R791" s="286"/>
      <c r="S791" s="286"/>
      <c r="T791" s="286"/>
      <c r="U791" s="287"/>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36</v>
      </c>
      <c r="D792" s="31" t="s">
        <v>259</v>
      </c>
      <c r="E792" s="101" t="str">
        <f>IF(AS786="Y","DBL",IF(AS787="Y","TRPL",IF(AS788="Y","QUAD","")))</f>
        <v>TRPL</v>
      </c>
      <c r="F792" s="88"/>
      <c r="G792" s="192"/>
      <c r="H792" s="57"/>
      <c r="I792" s="192"/>
      <c r="J792" s="285"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86"/>
      <c r="L792" s="287"/>
      <c r="M792" s="285" t="str">
        <f>IF(AND(OR(E786="SS",E786="RPX",E786="EUC",E786="RPX-T"),(OR(C796="",C796="Field SPL"))),"Cannot have FlexNap cables without tethers","---")</f>
        <v>---</v>
      </c>
      <c r="N792" s="286"/>
      <c r="O792" s="286"/>
      <c r="P792" s="286"/>
      <c r="Q792" s="286"/>
      <c r="R792" s="286"/>
      <c r="S792" s="286"/>
      <c r="T792" s="286"/>
      <c r="U792" s="287"/>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85" t="str">
        <f>IF(AND(OR(E786="RPX", E786="RPX-T", E786="SS"),E787=216),"NO 216 For RPX, RPX-T, OR SS CABLE","---")</f>
        <v>---</v>
      </c>
      <c r="K793" s="286"/>
      <c r="L793" s="287"/>
      <c r="M793" s="285" t="str" cm="1">
        <f t="array" ref="M793">IF(AND(E786="",OR(C796:C820="FST",C796:C820="REV T",C796:C820="DBL REV",C796:C820="TPL REV", C796:C820="QD REV")),"Non-FlexNap cables cannot have tethers","---")</f>
        <v>---</v>
      </c>
      <c r="N793" s="286"/>
      <c r="O793" s="286"/>
      <c r="P793" s="286"/>
      <c r="Q793" s="286"/>
      <c r="R793" s="286"/>
      <c r="S793" s="286"/>
      <c r="T793" s="286"/>
      <c r="U793" s="287"/>
      <c r="V793" s="25"/>
      <c r="W793" s="58"/>
      <c r="X793" s="58"/>
      <c r="Y793" s="25"/>
      <c r="Z793" s="45">
        <v>6</v>
      </c>
      <c r="AA793" s="65">
        <v>61</v>
      </c>
      <c r="AB793" s="65">
        <v>72</v>
      </c>
      <c r="AC793" s="25"/>
      <c r="AD793" s="25"/>
      <c r="BA793" s="226"/>
    </row>
    <row r="794" spans="1:53" ht="15.75" customHeight="1" thickBot="1" x14ac:dyDescent="0.3">
      <c r="A794" s="88"/>
      <c r="B794" s="321" t="s">
        <v>260</v>
      </c>
      <c r="C794" s="293" t="s">
        <v>261</v>
      </c>
      <c r="D794" s="293" t="s">
        <v>262</v>
      </c>
      <c r="E794" s="306" t="s">
        <v>263</v>
      </c>
      <c r="F794" s="293" t="s">
        <v>264</v>
      </c>
      <c r="G794" s="308" t="s">
        <v>265</v>
      </c>
      <c r="H794" s="308" t="s">
        <v>266</v>
      </c>
      <c r="I794" s="308" t="s">
        <v>267</v>
      </c>
      <c r="J794" s="310" t="s">
        <v>268</v>
      </c>
      <c r="K794" s="293" t="s">
        <v>269</v>
      </c>
      <c r="L794" s="279" t="s">
        <v>270</v>
      </c>
      <c r="M794" s="281" t="s">
        <v>271</v>
      </c>
      <c r="N794" s="281"/>
      <c r="O794" s="281"/>
      <c r="P794" s="281"/>
      <c r="Q794" s="281"/>
      <c r="R794" s="281"/>
      <c r="S794" s="281"/>
      <c r="T794" s="281"/>
      <c r="U794" s="282"/>
      <c r="V794" s="107"/>
      <c r="W794" s="72"/>
      <c r="X794" s="72"/>
      <c r="Y794" s="72"/>
      <c r="Z794" s="45">
        <v>7</v>
      </c>
      <c r="AA794" s="65">
        <v>73</v>
      </c>
      <c r="AB794" s="65">
        <v>84</v>
      </c>
      <c r="AC794" s="25"/>
      <c r="AD794" s="25"/>
      <c r="BA794" s="228"/>
    </row>
    <row r="795" spans="1:53" ht="15.75" thickBot="1" x14ac:dyDescent="0.3">
      <c r="A795" s="88"/>
      <c r="B795" s="322"/>
      <c r="C795" s="294"/>
      <c r="D795" s="294"/>
      <c r="E795" s="307"/>
      <c r="F795" s="294"/>
      <c r="G795" s="309"/>
      <c r="H795" s="309"/>
      <c r="I795" s="309"/>
      <c r="J795" s="311"/>
      <c r="K795" s="294"/>
      <c r="L795" s="280"/>
      <c r="M795" s="283"/>
      <c r="N795" s="283"/>
      <c r="O795" s="283"/>
      <c r="P795" s="283"/>
      <c r="Q795" s="283"/>
      <c r="R795" s="283"/>
      <c r="S795" s="283"/>
      <c r="T795" s="283"/>
      <c r="U795" s="284"/>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t="s">
        <v>484</v>
      </c>
      <c r="D796" s="102" t="s">
        <v>782</v>
      </c>
      <c r="E796" s="32">
        <v>4</v>
      </c>
      <c r="F796" s="32" t="s">
        <v>488</v>
      </c>
      <c r="G796" s="68" t="s">
        <v>277</v>
      </c>
      <c r="H796" s="69">
        <f>IF(I796=0,0,I796-(E796-1))</f>
        <v>525</v>
      </c>
      <c r="I796" s="70">
        <f>IF(E796=0,0,I791)</f>
        <v>528</v>
      </c>
      <c r="J796" s="71" t="s">
        <v>278</v>
      </c>
      <c r="K796" s="32"/>
      <c r="L796" s="233"/>
      <c r="M796" s="277"/>
      <c r="N796" s="277"/>
      <c r="O796" s="277"/>
      <c r="P796" s="277"/>
      <c r="Q796" s="277"/>
      <c r="R796" s="277"/>
      <c r="S796" s="277"/>
      <c r="T796" s="277"/>
      <c r="U796" s="278"/>
      <c r="V796" s="103"/>
      <c r="W796" s="72"/>
      <c r="X796" s="72"/>
      <c r="Y796" s="72"/>
      <c r="Z796" s="45">
        <v>9</v>
      </c>
      <c r="AA796" s="46">
        <v>97</v>
      </c>
      <c r="AB796" s="46">
        <v>108</v>
      </c>
      <c r="AC796" s="72">
        <f t="shared" ref="AC796:AC820" si="332">IF(B796&lt;&gt;"FST",1,0)</f>
        <v>1</v>
      </c>
      <c r="AD796" s="72">
        <f t="shared" ref="AD796:AD820" si="333">IF(C796&lt;&gt;"FST",1,0)</f>
        <v>0</v>
      </c>
      <c r="AE796" s="109" t="str">
        <f t="shared" ref="AE796:AE820" si="334">CONCATENATE(H796,"-",I796)</f>
        <v>525-528</v>
      </c>
      <c r="AF796" s="109" t="str">
        <f t="shared" ref="AF796:AF820" si="335">IF(C796="Field SPL","N","Y")</f>
        <v>Y</v>
      </c>
      <c r="AG796" s="109" t="str">
        <f t="shared" ref="AG796:AG820" si="336">IF(OR(E$786="RPX",E$786="SS"),"A","B")</f>
        <v>B</v>
      </c>
      <c r="AH796" s="109">
        <v>2</v>
      </c>
      <c r="AI796" s="109" t="str">
        <f>IF(E786="SS",COUNTIFS(C796:C820,"TCF",E796:E820,"2"),"")</f>
        <v/>
      </c>
      <c r="AJ796" s="109" t="str">
        <f>IF(E786="RPX",COUNTIFS(C796:C820,"TCF",E796:E820,"2"),"")</f>
        <v/>
      </c>
      <c r="AK796" s="109" t="str">
        <f>IF(E786="RPX-T",COUNTIFS(C796:C820,"TCF",E796:E820,"2"),"")</f>
        <v/>
      </c>
      <c r="AL796" s="109">
        <f>IF(E786="EUC",COUNTIFS(C796:C820,"TCF",E796:E820,"2"),"")</f>
        <v>0</v>
      </c>
      <c r="AM796" s="109">
        <f t="shared" ref="AM796:AM820" si="337">VALUE(IF(C796="FST","0",IF(C796="REV T","1",IF(C796="DBL REV",".5","0"))))</f>
        <v>0</v>
      </c>
      <c r="AN796" s="109">
        <f t="shared" ref="AN796:AN820" si="338">VALUE(IF(C796="FST","0",IF(C796="REV T","0",IF(C796="DBL REV",".5","0"))))</f>
        <v>0</v>
      </c>
      <c r="AO796" s="109" t="str">
        <f t="shared" ref="AO796:AO820" si="339">IF(C796="TPL REV","Y","")</f>
        <v/>
      </c>
      <c r="AQ796" s="109" t="str">
        <f t="shared" ref="AQ796:AQ820" si="340">IF(C796="QD REV","Y","")</f>
        <v/>
      </c>
      <c r="BA796" s="229">
        <f>MOD(E796,12)</f>
        <v>4</v>
      </c>
    </row>
    <row r="797" spans="1:53" ht="15.75" thickBot="1" x14ac:dyDescent="0.3">
      <c r="A797" s="88"/>
      <c r="B797" s="66" t="s">
        <v>279</v>
      </c>
      <c r="C797" s="67" t="s">
        <v>484</v>
      </c>
      <c r="D797" s="102" t="s">
        <v>783</v>
      </c>
      <c r="E797" s="32">
        <v>8</v>
      </c>
      <c r="F797" s="32" t="s">
        <v>488</v>
      </c>
      <c r="G797" s="68" t="s">
        <v>277</v>
      </c>
      <c r="H797" s="69">
        <f t="shared" ref="H797:H820" si="341">IF(E797=0,0,I797-(E797-1))</f>
        <v>517</v>
      </c>
      <c r="I797" s="70">
        <f t="shared" ref="I797:I820" si="342">IF(E797=0,0,H796-1)</f>
        <v>524</v>
      </c>
      <c r="J797" s="73" t="str">
        <f>IF(C797="","--",IF(AND(C797&lt;&gt;"FST",C797&lt;&gt;"TCF",BA796&lt;&gt;0),BA796,"--"))</f>
        <v>--</v>
      </c>
      <c r="K797" s="32"/>
      <c r="L797" s="233"/>
      <c r="M797" s="277"/>
      <c r="N797" s="277"/>
      <c r="O797" s="277"/>
      <c r="P797" s="277"/>
      <c r="Q797" s="277"/>
      <c r="R797" s="277"/>
      <c r="S797" s="277"/>
      <c r="T797" s="277"/>
      <c r="U797" s="278"/>
      <c r="V797" s="103"/>
      <c r="W797" s="72"/>
      <c r="X797" s="72"/>
      <c r="Y797" s="72"/>
      <c r="Z797" s="45">
        <v>10</v>
      </c>
      <c r="AA797" s="46">
        <v>109</v>
      </c>
      <c r="AB797" s="46">
        <v>120</v>
      </c>
      <c r="AC797" s="72">
        <f t="shared" si="332"/>
        <v>1</v>
      </c>
      <c r="AD797" s="72">
        <f t="shared" si="333"/>
        <v>0</v>
      </c>
      <c r="AE797" s="109" t="str">
        <f t="shared" si="334"/>
        <v>517-524</v>
      </c>
      <c r="AF797" s="109" t="str">
        <f t="shared" si="335"/>
        <v>Y</v>
      </c>
      <c r="AG797" s="109" t="str">
        <f t="shared" si="336"/>
        <v>B</v>
      </c>
      <c r="AH797" s="109">
        <v>4</v>
      </c>
      <c r="AI797" s="109" t="str">
        <f>IF(E786="SS",COUNTIFS(C796:C820,"TCF",E796:E820,"4"),"")</f>
        <v/>
      </c>
      <c r="AJ797" s="109" t="str">
        <f>IF(E786="RPX",COUNTIFS(C796:C820,"TCF",E796:E820,"4"),"")</f>
        <v/>
      </c>
      <c r="AK797" s="109" t="str">
        <f>IF(E786="RPX-T",COUNTIFS(C796:C820,"TCF",E796:E820,"4"),"")</f>
        <v/>
      </c>
      <c r="AL797" s="109">
        <f>IF(E786="EUC",COUNTIFS(C796:C820,"TCF",E796:E820,"4"),"")</f>
        <v>0</v>
      </c>
      <c r="AM797" s="109">
        <f t="shared" si="337"/>
        <v>0</v>
      </c>
      <c r="AN797" s="109">
        <f t="shared" si="338"/>
        <v>0</v>
      </c>
      <c r="AO797" s="109" t="str">
        <f t="shared" si="339"/>
        <v/>
      </c>
      <c r="AQ797" s="109" t="str">
        <f t="shared" si="340"/>
        <v/>
      </c>
      <c r="BA797" s="229">
        <f>MOD(SUM(E796:E797),12)</f>
        <v>0</v>
      </c>
    </row>
    <row r="798" spans="1:53" ht="15.75" thickBot="1" x14ac:dyDescent="0.3">
      <c r="A798" s="88"/>
      <c r="B798" s="74" t="s">
        <v>280</v>
      </c>
      <c r="C798" s="67" t="s">
        <v>502</v>
      </c>
      <c r="D798" s="102"/>
      <c r="E798" s="32">
        <v>24</v>
      </c>
      <c r="F798" s="32"/>
      <c r="G798" s="75" t="s">
        <v>277</v>
      </c>
      <c r="H798" s="69">
        <f t="shared" si="341"/>
        <v>493</v>
      </c>
      <c r="I798" s="70">
        <f t="shared" si="342"/>
        <v>516</v>
      </c>
      <c r="J798" s="73" t="str">
        <f t="shared" ref="J798:J820" si="343">IF(C798="","--",IF(AND(C798&lt;&gt;"FST",C798&lt;&gt;"TCF",BA797&lt;&gt;0),BA797,"--"))</f>
        <v>--</v>
      </c>
      <c r="K798" s="32"/>
      <c r="L798" s="233"/>
      <c r="M798" s="277" t="s">
        <v>423</v>
      </c>
      <c r="N798" s="277"/>
      <c r="O798" s="277"/>
      <c r="P798" s="277"/>
      <c r="Q798" s="277"/>
      <c r="R798" s="277"/>
      <c r="S798" s="277"/>
      <c r="T798" s="277"/>
      <c r="U798" s="278"/>
      <c r="V798" s="103"/>
      <c r="W798" s="72"/>
      <c r="X798" s="72"/>
      <c r="Y798" s="72"/>
      <c r="Z798" s="45">
        <v>11</v>
      </c>
      <c r="AA798" s="46">
        <v>121</v>
      </c>
      <c r="AB798" s="46">
        <v>132</v>
      </c>
      <c r="AC798" s="72">
        <f t="shared" si="332"/>
        <v>1</v>
      </c>
      <c r="AD798" s="72">
        <f t="shared" si="333"/>
        <v>1</v>
      </c>
      <c r="AE798" s="109" t="str">
        <f t="shared" si="334"/>
        <v>493-516</v>
      </c>
      <c r="AF798" s="109" t="str">
        <f t="shared" si="335"/>
        <v>N</v>
      </c>
      <c r="AG798" s="109" t="str">
        <f t="shared" si="336"/>
        <v>B</v>
      </c>
      <c r="AH798" s="109">
        <v>6</v>
      </c>
      <c r="AI798" s="109" t="str">
        <f>IF(E786="SS",COUNTIFS(C796:C820,"TCF",E796:E820,"6"),"")</f>
        <v/>
      </c>
      <c r="AJ798" s="109" t="str">
        <f>IF(E786="RPX",COUNTIFS(C796:C820,"TCF",E796:E820,"6"),"")</f>
        <v/>
      </c>
      <c r="AK798" s="109" t="str">
        <f>IF(E786="RPX-T",COUNTIFS(C796:C820,"TCF",E796:E820,"6"),"")</f>
        <v/>
      </c>
      <c r="AL798" s="109">
        <f>IF(E786="EUC",COUNTIFS(C796:C820,"TCF",E796:E820,"6"),"")</f>
        <v>0</v>
      </c>
      <c r="AM798" s="109">
        <f t="shared" si="337"/>
        <v>0</v>
      </c>
      <c r="AN798" s="109">
        <f t="shared" si="338"/>
        <v>0</v>
      </c>
      <c r="AO798" s="109" t="str">
        <f t="shared" si="339"/>
        <v/>
      </c>
      <c r="AQ798" s="109" t="str">
        <f t="shared" si="340"/>
        <v/>
      </c>
      <c r="BA798" s="229">
        <f>MOD(SUM(E796:E799),12)</f>
        <v>0</v>
      </c>
    </row>
    <row r="799" spans="1:53" ht="15.75" thickBot="1" x14ac:dyDescent="0.3">
      <c r="A799" s="88"/>
      <c r="B799" s="66" t="s">
        <v>281</v>
      </c>
      <c r="C799" s="67"/>
      <c r="D799" s="102"/>
      <c r="E799" s="32"/>
      <c r="F799" s="32"/>
      <c r="G799" s="68" t="s">
        <v>277</v>
      </c>
      <c r="H799" s="69">
        <f t="shared" si="341"/>
        <v>0</v>
      </c>
      <c r="I799" s="70">
        <f t="shared" si="342"/>
        <v>0</v>
      </c>
      <c r="J799" s="73" t="str">
        <f t="shared" si="343"/>
        <v>--</v>
      </c>
      <c r="K799" s="32"/>
      <c r="L799" s="233"/>
      <c r="M799" s="277"/>
      <c r="N799" s="277"/>
      <c r="O799" s="277"/>
      <c r="P799" s="277"/>
      <c r="Q799" s="277"/>
      <c r="R799" s="277"/>
      <c r="S799" s="277"/>
      <c r="T799" s="277"/>
      <c r="U799" s="278"/>
      <c r="V799" s="103"/>
      <c r="W799" s="72"/>
      <c r="X799" s="72"/>
      <c r="Y799" s="72"/>
      <c r="Z799" s="45">
        <v>12</v>
      </c>
      <c r="AA799" s="76">
        <v>133</v>
      </c>
      <c r="AB799" s="76">
        <v>144</v>
      </c>
      <c r="AC799" s="72">
        <f t="shared" si="332"/>
        <v>1</v>
      </c>
      <c r="AD799" s="72">
        <f t="shared" si="333"/>
        <v>1</v>
      </c>
      <c r="AE799" s="109" t="str">
        <f t="shared" si="334"/>
        <v>0-0</v>
      </c>
      <c r="AF799" s="109" t="str">
        <f t="shared" si="335"/>
        <v>Y</v>
      </c>
      <c r="AG799" s="109" t="str">
        <f t="shared" si="336"/>
        <v>B</v>
      </c>
      <c r="AH799" s="109">
        <v>8</v>
      </c>
      <c r="AI799" s="109" t="str">
        <f>IF(E786="SS",COUNTIFS(C796:C820,"TCF",E796:E820,"8"),"")</f>
        <v/>
      </c>
      <c r="AJ799" s="109" t="str">
        <f>IF(E786="RPX",COUNTIFS(C796:C820,"TCF",E796:E820,"8"),"")</f>
        <v/>
      </c>
      <c r="AK799" s="109" t="str">
        <f>IF(E786="RPX-T",COUNTIFS(C796:C820,"TCF",E796:E820,"8"),"")</f>
        <v/>
      </c>
      <c r="AL799" s="109">
        <f>IF(E786="EUC",COUNTIFS(C796:C820,"TCF",E796:E820,"8"),"")</f>
        <v>0</v>
      </c>
      <c r="AM799" s="109">
        <f t="shared" si="337"/>
        <v>0</v>
      </c>
      <c r="AN799" s="109">
        <f t="shared" si="338"/>
        <v>0</v>
      </c>
      <c r="AO799" s="109" t="str">
        <f t="shared" si="339"/>
        <v/>
      </c>
      <c r="AQ799" s="109" t="str">
        <f t="shared" si="340"/>
        <v/>
      </c>
      <c r="BA799" s="229">
        <f>MOD(SUM(E796:E800),12)</f>
        <v>0</v>
      </c>
    </row>
    <row r="800" spans="1:53" ht="15.75" thickBot="1" x14ac:dyDescent="0.3">
      <c r="A800" s="88"/>
      <c r="B800" s="66" t="s">
        <v>282</v>
      </c>
      <c r="C800" s="67"/>
      <c r="D800" s="102"/>
      <c r="E800" s="32"/>
      <c r="F800" s="32"/>
      <c r="G800" s="68" t="s">
        <v>277</v>
      </c>
      <c r="H800" s="69">
        <f t="shared" si="341"/>
        <v>0</v>
      </c>
      <c r="I800" s="70">
        <f t="shared" si="342"/>
        <v>0</v>
      </c>
      <c r="J800" s="73" t="str">
        <f t="shared" si="343"/>
        <v>--</v>
      </c>
      <c r="K800" s="32"/>
      <c r="L800" s="233"/>
      <c r="M800" s="277"/>
      <c r="N800" s="277"/>
      <c r="O800" s="277"/>
      <c r="P800" s="277"/>
      <c r="Q800" s="277"/>
      <c r="R800" s="277"/>
      <c r="S800" s="277"/>
      <c r="T800" s="277"/>
      <c r="U800" s="278"/>
      <c r="V800" s="103"/>
      <c r="W800" s="72"/>
      <c r="X800" s="72"/>
      <c r="Y800" s="72"/>
      <c r="Z800" s="45">
        <v>13</v>
      </c>
      <c r="AA800" s="77">
        <f t="shared" ref="AA800:AA805" si="344">AB799+1</f>
        <v>145</v>
      </c>
      <c r="AB800" s="77">
        <f t="shared" ref="AB800:AB805" si="345">AB799+12</f>
        <v>156</v>
      </c>
      <c r="AC800" s="72">
        <f t="shared" si="332"/>
        <v>1</v>
      </c>
      <c r="AD800" s="72">
        <f t="shared" si="333"/>
        <v>1</v>
      </c>
      <c r="AE800" s="109" t="str">
        <f t="shared" si="334"/>
        <v>0-0</v>
      </c>
      <c r="AF800" s="109" t="str">
        <f t="shared" si="335"/>
        <v>Y</v>
      </c>
      <c r="AG800" s="109" t="str">
        <f t="shared" si="336"/>
        <v>B</v>
      </c>
      <c r="AH800" s="109">
        <v>12</v>
      </c>
      <c r="AI800" s="109" t="str">
        <f>IF(E786="SS",COUNTIFS(C796:C820,"TCF",E796:E820,"12"),"")</f>
        <v/>
      </c>
      <c r="AJ800" s="109" t="str">
        <f>IF(E786="RPX",COUNTIFS(C796:C820,"TCF",E796:E820,"12"),"")</f>
        <v/>
      </c>
      <c r="AK800" s="109" t="str">
        <f>IF(E786="RPX-T",COUNTIFS(C796:C820,"TCF",E796:E820,"12"),"")</f>
        <v/>
      </c>
      <c r="AL800" s="109">
        <f>IF(E786="EUC",COUNTIFS(C796:C820,"TCF",E796:E820,"12"),"")</f>
        <v>0</v>
      </c>
      <c r="AM800" s="109">
        <f t="shared" si="337"/>
        <v>0</v>
      </c>
      <c r="AN800" s="109">
        <f t="shared" si="338"/>
        <v>0</v>
      </c>
      <c r="AO800" s="109" t="str">
        <f t="shared" si="339"/>
        <v/>
      </c>
      <c r="AQ800" s="109" t="str">
        <f t="shared" si="340"/>
        <v/>
      </c>
      <c r="BA800" s="229">
        <f>MOD(SUM(E796:E801),12)</f>
        <v>0</v>
      </c>
    </row>
    <row r="801" spans="1:53" ht="15.75" thickBot="1" x14ac:dyDescent="0.3">
      <c r="A801" s="88"/>
      <c r="B801" s="66" t="s">
        <v>283</v>
      </c>
      <c r="C801" s="67"/>
      <c r="D801" s="102"/>
      <c r="E801" s="32"/>
      <c r="F801" s="32"/>
      <c r="G801" s="68" t="s">
        <v>277</v>
      </c>
      <c r="H801" s="69">
        <f t="shared" si="341"/>
        <v>0</v>
      </c>
      <c r="I801" s="70">
        <f t="shared" si="342"/>
        <v>0</v>
      </c>
      <c r="J801" s="73" t="str">
        <f t="shared" si="343"/>
        <v>--</v>
      </c>
      <c r="K801" s="32"/>
      <c r="L801" s="233"/>
      <c r="M801" s="277"/>
      <c r="N801" s="277"/>
      <c r="O801" s="277"/>
      <c r="P801" s="277"/>
      <c r="Q801" s="277"/>
      <c r="R801" s="277"/>
      <c r="S801" s="277"/>
      <c r="T801" s="277"/>
      <c r="U801" s="278"/>
      <c r="V801" s="103"/>
      <c r="W801" s="72"/>
      <c r="X801" s="72"/>
      <c r="Y801" s="72"/>
      <c r="Z801" s="45">
        <v>14</v>
      </c>
      <c r="AA801" s="77">
        <f t="shared" si="344"/>
        <v>157</v>
      </c>
      <c r="AB801" s="77">
        <f t="shared" si="345"/>
        <v>168</v>
      </c>
      <c r="AC801" s="72">
        <f t="shared" si="332"/>
        <v>1</v>
      </c>
      <c r="AD801" s="72">
        <f t="shared" si="333"/>
        <v>1</v>
      </c>
      <c r="AE801" s="109" t="str">
        <f t="shared" si="334"/>
        <v>0-0</v>
      </c>
      <c r="AF801" s="109" t="str">
        <f t="shared" si="335"/>
        <v>Y</v>
      </c>
      <c r="AG801" s="109" t="str">
        <f t="shared" si="336"/>
        <v>B</v>
      </c>
      <c r="AM801" s="109">
        <f t="shared" si="337"/>
        <v>0</v>
      </c>
      <c r="AN801" s="109">
        <f t="shared" si="338"/>
        <v>0</v>
      </c>
      <c r="AO801" s="109" t="str">
        <f t="shared" si="339"/>
        <v/>
      </c>
      <c r="AQ801" s="109" t="str">
        <f t="shared" si="340"/>
        <v/>
      </c>
      <c r="BA801" s="229">
        <f>MOD(SUM(E796:E802),12)</f>
        <v>0</v>
      </c>
    </row>
    <row r="802" spans="1:53" ht="15.75" thickBot="1" x14ac:dyDescent="0.3">
      <c r="A802" s="88"/>
      <c r="B802" s="66" t="s">
        <v>284</v>
      </c>
      <c r="C802" s="67"/>
      <c r="D802" s="102"/>
      <c r="E802" s="32"/>
      <c r="F802" s="32"/>
      <c r="G802" s="68" t="s">
        <v>277</v>
      </c>
      <c r="H802" s="69">
        <f t="shared" si="341"/>
        <v>0</v>
      </c>
      <c r="I802" s="70">
        <f t="shared" si="342"/>
        <v>0</v>
      </c>
      <c r="J802" s="73" t="str">
        <f t="shared" si="343"/>
        <v>--</v>
      </c>
      <c r="K802" s="32"/>
      <c r="L802" s="233"/>
      <c r="M802" s="277"/>
      <c r="N802" s="277"/>
      <c r="O802" s="277"/>
      <c r="P802" s="277"/>
      <c r="Q802" s="277"/>
      <c r="R802" s="277"/>
      <c r="S802" s="277"/>
      <c r="T802" s="277"/>
      <c r="U802" s="278"/>
      <c r="V802" s="103"/>
      <c r="W802" s="72"/>
      <c r="X802" s="72"/>
      <c r="Y802" s="72"/>
      <c r="Z802" s="45">
        <v>15</v>
      </c>
      <c r="AA802" s="77">
        <f t="shared" si="344"/>
        <v>169</v>
      </c>
      <c r="AB802" s="77">
        <f t="shared" si="345"/>
        <v>180</v>
      </c>
      <c r="AC802" s="72">
        <f t="shared" si="332"/>
        <v>1</v>
      </c>
      <c r="AD802" s="72">
        <f t="shared" si="333"/>
        <v>1</v>
      </c>
      <c r="AE802" s="109" t="str">
        <f t="shared" si="334"/>
        <v>0-0</v>
      </c>
      <c r="AF802" s="109" t="str">
        <f t="shared" si="335"/>
        <v>Y</v>
      </c>
      <c r="AG802" s="109" t="str">
        <f t="shared" si="336"/>
        <v>B</v>
      </c>
      <c r="AM802" s="109">
        <f t="shared" si="337"/>
        <v>0</v>
      </c>
      <c r="AN802" s="109">
        <f t="shared" si="338"/>
        <v>0</v>
      </c>
      <c r="AO802" s="109" t="str">
        <f t="shared" si="339"/>
        <v/>
      </c>
      <c r="AQ802" s="109" t="str">
        <f t="shared" si="340"/>
        <v/>
      </c>
      <c r="BA802" s="229">
        <f>MOD(SUM(E796:E803),12)</f>
        <v>0</v>
      </c>
    </row>
    <row r="803" spans="1:53" ht="15.75" thickBot="1" x14ac:dyDescent="0.3">
      <c r="A803" s="88"/>
      <c r="B803" s="66" t="s">
        <v>285</v>
      </c>
      <c r="C803" s="67"/>
      <c r="D803" s="102"/>
      <c r="E803" s="32"/>
      <c r="F803" s="32"/>
      <c r="G803" s="68" t="s">
        <v>277</v>
      </c>
      <c r="H803" s="69">
        <f t="shared" si="341"/>
        <v>0</v>
      </c>
      <c r="I803" s="70">
        <f t="shared" si="342"/>
        <v>0</v>
      </c>
      <c r="J803" s="73" t="str">
        <f t="shared" si="343"/>
        <v>--</v>
      </c>
      <c r="K803" s="32"/>
      <c r="L803" s="233"/>
      <c r="M803" s="277"/>
      <c r="N803" s="277"/>
      <c r="O803" s="277"/>
      <c r="P803" s="277"/>
      <c r="Q803" s="277"/>
      <c r="R803" s="277"/>
      <c r="S803" s="277"/>
      <c r="T803" s="277"/>
      <c r="U803" s="278"/>
      <c r="V803" s="103"/>
      <c r="W803" s="72"/>
      <c r="X803" s="72"/>
      <c r="Y803" s="72"/>
      <c r="Z803" s="45">
        <f>Z802+1</f>
        <v>16</v>
      </c>
      <c r="AA803" s="77">
        <f t="shared" si="344"/>
        <v>181</v>
      </c>
      <c r="AB803" s="77">
        <f t="shared" si="345"/>
        <v>192</v>
      </c>
      <c r="AC803" s="72">
        <f t="shared" si="332"/>
        <v>1</v>
      </c>
      <c r="AD803" s="72">
        <f t="shared" si="333"/>
        <v>1</v>
      </c>
      <c r="AE803" s="109" t="str">
        <f t="shared" si="334"/>
        <v>0-0</v>
      </c>
      <c r="AF803" s="109" t="str">
        <f t="shared" si="335"/>
        <v>Y</v>
      </c>
      <c r="AG803" s="109" t="str">
        <f t="shared" si="336"/>
        <v>B</v>
      </c>
      <c r="AM803" s="109">
        <f t="shared" si="337"/>
        <v>0</v>
      </c>
      <c r="AN803" s="109">
        <f t="shared" si="338"/>
        <v>0</v>
      </c>
      <c r="AO803" s="109" t="str">
        <f t="shared" si="339"/>
        <v/>
      </c>
      <c r="AQ803" s="109" t="str">
        <f t="shared" si="340"/>
        <v/>
      </c>
      <c r="BA803" s="229">
        <f>MOD(SUM(E796:E804),12)</f>
        <v>0</v>
      </c>
    </row>
    <row r="804" spans="1:53" ht="15.75" thickBot="1" x14ac:dyDescent="0.3">
      <c r="A804" s="88"/>
      <c r="B804" s="66" t="s">
        <v>286</v>
      </c>
      <c r="C804" s="67"/>
      <c r="D804" s="102"/>
      <c r="E804" s="32"/>
      <c r="F804" s="32"/>
      <c r="G804" s="68" t="s">
        <v>277</v>
      </c>
      <c r="H804" s="69">
        <f t="shared" si="341"/>
        <v>0</v>
      </c>
      <c r="I804" s="70">
        <f t="shared" si="342"/>
        <v>0</v>
      </c>
      <c r="J804" s="73" t="str">
        <f t="shared" si="343"/>
        <v>--</v>
      </c>
      <c r="K804" s="32"/>
      <c r="L804" s="233"/>
      <c r="M804" s="277"/>
      <c r="N804" s="277"/>
      <c r="O804" s="277"/>
      <c r="P804" s="277"/>
      <c r="Q804" s="277"/>
      <c r="R804" s="277"/>
      <c r="S804" s="277"/>
      <c r="T804" s="277"/>
      <c r="U804" s="278"/>
      <c r="V804" s="103"/>
      <c r="W804" s="72"/>
      <c r="X804" s="72"/>
      <c r="Y804" s="72"/>
      <c r="Z804" s="45">
        <f>Z803+1</f>
        <v>17</v>
      </c>
      <c r="AA804" s="77">
        <f t="shared" si="344"/>
        <v>193</v>
      </c>
      <c r="AB804" s="77">
        <f t="shared" si="345"/>
        <v>204</v>
      </c>
      <c r="AC804" s="72">
        <f t="shared" si="332"/>
        <v>1</v>
      </c>
      <c r="AD804" s="72">
        <f t="shared" si="333"/>
        <v>1</v>
      </c>
      <c r="AE804" s="109" t="str">
        <f t="shared" si="334"/>
        <v>0-0</v>
      </c>
      <c r="AF804" s="109" t="str">
        <f t="shared" si="335"/>
        <v>Y</v>
      </c>
      <c r="AG804" s="109" t="str">
        <f t="shared" si="336"/>
        <v>B</v>
      </c>
      <c r="AM804" s="109">
        <f t="shared" si="337"/>
        <v>0</v>
      </c>
      <c r="AN804" s="109">
        <f t="shared" si="338"/>
        <v>0</v>
      </c>
      <c r="AO804" s="109" t="str">
        <f t="shared" si="339"/>
        <v/>
      </c>
      <c r="AQ804" s="109" t="str">
        <f t="shared" si="340"/>
        <v/>
      </c>
      <c r="BA804" s="229">
        <f>MOD(SUM(E796:E805),12)</f>
        <v>0</v>
      </c>
    </row>
    <row r="805" spans="1:53" ht="15.75" thickBot="1" x14ac:dyDescent="0.3">
      <c r="A805" s="88"/>
      <c r="B805" s="66" t="s">
        <v>287</v>
      </c>
      <c r="C805" s="67"/>
      <c r="D805" s="102"/>
      <c r="E805" s="32"/>
      <c r="F805" s="32"/>
      <c r="G805" s="68" t="s">
        <v>277</v>
      </c>
      <c r="H805" s="69">
        <f t="shared" si="341"/>
        <v>0</v>
      </c>
      <c r="I805" s="70">
        <f t="shared" si="342"/>
        <v>0</v>
      </c>
      <c r="J805" s="73" t="str">
        <f t="shared" si="343"/>
        <v>--</v>
      </c>
      <c r="K805" s="32"/>
      <c r="L805" s="233"/>
      <c r="M805" s="277"/>
      <c r="N805" s="277"/>
      <c r="O805" s="277"/>
      <c r="P805" s="277"/>
      <c r="Q805" s="277"/>
      <c r="R805" s="277"/>
      <c r="S805" s="277"/>
      <c r="T805" s="277"/>
      <c r="U805" s="278"/>
      <c r="V805" s="103"/>
      <c r="W805" s="72"/>
      <c r="X805" s="72"/>
      <c r="Y805" s="72"/>
      <c r="Z805" s="45">
        <f>Z804+1</f>
        <v>18</v>
      </c>
      <c r="AA805" s="77">
        <f t="shared" si="344"/>
        <v>205</v>
      </c>
      <c r="AB805" s="77">
        <f t="shared" si="345"/>
        <v>216</v>
      </c>
      <c r="AC805" s="72">
        <f t="shared" si="332"/>
        <v>1</v>
      </c>
      <c r="AD805" s="72">
        <f t="shared" si="333"/>
        <v>1</v>
      </c>
      <c r="AE805" s="109" t="str">
        <f t="shared" si="334"/>
        <v>0-0</v>
      </c>
      <c r="AF805" s="109" t="str">
        <f t="shared" si="335"/>
        <v>Y</v>
      </c>
      <c r="AG805" s="109" t="str">
        <f t="shared" si="336"/>
        <v>B</v>
      </c>
      <c r="AM805" s="109">
        <f t="shared" si="337"/>
        <v>0</v>
      </c>
      <c r="AN805" s="109">
        <f t="shared" si="338"/>
        <v>0</v>
      </c>
      <c r="AO805" s="109" t="str">
        <f t="shared" si="339"/>
        <v/>
      </c>
      <c r="AQ805" s="109" t="str">
        <f t="shared" si="340"/>
        <v/>
      </c>
      <c r="BA805" s="229">
        <f>MOD(SUM(E796:E806),12)</f>
        <v>0</v>
      </c>
    </row>
    <row r="806" spans="1:53" ht="15.75" thickBot="1" x14ac:dyDescent="0.3">
      <c r="A806" s="88"/>
      <c r="B806" s="66" t="s">
        <v>288</v>
      </c>
      <c r="C806" s="67"/>
      <c r="D806" s="102"/>
      <c r="E806" s="32"/>
      <c r="F806" s="32"/>
      <c r="G806" s="68" t="s">
        <v>277</v>
      </c>
      <c r="H806" s="69">
        <f t="shared" si="341"/>
        <v>0</v>
      </c>
      <c r="I806" s="70">
        <f t="shared" si="342"/>
        <v>0</v>
      </c>
      <c r="J806" s="73" t="str">
        <f t="shared" si="343"/>
        <v>--</v>
      </c>
      <c r="K806" s="32"/>
      <c r="L806" s="233"/>
      <c r="M806" s="277"/>
      <c r="N806" s="277"/>
      <c r="O806" s="277"/>
      <c r="P806" s="277"/>
      <c r="Q806" s="277"/>
      <c r="R806" s="277"/>
      <c r="S806" s="277"/>
      <c r="T806" s="277"/>
      <c r="U806" s="278"/>
      <c r="V806" s="103"/>
      <c r="W806" s="84"/>
      <c r="X806" s="84"/>
      <c r="Y806" s="72"/>
      <c r="Z806" s="72"/>
      <c r="AA806" s="72"/>
      <c r="AB806" s="72"/>
      <c r="AC806" s="72">
        <f t="shared" si="332"/>
        <v>1</v>
      </c>
      <c r="AD806" s="72">
        <f t="shared" si="333"/>
        <v>1</v>
      </c>
      <c r="AE806" s="109" t="str">
        <f t="shared" si="334"/>
        <v>0-0</v>
      </c>
      <c r="AF806" s="109" t="str">
        <f t="shared" si="335"/>
        <v>Y</v>
      </c>
      <c r="AG806" s="109" t="str">
        <f t="shared" si="336"/>
        <v>B</v>
      </c>
      <c r="AM806" s="109">
        <f t="shared" si="337"/>
        <v>0</v>
      </c>
      <c r="AN806" s="109">
        <f t="shared" si="338"/>
        <v>0</v>
      </c>
      <c r="AO806" s="109" t="str">
        <f t="shared" si="339"/>
        <v/>
      </c>
      <c r="AQ806" s="109" t="str">
        <f t="shared" si="340"/>
        <v/>
      </c>
      <c r="BA806" s="229">
        <f>MOD(SUM(E796:E807),12)</f>
        <v>0</v>
      </c>
    </row>
    <row r="807" spans="1:53" ht="15.75" thickBot="1" x14ac:dyDescent="0.3">
      <c r="A807" s="88"/>
      <c r="B807" s="66" t="s">
        <v>289</v>
      </c>
      <c r="C807" s="67"/>
      <c r="D807" s="102"/>
      <c r="E807" s="32"/>
      <c r="F807" s="32"/>
      <c r="G807" s="68" t="s">
        <v>277</v>
      </c>
      <c r="H807" s="69">
        <f t="shared" si="341"/>
        <v>0</v>
      </c>
      <c r="I807" s="70">
        <f t="shared" si="342"/>
        <v>0</v>
      </c>
      <c r="J807" s="73" t="str">
        <f t="shared" si="343"/>
        <v>--</v>
      </c>
      <c r="K807" s="32"/>
      <c r="L807" s="233"/>
      <c r="M807" s="277"/>
      <c r="N807" s="277"/>
      <c r="O807" s="277"/>
      <c r="P807" s="277"/>
      <c r="Q807" s="277"/>
      <c r="R807" s="277"/>
      <c r="S807" s="277"/>
      <c r="T807" s="277"/>
      <c r="U807" s="278"/>
      <c r="V807" s="103"/>
      <c r="W807" s="84">
        <f>Y807+1</f>
        <v>37</v>
      </c>
      <c r="X807" s="84"/>
      <c r="Y807" s="78">
        <f>SUM(E796:E807)</f>
        <v>36</v>
      </c>
      <c r="Z807" s="72"/>
      <c r="AA807" s="72"/>
      <c r="AB807" s="72"/>
      <c r="AC807" s="72">
        <f t="shared" si="332"/>
        <v>1</v>
      </c>
      <c r="AD807" s="72">
        <f t="shared" si="333"/>
        <v>1</v>
      </c>
      <c r="AE807" s="109" t="str">
        <f t="shared" si="334"/>
        <v>0-0</v>
      </c>
      <c r="AF807" s="109" t="str">
        <f t="shared" si="335"/>
        <v>Y</v>
      </c>
      <c r="AG807" s="109" t="str">
        <f t="shared" si="336"/>
        <v>B</v>
      </c>
      <c r="AM807" s="109">
        <f t="shared" si="337"/>
        <v>0</v>
      </c>
      <c r="AN807" s="109">
        <f t="shared" si="338"/>
        <v>0</v>
      </c>
      <c r="AO807" s="109" t="str">
        <f t="shared" si="339"/>
        <v/>
      </c>
      <c r="AQ807" s="109" t="str">
        <f t="shared" si="340"/>
        <v/>
      </c>
      <c r="BA807" s="229">
        <f>MOD(SUM(E796:E808),12)</f>
        <v>0</v>
      </c>
    </row>
    <row r="808" spans="1:53" ht="15.75" thickBot="1" x14ac:dyDescent="0.3">
      <c r="A808" s="88"/>
      <c r="B808" s="66" t="s">
        <v>290</v>
      </c>
      <c r="C808" s="67"/>
      <c r="D808" s="102"/>
      <c r="E808" s="32"/>
      <c r="F808" s="32"/>
      <c r="G808" s="68" t="s">
        <v>277</v>
      </c>
      <c r="H808" s="69">
        <f t="shared" si="341"/>
        <v>0</v>
      </c>
      <c r="I808" s="70">
        <f t="shared" si="342"/>
        <v>0</v>
      </c>
      <c r="J808" s="73" t="str">
        <f t="shared" si="343"/>
        <v>--</v>
      </c>
      <c r="K808" s="32"/>
      <c r="L808" s="233"/>
      <c r="M808" s="277"/>
      <c r="N808" s="277"/>
      <c r="O808" s="277"/>
      <c r="P808" s="277"/>
      <c r="Q808" s="277"/>
      <c r="R808" s="277"/>
      <c r="S808" s="277"/>
      <c r="T808" s="277"/>
      <c r="U808" s="278"/>
      <c r="V808" s="103"/>
      <c r="W808" s="84">
        <f>Y808+1</f>
        <v>37</v>
      </c>
      <c r="X808" s="84"/>
      <c r="Y808" s="78">
        <f>SUM(E796:E808)</f>
        <v>36</v>
      </c>
      <c r="Z808" s="72" t="str">
        <f t="shared" ref="Z808:Z820" si="346">IF(OR(AND(E$8=216,C807="DBL REV",C808="DBL REV",Y807&lt;=144,Y808&gt;144),AND(E$8=216,C807="TPL REV",C808="TPL REV",Y807&lt;=144,Y808&gt;144),AND(E$8=216,C807="QD REV",C808="QD REV",Y807&lt;=144,Y808&gt;144)),"ERROR","")</f>
        <v/>
      </c>
      <c r="AA808" s="72"/>
      <c r="AB808" s="72"/>
      <c r="AC808" s="72">
        <f t="shared" si="332"/>
        <v>1</v>
      </c>
      <c r="AD808" s="72">
        <f t="shared" si="333"/>
        <v>1</v>
      </c>
      <c r="AE808" s="109" t="str">
        <f t="shared" si="334"/>
        <v>0-0</v>
      </c>
      <c r="AF808" s="109" t="str">
        <f t="shared" si="335"/>
        <v>Y</v>
      </c>
      <c r="AG808" s="109" t="str">
        <f t="shared" si="336"/>
        <v>B</v>
      </c>
      <c r="AM808" s="109">
        <f t="shared" si="337"/>
        <v>0</v>
      </c>
      <c r="AN808" s="109">
        <f t="shared" si="338"/>
        <v>0</v>
      </c>
      <c r="AO808" s="109" t="str">
        <f t="shared" si="339"/>
        <v/>
      </c>
      <c r="AQ808" s="109" t="str">
        <f t="shared" si="340"/>
        <v/>
      </c>
      <c r="BA808" s="229">
        <f>MOD(SUM(E796:E809),12)</f>
        <v>0</v>
      </c>
    </row>
    <row r="809" spans="1:53" ht="15.75" thickBot="1" x14ac:dyDescent="0.3">
      <c r="A809" s="88"/>
      <c r="B809" s="66" t="s">
        <v>291</v>
      </c>
      <c r="C809" s="67"/>
      <c r="D809" s="102"/>
      <c r="E809" s="32"/>
      <c r="F809" s="32"/>
      <c r="G809" s="68" t="s">
        <v>277</v>
      </c>
      <c r="H809" s="69">
        <f t="shared" si="341"/>
        <v>0</v>
      </c>
      <c r="I809" s="70">
        <f t="shared" si="342"/>
        <v>0</v>
      </c>
      <c r="J809" s="73" t="str">
        <f t="shared" si="343"/>
        <v>--</v>
      </c>
      <c r="K809" s="32"/>
      <c r="L809" s="233"/>
      <c r="M809" s="277"/>
      <c r="N809" s="277"/>
      <c r="O809" s="277"/>
      <c r="P809" s="277"/>
      <c r="Q809" s="277"/>
      <c r="R809" s="277"/>
      <c r="S809" s="277"/>
      <c r="T809" s="277"/>
      <c r="U809" s="278"/>
      <c r="V809" s="103"/>
      <c r="W809" s="84">
        <f>Y809+1</f>
        <v>37</v>
      </c>
      <c r="X809" s="84"/>
      <c r="Y809" s="78">
        <f>SUM(E796:E809)</f>
        <v>36</v>
      </c>
      <c r="Z809" s="72" t="str">
        <f t="shared" si="346"/>
        <v/>
      </c>
      <c r="AA809" s="72"/>
      <c r="AB809" s="72"/>
      <c r="AC809" s="72">
        <f t="shared" si="332"/>
        <v>1</v>
      </c>
      <c r="AD809" s="72">
        <f t="shared" si="333"/>
        <v>1</v>
      </c>
      <c r="AE809" s="109" t="str">
        <f t="shared" si="334"/>
        <v>0-0</v>
      </c>
      <c r="AF809" s="109" t="str">
        <f t="shared" si="335"/>
        <v>Y</v>
      </c>
      <c r="AG809" s="109" t="str">
        <f t="shared" si="336"/>
        <v>B</v>
      </c>
      <c r="AM809" s="109">
        <f t="shared" si="337"/>
        <v>0</v>
      </c>
      <c r="AN809" s="109">
        <f t="shared" si="338"/>
        <v>0</v>
      </c>
      <c r="AO809" s="109" t="str">
        <f t="shared" si="339"/>
        <v/>
      </c>
      <c r="AQ809" s="109" t="str">
        <f t="shared" si="340"/>
        <v/>
      </c>
      <c r="BA809" s="229">
        <f>MOD(SUM(E796:E810),12)</f>
        <v>0</v>
      </c>
    </row>
    <row r="810" spans="1:53" ht="15.75" thickBot="1" x14ac:dyDescent="0.3">
      <c r="A810" s="88"/>
      <c r="B810" s="66" t="s">
        <v>292</v>
      </c>
      <c r="C810" s="67"/>
      <c r="D810" s="102"/>
      <c r="E810" s="32"/>
      <c r="F810" s="32"/>
      <c r="G810" s="68" t="s">
        <v>277</v>
      </c>
      <c r="H810" s="69">
        <f t="shared" si="341"/>
        <v>0</v>
      </c>
      <c r="I810" s="70">
        <f t="shared" si="342"/>
        <v>0</v>
      </c>
      <c r="J810" s="73" t="str">
        <f t="shared" si="343"/>
        <v>--</v>
      </c>
      <c r="K810" s="32"/>
      <c r="L810" s="233"/>
      <c r="M810" s="277"/>
      <c r="N810" s="277"/>
      <c r="O810" s="277"/>
      <c r="P810" s="277"/>
      <c r="Q810" s="277"/>
      <c r="R810" s="277"/>
      <c r="S810" s="277"/>
      <c r="T810" s="277"/>
      <c r="U810" s="278"/>
      <c r="V810" s="103"/>
      <c r="W810" s="84">
        <f>Y810+1</f>
        <v>37</v>
      </c>
      <c r="X810" s="84"/>
      <c r="Y810" s="78">
        <f>SUM(E796:E810)</f>
        <v>36</v>
      </c>
      <c r="Z810" s="72" t="str">
        <f t="shared" si="346"/>
        <v/>
      </c>
      <c r="AA810" s="72" t="str">
        <f t="shared" ref="AA810:AA822" si="347">IF(AND(C808&lt;&gt;"Field SPL",W807&lt;=144,Y808&gt;144),"ERROR","")</f>
        <v/>
      </c>
      <c r="AB810" s="72"/>
      <c r="AC810" s="72">
        <f t="shared" si="332"/>
        <v>1</v>
      </c>
      <c r="AD810" s="72">
        <f t="shared" si="333"/>
        <v>1</v>
      </c>
      <c r="AE810" s="109" t="str">
        <f t="shared" si="334"/>
        <v>0-0</v>
      </c>
      <c r="AF810" s="109" t="str">
        <f t="shared" si="335"/>
        <v>Y</v>
      </c>
      <c r="AG810" s="109" t="str">
        <f t="shared" si="336"/>
        <v>B</v>
      </c>
      <c r="AM810" s="109">
        <f t="shared" si="337"/>
        <v>0</v>
      </c>
      <c r="AN810" s="109">
        <f t="shared" si="338"/>
        <v>0</v>
      </c>
      <c r="AO810" s="109" t="str">
        <f t="shared" si="339"/>
        <v/>
      </c>
      <c r="AQ810" s="109" t="str">
        <f t="shared" si="340"/>
        <v/>
      </c>
      <c r="BA810" s="229">
        <f>MOD(SUM(E796:E811),12)</f>
        <v>0</v>
      </c>
    </row>
    <row r="811" spans="1:53" ht="15.75" thickBot="1" x14ac:dyDescent="0.3">
      <c r="A811" s="88"/>
      <c r="B811" s="66" t="s">
        <v>293</v>
      </c>
      <c r="C811" s="67"/>
      <c r="D811" s="102"/>
      <c r="E811" s="32"/>
      <c r="F811" s="32"/>
      <c r="G811" s="68" t="s">
        <v>277</v>
      </c>
      <c r="H811" s="69">
        <f t="shared" si="341"/>
        <v>0</v>
      </c>
      <c r="I811" s="70">
        <f t="shared" si="342"/>
        <v>0</v>
      </c>
      <c r="J811" s="73" t="str">
        <f t="shared" si="343"/>
        <v>--</v>
      </c>
      <c r="K811" s="32"/>
      <c r="L811" s="233"/>
      <c r="M811" s="277"/>
      <c r="N811" s="277"/>
      <c r="O811" s="277"/>
      <c r="P811" s="277"/>
      <c r="Q811" s="277"/>
      <c r="R811" s="277"/>
      <c r="S811" s="277"/>
      <c r="T811" s="277"/>
      <c r="U811" s="278"/>
      <c r="V811" s="103"/>
      <c r="W811" s="84">
        <f t="shared" ref="W811:W819" si="348">Y811+1</f>
        <v>37</v>
      </c>
      <c r="X811" s="84"/>
      <c r="Y811" s="78">
        <f>SUM(E796:E811)</f>
        <v>36</v>
      </c>
      <c r="Z811" s="72" t="str">
        <f t="shared" si="346"/>
        <v/>
      </c>
      <c r="AA811" s="72" t="str">
        <f t="shared" si="347"/>
        <v/>
      </c>
      <c r="AB811" s="72"/>
      <c r="AC811" s="72">
        <f t="shared" si="332"/>
        <v>1</v>
      </c>
      <c r="AD811" s="72">
        <f t="shared" si="333"/>
        <v>1</v>
      </c>
      <c r="AE811" s="109" t="str">
        <f t="shared" si="334"/>
        <v>0-0</v>
      </c>
      <c r="AF811" s="109" t="str">
        <f t="shared" si="335"/>
        <v>Y</v>
      </c>
      <c r="AG811" s="109" t="str">
        <f t="shared" si="336"/>
        <v>B</v>
      </c>
      <c r="AM811" s="109">
        <f t="shared" si="337"/>
        <v>0</v>
      </c>
      <c r="AN811" s="109">
        <f t="shared" si="338"/>
        <v>0</v>
      </c>
      <c r="AO811" s="109" t="str">
        <f t="shared" si="339"/>
        <v/>
      </c>
      <c r="AQ811" s="109" t="str">
        <f t="shared" si="340"/>
        <v/>
      </c>
      <c r="BA811" s="229">
        <f>MOD(SUM(E796:E812),12)</f>
        <v>0</v>
      </c>
    </row>
    <row r="812" spans="1:53" ht="15.75" thickBot="1" x14ac:dyDescent="0.3">
      <c r="A812" s="88"/>
      <c r="B812" s="66" t="s">
        <v>294</v>
      </c>
      <c r="C812" s="67"/>
      <c r="D812" s="102"/>
      <c r="E812" s="32"/>
      <c r="F812" s="32"/>
      <c r="G812" s="68" t="s">
        <v>277</v>
      </c>
      <c r="H812" s="69">
        <f t="shared" si="341"/>
        <v>0</v>
      </c>
      <c r="I812" s="70">
        <f t="shared" si="342"/>
        <v>0</v>
      </c>
      <c r="J812" s="73" t="str">
        <f t="shared" si="343"/>
        <v>--</v>
      </c>
      <c r="K812" s="32"/>
      <c r="L812" s="233"/>
      <c r="M812" s="277"/>
      <c r="N812" s="277"/>
      <c r="O812" s="277"/>
      <c r="P812" s="277"/>
      <c r="Q812" s="277"/>
      <c r="R812" s="277"/>
      <c r="S812" s="277"/>
      <c r="T812" s="277"/>
      <c r="U812" s="278"/>
      <c r="V812" s="103"/>
      <c r="W812" s="84">
        <f t="shared" si="348"/>
        <v>37</v>
      </c>
      <c r="X812" s="84"/>
      <c r="Y812" s="78">
        <f>SUM(E796:E812)</f>
        <v>36</v>
      </c>
      <c r="Z812" s="72" t="str">
        <f t="shared" si="346"/>
        <v/>
      </c>
      <c r="AA812" s="72" t="str">
        <f t="shared" si="347"/>
        <v/>
      </c>
      <c r="AB812" s="72"/>
      <c r="AC812" s="72">
        <f t="shared" si="332"/>
        <v>1</v>
      </c>
      <c r="AD812" s="72">
        <f t="shared" si="333"/>
        <v>1</v>
      </c>
      <c r="AE812" s="109" t="str">
        <f t="shared" si="334"/>
        <v>0-0</v>
      </c>
      <c r="AF812" s="109" t="str">
        <f t="shared" si="335"/>
        <v>Y</v>
      </c>
      <c r="AG812" s="109" t="str">
        <f t="shared" si="336"/>
        <v>B</v>
      </c>
      <c r="AM812" s="109">
        <f t="shared" si="337"/>
        <v>0</v>
      </c>
      <c r="AN812" s="109">
        <f t="shared" si="338"/>
        <v>0</v>
      </c>
      <c r="AO812" s="109" t="str">
        <f t="shared" si="339"/>
        <v/>
      </c>
      <c r="AQ812" s="109" t="str">
        <f t="shared" si="340"/>
        <v/>
      </c>
      <c r="BA812" s="229">
        <f>MOD(SUM(E796:E813),12)</f>
        <v>0</v>
      </c>
    </row>
    <row r="813" spans="1:53" ht="15.75" thickBot="1" x14ac:dyDescent="0.3">
      <c r="A813" s="88"/>
      <c r="B813" s="66" t="s">
        <v>295</v>
      </c>
      <c r="C813" s="67"/>
      <c r="D813" s="102"/>
      <c r="E813" s="32"/>
      <c r="F813" s="32"/>
      <c r="G813" s="68" t="s">
        <v>277</v>
      </c>
      <c r="H813" s="69">
        <f t="shared" si="341"/>
        <v>0</v>
      </c>
      <c r="I813" s="70">
        <f t="shared" si="342"/>
        <v>0</v>
      </c>
      <c r="J813" s="73" t="str">
        <f t="shared" si="343"/>
        <v>--</v>
      </c>
      <c r="K813" s="32"/>
      <c r="L813" s="233"/>
      <c r="M813" s="277"/>
      <c r="N813" s="277"/>
      <c r="O813" s="277"/>
      <c r="P813" s="277"/>
      <c r="Q813" s="277"/>
      <c r="R813" s="277"/>
      <c r="S813" s="277"/>
      <c r="T813" s="277"/>
      <c r="U813" s="278"/>
      <c r="V813" s="103"/>
      <c r="W813" s="84">
        <f t="shared" si="348"/>
        <v>37</v>
      </c>
      <c r="X813" s="84"/>
      <c r="Y813" s="78">
        <f>SUM(E796:E813)</f>
        <v>36</v>
      </c>
      <c r="Z813" s="72" t="str">
        <f t="shared" si="346"/>
        <v/>
      </c>
      <c r="AA813" s="72" t="str">
        <f t="shared" si="347"/>
        <v/>
      </c>
      <c r="AB813" s="72"/>
      <c r="AC813" s="72">
        <f t="shared" si="332"/>
        <v>1</v>
      </c>
      <c r="AD813" s="72">
        <f t="shared" si="333"/>
        <v>1</v>
      </c>
      <c r="AE813" s="109" t="str">
        <f t="shared" si="334"/>
        <v>0-0</v>
      </c>
      <c r="AF813" s="109" t="str">
        <f t="shared" si="335"/>
        <v>Y</v>
      </c>
      <c r="AG813" s="109" t="str">
        <f t="shared" si="336"/>
        <v>B</v>
      </c>
      <c r="AM813" s="109">
        <f t="shared" si="337"/>
        <v>0</v>
      </c>
      <c r="AN813" s="109">
        <f t="shared" si="338"/>
        <v>0</v>
      </c>
      <c r="AO813" s="109" t="str">
        <f t="shared" si="339"/>
        <v/>
      </c>
      <c r="AQ813" s="109" t="str">
        <f t="shared" si="340"/>
        <v/>
      </c>
      <c r="BA813" s="229">
        <f>MOD(SUM(E796:E814),12)</f>
        <v>0</v>
      </c>
    </row>
    <row r="814" spans="1:53" ht="15.75" thickBot="1" x14ac:dyDescent="0.3">
      <c r="A814" s="88"/>
      <c r="B814" s="66" t="s">
        <v>296</v>
      </c>
      <c r="C814" s="67"/>
      <c r="D814" s="102"/>
      <c r="E814" s="32"/>
      <c r="F814" s="32"/>
      <c r="G814" s="68" t="s">
        <v>277</v>
      </c>
      <c r="H814" s="69">
        <f t="shared" si="341"/>
        <v>0</v>
      </c>
      <c r="I814" s="70">
        <f t="shared" si="342"/>
        <v>0</v>
      </c>
      <c r="J814" s="73" t="str">
        <f t="shared" si="343"/>
        <v>--</v>
      </c>
      <c r="K814" s="32"/>
      <c r="L814" s="233"/>
      <c r="M814" s="277"/>
      <c r="N814" s="277"/>
      <c r="O814" s="277"/>
      <c r="P814" s="277"/>
      <c r="Q814" s="277"/>
      <c r="R814" s="277"/>
      <c r="S814" s="277"/>
      <c r="T814" s="277"/>
      <c r="U814" s="278"/>
      <c r="V814" s="103"/>
      <c r="W814" s="84">
        <f t="shared" si="348"/>
        <v>37</v>
      </c>
      <c r="X814" s="84"/>
      <c r="Y814" s="78">
        <f>SUM(E796:E814)</f>
        <v>36</v>
      </c>
      <c r="Z814" s="72" t="str">
        <f t="shared" si="346"/>
        <v/>
      </c>
      <c r="AA814" s="72" t="str">
        <f t="shared" si="347"/>
        <v/>
      </c>
      <c r="AB814" s="72"/>
      <c r="AC814" s="72">
        <f t="shared" si="332"/>
        <v>1</v>
      </c>
      <c r="AD814" s="72">
        <f t="shared" si="333"/>
        <v>1</v>
      </c>
      <c r="AE814" s="109" t="str">
        <f t="shared" si="334"/>
        <v>0-0</v>
      </c>
      <c r="AF814" s="109" t="str">
        <f t="shared" si="335"/>
        <v>Y</v>
      </c>
      <c r="AG814" s="109" t="str">
        <f t="shared" si="336"/>
        <v>B</v>
      </c>
      <c r="AM814" s="109">
        <f t="shared" si="337"/>
        <v>0</v>
      </c>
      <c r="AN814" s="109">
        <f t="shared" si="338"/>
        <v>0</v>
      </c>
      <c r="AO814" s="109" t="str">
        <f t="shared" si="339"/>
        <v/>
      </c>
      <c r="AQ814" s="109" t="str">
        <f t="shared" si="340"/>
        <v/>
      </c>
      <c r="BA814" s="229">
        <f>MOD(SUM(E796:E815),12)</f>
        <v>0</v>
      </c>
    </row>
    <row r="815" spans="1:53" ht="15.75" thickBot="1" x14ac:dyDescent="0.3">
      <c r="A815" s="88"/>
      <c r="B815" s="66" t="s">
        <v>297</v>
      </c>
      <c r="C815" s="67"/>
      <c r="D815" s="102"/>
      <c r="E815" s="32"/>
      <c r="F815" s="32"/>
      <c r="G815" s="68" t="s">
        <v>277</v>
      </c>
      <c r="H815" s="69">
        <f t="shared" si="341"/>
        <v>0</v>
      </c>
      <c r="I815" s="70">
        <f t="shared" si="342"/>
        <v>0</v>
      </c>
      <c r="J815" s="73" t="str">
        <f t="shared" si="343"/>
        <v>--</v>
      </c>
      <c r="K815" s="32"/>
      <c r="L815" s="233"/>
      <c r="M815" s="277"/>
      <c r="N815" s="277"/>
      <c r="O815" s="277"/>
      <c r="P815" s="277"/>
      <c r="Q815" s="277"/>
      <c r="R815" s="277"/>
      <c r="S815" s="277"/>
      <c r="T815" s="277"/>
      <c r="U815" s="278"/>
      <c r="V815" s="103"/>
      <c r="W815" s="84">
        <f t="shared" si="348"/>
        <v>37</v>
      </c>
      <c r="X815" s="84"/>
      <c r="Y815" s="78">
        <f>SUM(E796:E815)</f>
        <v>36</v>
      </c>
      <c r="Z815" s="72" t="str">
        <f t="shared" si="346"/>
        <v/>
      </c>
      <c r="AA815" s="72" t="str">
        <f t="shared" si="347"/>
        <v/>
      </c>
      <c r="AB815" s="72"/>
      <c r="AC815" s="72">
        <f t="shared" si="332"/>
        <v>1</v>
      </c>
      <c r="AD815" s="72">
        <f t="shared" si="333"/>
        <v>1</v>
      </c>
      <c r="AE815" s="109" t="str">
        <f t="shared" si="334"/>
        <v>0-0</v>
      </c>
      <c r="AF815" s="109" t="str">
        <f t="shared" si="335"/>
        <v>Y</v>
      </c>
      <c r="AG815" s="109" t="str">
        <f t="shared" si="336"/>
        <v>B</v>
      </c>
      <c r="AM815" s="109">
        <f t="shared" si="337"/>
        <v>0</v>
      </c>
      <c r="AN815" s="109">
        <f t="shared" si="338"/>
        <v>0</v>
      </c>
      <c r="AO815" s="109" t="str">
        <f t="shared" si="339"/>
        <v/>
      </c>
      <c r="AQ815" s="109" t="str">
        <f t="shared" si="340"/>
        <v/>
      </c>
      <c r="BA815" s="229">
        <f>MOD(SUM(E796:E816),12)</f>
        <v>0</v>
      </c>
    </row>
    <row r="816" spans="1:53" ht="15.75" thickBot="1" x14ac:dyDescent="0.3">
      <c r="A816" s="88"/>
      <c r="B816" s="66" t="s">
        <v>298</v>
      </c>
      <c r="C816" s="67"/>
      <c r="D816" s="102"/>
      <c r="E816" s="32"/>
      <c r="F816" s="32"/>
      <c r="G816" s="68" t="s">
        <v>277</v>
      </c>
      <c r="H816" s="69">
        <f t="shared" si="341"/>
        <v>0</v>
      </c>
      <c r="I816" s="70">
        <f t="shared" si="342"/>
        <v>0</v>
      </c>
      <c r="J816" s="73" t="str">
        <f t="shared" si="343"/>
        <v>--</v>
      </c>
      <c r="K816" s="32"/>
      <c r="L816" s="233"/>
      <c r="M816" s="277"/>
      <c r="N816" s="277"/>
      <c r="O816" s="277"/>
      <c r="P816" s="277"/>
      <c r="Q816" s="277"/>
      <c r="R816" s="277"/>
      <c r="S816" s="277"/>
      <c r="T816" s="277"/>
      <c r="U816" s="278"/>
      <c r="V816" s="103"/>
      <c r="W816" s="84">
        <f t="shared" si="348"/>
        <v>37</v>
      </c>
      <c r="X816" s="84"/>
      <c r="Y816" s="78">
        <f>SUM(E796:E816)</f>
        <v>36</v>
      </c>
      <c r="Z816" s="72" t="str">
        <f t="shared" si="346"/>
        <v/>
      </c>
      <c r="AA816" s="72" t="str">
        <f t="shared" si="347"/>
        <v/>
      </c>
      <c r="AB816" s="72"/>
      <c r="AC816" s="72">
        <f t="shared" si="332"/>
        <v>1</v>
      </c>
      <c r="AD816" s="72">
        <f t="shared" si="333"/>
        <v>1</v>
      </c>
      <c r="AE816" s="109" t="str">
        <f t="shared" si="334"/>
        <v>0-0</v>
      </c>
      <c r="AF816" s="109" t="str">
        <f t="shared" si="335"/>
        <v>Y</v>
      </c>
      <c r="AG816" s="109" t="str">
        <f t="shared" si="336"/>
        <v>B</v>
      </c>
      <c r="AM816" s="109">
        <f t="shared" si="337"/>
        <v>0</v>
      </c>
      <c r="AN816" s="109">
        <f t="shared" si="338"/>
        <v>0</v>
      </c>
      <c r="AO816" s="109" t="str">
        <f t="shared" si="339"/>
        <v/>
      </c>
      <c r="AQ816" s="109" t="str">
        <f t="shared" si="340"/>
        <v/>
      </c>
      <c r="BA816" s="229">
        <f>MOD(SUM(E796:E817),12)</f>
        <v>0</v>
      </c>
    </row>
    <row r="817" spans="1:53" ht="15.75" thickBot="1" x14ac:dyDescent="0.3">
      <c r="A817" s="88"/>
      <c r="B817" s="66" t="s">
        <v>299</v>
      </c>
      <c r="C817" s="67"/>
      <c r="D817" s="102"/>
      <c r="E817" s="32"/>
      <c r="F817" s="32"/>
      <c r="G817" s="68" t="s">
        <v>277</v>
      </c>
      <c r="H817" s="69">
        <f t="shared" si="341"/>
        <v>0</v>
      </c>
      <c r="I817" s="70">
        <f t="shared" si="342"/>
        <v>0</v>
      </c>
      <c r="J817" s="73" t="str">
        <f t="shared" si="343"/>
        <v>--</v>
      </c>
      <c r="K817" s="32"/>
      <c r="L817" s="233"/>
      <c r="M817" s="277"/>
      <c r="N817" s="277"/>
      <c r="O817" s="277"/>
      <c r="P817" s="277"/>
      <c r="Q817" s="277"/>
      <c r="R817" s="277"/>
      <c r="S817" s="277"/>
      <c r="T817" s="277"/>
      <c r="U817" s="278"/>
      <c r="V817" s="103"/>
      <c r="W817" s="84">
        <f t="shared" si="348"/>
        <v>37</v>
      </c>
      <c r="X817" s="84"/>
      <c r="Y817" s="78">
        <f>SUM(E796:E817)</f>
        <v>36</v>
      </c>
      <c r="Z817" s="72" t="str">
        <f t="shared" si="346"/>
        <v/>
      </c>
      <c r="AA817" s="72" t="str">
        <f t="shared" si="347"/>
        <v/>
      </c>
      <c r="AB817" s="72"/>
      <c r="AC817" s="72">
        <f t="shared" si="332"/>
        <v>1</v>
      </c>
      <c r="AD817" s="72">
        <f t="shared" si="333"/>
        <v>1</v>
      </c>
      <c r="AE817" s="109" t="str">
        <f t="shared" si="334"/>
        <v>0-0</v>
      </c>
      <c r="AF817" s="109" t="str">
        <f t="shared" si="335"/>
        <v>Y</v>
      </c>
      <c r="AG817" s="109" t="str">
        <f t="shared" si="336"/>
        <v>B</v>
      </c>
      <c r="AM817" s="109">
        <f t="shared" si="337"/>
        <v>0</v>
      </c>
      <c r="AN817" s="109">
        <f t="shared" si="338"/>
        <v>0</v>
      </c>
      <c r="AO817" s="109" t="str">
        <f t="shared" si="339"/>
        <v/>
      </c>
      <c r="AQ817" s="109" t="str">
        <f t="shared" si="340"/>
        <v/>
      </c>
      <c r="BA817" s="229">
        <f>MOD(SUM(E796:E818),12)</f>
        <v>0</v>
      </c>
    </row>
    <row r="818" spans="1:53" ht="15.75" thickBot="1" x14ac:dyDescent="0.3">
      <c r="A818" s="88"/>
      <c r="B818" s="66" t="s">
        <v>300</v>
      </c>
      <c r="C818" s="67"/>
      <c r="D818" s="102"/>
      <c r="E818" s="32"/>
      <c r="F818" s="32"/>
      <c r="G818" s="68" t="s">
        <v>277</v>
      </c>
      <c r="H818" s="69">
        <f t="shared" si="341"/>
        <v>0</v>
      </c>
      <c r="I818" s="70">
        <f t="shared" si="342"/>
        <v>0</v>
      </c>
      <c r="J818" s="73" t="str">
        <f t="shared" si="343"/>
        <v>--</v>
      </c>
      <c r="K818" s="32"/>
      <c r="L818" s="233"/>
      <c r="M818" s="277"/>
      <c r="N818" s="277"/>
      <c r="O818" s="277"/>
      <c r="P818" s="277"/>
      <c r="Q818" s="277"/>
      <c r="R818" s="277"/>
      <c r="S818" s="277"/>
      <c r="T818" s="277"/>
      <c r="U818" s="278"/>
      <c r="V818" s="103"/>
      <c r="W818" s="84">
        <f t="shared" si="348"/>
        <v>37</v>
      </c>
      <c r="X818" s="84"/>
      <c r="Y818" s="78">
        <f>SUM(E796:E818)</f>
        <v>36</v>
      </c>
      <c r="Z818" s="72" t="str">
        <f t="shared" si="346"/>
        <v/>
      </c>
      <c r="AA818" s="72" t="str">
        <f t="shared" si="347"/>
        <v/>
      </c>
      <c r="AB818" s="72"/>
      <c r="AC818" s="72">
        <f t="shared" si="332"/>
        <v>1</v>
      </c>
      <c r="AD818" s="72">
        <f t="shared" si="333"/>
        <v>1</v>
      </c>
      <c r="AE818" s="109" t="str">
        <f t="shared" si="334"/>
        <v>0-0</v>
      </c>
      <c r="AF818" s="109" t="str">
        <f t="shared" si="335"/>
        <v>Y</v>
      </c>
      <c r="AG818" s="109" t="str">
        <f t="shared" si="336"/>
        <v>B</v>
      </c>
      <c r="AM818" s="109">
        <f t="shared" si="337"/>
        <v>0</v>
      </c>
      <c r="AN818" s="109">
        <f t="shared" si="338"/>
        <v>0</v>
      </c>
      <c r="AO818" s="109" t="str">
        <f t="shared" si="339"/>
        <v/>
      </c>
      <c r="AQ818" s="109" t="str">
        <f t="shared" si="340"/>
        <v/>
      </c>
      <c r="BA818" s="229">
        <f>MOD(SUM(E796:E819),12)</f>
        <v>0</v>
      </c>
    </row>
    <row r="819" spans="1:53" ht="15.75" thickBot="1" x14ac:dyDescent="0.3">
      <c r="A819" s="88"/>
      <c r="B819" s="66" t="s">
        <v>301</v>
      </c>
      <c r="C819" s="67"/>
      <c r="D819" s="102"/>
      <c r="E819" s="32"/>
      <c r="F819" s="32"/>
      <c r="G819" s="68" t="s">
        <v>277</v>
      </c>
      <c r="H819" s="69">
        <f t="shared" si="341"/>
        <v>0</v>
      </c>
      <c r="I819" s="70">
        <f t="shared" si="342"/>
        <v>0</v>
      </c>
      <c r="J819" s="73" t="str">
        <f t="shared" si="343"/>
        <v>--</v>
      </c>
      <c r="K819" s="32"/>
      <c r="L819" s="233"/>
      <c r="M819" s="277"/>
      <c r="N819" s="277"/>
      <c r="O819" s="277"/>
      <c r="P819" s="277"/>
      <c r="Q819" s="277"/>
      <c r="R819" s="277"/>
      <c r="S819" s="277"/>
      <c r="T819" s="277"/>
      <c r="U819" s="278"/>
      <c r="V819" s="103"/>
      <c r="W819" s="84">
        <f t="shared" si="348"/>
        <v>37</v>
      </c>
      <c r="X819" s="84"/>
      <c r="Y819" s="78">
        <f>SUM(E796:E819)</f>
        <v>36</v>
      </c>
      <c r="Z819" s="72" t="str">
        <f t="shared" si="346"/>
        <v/>
      </c>
      <c r="AA819" s="72" t="str">
        <f t="shared" si="347"/>
        <v/>
      </c>
      <c r="AB819" s="72"/>
      <c r="AC819" s="72">
        <f t="shared" si="332"/>
        <v>1</v>
      </c>
      <c r="AD819" s="72">
        <f t="shared" si="333"/>
        <v>1</v>
      </c>
      <c r="AE819" s="109" t="str">
        <f t="shared" si="334"/>
        <v>0-0</v>
      </c>
      <c r="AF819" s="109" t="str">
        <f t="shared" si="335"/>
        <v>Y</v>
      </c>
      <c r="AG819" s="109" t="str">
        <f t="shared" si="336"/>
        <v>B</v>
      </c>
      <c r="AM819" s="109">
        <f t="shared" si="337"/>
        <v>0</v>
      </c>
      <c r="AN819" s="109">
        <f t="shared" si="338"/>
        <v>0</v>
      </c>
      <c r="AO819" s="109" t="str">
        <f t="shared" si="339"/>
        <v/>
      </c>
      <c r="AQ819" s="109" t="str">
        <f t="shared" si="340"/>
        <v/>
      </c>
      <c r="BA819" s="229">
        <f>MOD(SUM(E796:E820),12)</f>
        <v>0</v>
      </c>
    </row>
    <row r="820" spans="1:53" ht="15.75" thickBot="1" x14ac:dyDescent="0.3">
      <c r="A820" s="88"/>
      <c r="B820" s="66" t="s">
        <v>302</v>
      </c>
      <c r="C820" s="67"/>
      <c r="D820" s="102"/>
      <c r="E820" s="32"/>
      <c r="F820" s="32"/>
      <c r="G820" s="68" t="s">
        <v>277</v>
      </c>
      <c r="H820" s="69">
        <f t="shared" si="341"/>
        <v>0</v>
      </c>
      <c r="I820" s="70">
        <f t="shared" si="342"/>
        <v>0</v>
      </c>
      <c r="J820" s="73" t="str">
        <f t="shared" si="343"/>
        <v>--</v>
      </c>
      <c r="K820" s="32"/>
      <c r="L820" s="234"/>
      <c r="M820" s="277"/>
      <c r="N820" s="277"/>
      <c r="O820" s="277"/>
      <c r="P820" s="277"/>
      <c r="Q820" s="277"/>
      <c r="R820" s="277"/>
      <c r="S820" s="277"/>
      <c r="T820" s="277"/>
      <c r="U820" s="278"/>
      <c r="V820" s="103"/>
      <c r="W820" s="72"/>
      <c r="X820" s="72"/>
      <c r="Y820" s="78">
        <f>SUM(E796:E820)</f>
        <v>36</v>
      </c>
      <c r="Z820" s="72" t="str">
        <f t="shared" si="346"/>
        <v/>
      </c>
      <c r="AA820" s="72" t="str">
        <f t="shared" si="347"/>
        <v/>
      </c>
      <c r="AB820" s="72"/>
      <c r="AC820" s="72">
        <f t="shared" si="332"/>
        <v>1</v>
      </c>
      <c r="AD820" s="72">
        <f t="shared" si="333"/>
        <v>1</v>
      </c>
      <c r="AE820" s="109" t="str">
        <f t="shared" si="334"/>
        <v>0-0</v>
      </c>
      <c r="AF820" s="109" t="str">
        <f t="shared" si="335"/>
        <v>Y</v>
      </c>
      <c r="AG820" s="109" t="str">
        <f t="shared" si="336"/>
        <v>B</v>
      </c>
      <c r="AM820" s="109">
        <f t="shared" si="337"/>
        <v>0</v>
      </c>
      <c r="AN820" s="109">
        <f t="shared" si="338"/>
        <v>0</v>
      </c>
      <c r="AO820" s="109" t="str">
        <f t="shared" si="339"/>
        <v/>
      </c>
      <c r="AQ820" s="109" t="str">
        <f t="shared" si="340"/>
        <v/>
      </c>
      <c r="BA820" s="228"/>
    </row>
    <row r="821" spans="1:53" ht="16.5" thickBot="1" x14ac:dyDescent="0.3">
      <c r="A821" s="88"/>
      <c r="B821" s="319" t="s">
        <v>343</v>
      </c>
      <c r="C821" s="320"/>
      <c r="D821" s="79"/>
      <c r="E821" s="80"/>
      <c r="F821" s="80"/>
      <c r="G821" s="81"/>
      <c r="H821" s="192"/>
      <c r="I821" s="192"/>
      <c r="J821" s="192"/>
      <c r="K821" s="82"/>
      <c r="L821" s="319" t="s">
        <v>306</v>
      </c>
      <c r="M821" s="330"/>
      <c r="N821" s="330"/>
      <c r="O821" s="330"/>
      <c r="P821" s="330"/>
      <c r="Q821" s="330"/>
      <c r="R821" s="330"/>
      <c r="S821" s="330"/>
      <c r="T821" s="330"/>
      <c r="U821" s="320"/>
      <c r="V821" s="104"/>
      <c r="W821" s="72"/>
      <c r="X821" s="72"/>
      <c r="Y821" s="72"/>
      <c r="Z821" s="72"/>
      <c r="AA821" s="72" t="str">
        <f t="shared" si="347"/>
        <v/>
      </c>
      <c r="AB821" s="72"/>
      <c r="AC821" s="72">
        <f>SUM(AC796:AC820)</f>
        <v>25</v>
      </c>
      <c r="AD821" s="72">
        <f>SUM(AD796:AD820)</f>
        <v>23</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319" t="s">
        <v>307</v>
      </c>
      <c r="C822" s="320"/>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47"/>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312" t="s">
        <v>222</v>
      </c>
      <c r="C826" s="313"/>
      <c r="D826" s="314" t="s">
        <v>223</v>
      </c>
      <c r="E826" s="305"/>
      <c r="F826" s="88"/>
      <c r="G826" s="315" t="s">
        <v>224</v>
      </c>
      <c r="H826" s="316"/>
      <c r="I826" s="28">
        <f>SUM(E837:E861)</f>
        <v>24</v>
      </c>
      <c r="J826" s="317" t="s">
        <v>225</v>
      </c>
      <c r="K826" s="318"/>
      <c r="L826" s="305"/>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5" t="s">
        <v>226</v>
      </c>
      <c r="AA826" s="296"/>
      <c r="AB826" s="297"/>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4" t="s">
        <v>230</v>
      </c>
      <c r="H827" s="305"/>
      <c r="I827" s="33">
        <f>E828-I826</f>
        <v>0</v>
      </c>
      <c r="J827" s="289" t="s">
        <v>231</v>
      </c>
      <c r="K827" s="290"/>
      <c r="L827" s="34">
        <f>I831</f>
        <v>493</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298" t="s">
        <v>232</v>
      </c>
      <c r="AA827" s="300" t="s">
        <v>233</v>
      </c>
      <c r="AB827" s="301"/>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v>24</v>
      </c>
      <c r="F828" s="88"/>
      <c r="G828" s="291" t="s">
        <v>237</v>
      </c>
      <c r="H828" s="292"/>
      <c r="I828" s="35">
        <f>IF(E828=0,0,12-(MOD(I826,12)))</f>
        <v>12</v>
      </c>
      <c r="J828" s="289" t="s">
        <v>238</v>
      </c>
      <c r="K828" s="290"/>
      <c r="L828" s="39">
        <f>I832-I826</f>
        <v>492</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299"/>
      <c r="AA828" s="302"/>
      <c r="AB828" s="303"/>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v>0</v>
      </c>
      <c r="F829" s="88"/>
      <c r="G829" s="321" t="s">
        <v>242</v>
      </c>
      <c r="H829" s="43" t="s">
        <v>243</v>
      </c>
      <c r="I829" s="35">
        <f>IF(E829&lt;&gt;0,1,0)</f>
        <v>0</v>
      </c>
      <c r="J829" s="291" t="s">
        <v>244</v>
      </c>
      <c r="K829" s="292"/>
      <c r="L829" s="44">
        <f>'Cable Calculator'!CZ3</f>
        <v>948</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v>493</v>
      </c>
      <c r="F830" s="88"/>
      <c r="G830" s="322"/>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2</v>
      </c>
      <c r="F831" s="88"/>
      <c r="G831" s="321" t="s">
        <v>251</v>
      </c>
      <c r="H831" s="51" t="s">
        <v>252</v>
      </c>
      <c r="I831" s="112">
        <f>E830</f>
        <v>493</v>
      </c>
      <c r="J831" s="323" t="s">
        <v>253</v>
      </c>
      <c r="K831" s="324"/>
      <c r="L831" s="325"/>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N</v>
      </c>
      <c r="F832" s="88"/>
      <c r="G832" s="322"/>
      <c r="H832" s="47" t="s">
        <v>257</v>
      </c>
      <c r="I832" s="35">
        <f>IF(E830="","0",IF(AND(E827="EUC",E828=432), I831+(203-E829),IF(E830=0,0,(E830+(E828-E829)-1))))</f>
        <v>516</v>
      </c>
      <c r="J832" s="285" t="str">
        <f>IFERROR(IF(OR(E827="EUC",E827="SS"),"---",IF(OR(P826,S826),"NO 2F Tethers for RPX!",IF(OR(P828,S828),"NO 6F Tethers for RPX!","---"))),"---")</f>
        <v>---</v>
      </c>
      <c r="K832" s="286"/>
      <c r="L832" s="287"/>
      <c r="M832" s="285" t="str">
        <f>IF(E829&gt;60,"Dead Count &gt;60: Consider Downsize","---")</f>
        <v>---</v>
      </c>
      <c r="N832" s="286"/>
      <c r="O832" s="286"/>
      <c r="P832" s="286"/>
      <c r="Q832" s="286"/>
      <c r="R832" s="286"/>
      <c r="S832" s="286"/>
      <c r="T832" s="286"/>
      <c r="U832" s="287"/>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24</v>
      </c>
      <c r="D833" s="31" t="s">
        <v>259</v>
      </c>
      <c r="E833" s="101" t="str">
        <f>IF(AS827="Y","DBL",IF(AS828="Y","TRPL",IF(AS829="Y","QUAD","")))</f>
        <v/>
      </c>
      <c r="F833" s="88"/>
      <c r="G833" s="192"/>
      <c r="H833" s="57"/>
      <c r="I833" s="192"/>
      <c r="J833" s="285"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86"/>
      <c r="L833" s="287"/>
      <c r="M833" s="285" t="str">
        <f>IF(AND(OR(E827="SS",E827="RPX",E827="EUC",E827="RPX-T"),(OR(C837="",C837="Field SPL"))),"Cannot have FlexNap cables without tethers","---")</f>
        <v>---</v>
      </c>
      <c r="N833" s="286"/>
      <c r="O833" s="286"/>
      <c r="P833" s="286"/>
      <c r="Q833" s="286"/>
      <c r="R833" s="286"/>
      <c r="S833" s="286"/>
      <c r="T833" s="286"/>
      <c r="U833" s="287"/>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85" t="str">
        <f>IF(AND(OR(E827="RPX", E827="RPX-T", E827="SS"),E828=216),"NO 216 For RPX, RPX-T, OR SS CABLE","---")</f>
        <v>---</v>
      </c>
      <c r="K834" s="286"/>
      <c r="L834" s="287"/>
      <c r="M834" s="285" t="str" cm="1">
        <f t="array" ref="M834">IF(AND(E827="",OR(C837:C861="FST",C837:C861="REV T",C837:C861="DBL REV",C837:C861="TPL REV", C837:C861="QD REV")),"Non-FlexNap cables cannot have tethers","---")</f>
        <v>---</v>
      </c>
      <c r="N834" s="286"/>
      <c r="O834" s="286"/>
      <c r="P834" s="286"/>
      <c r="Q834" s="286"/>
      <c r="R834" s="286"/>
      <c r="S834" s="286"/>
      <c r="T834" s="286"/>
      <c r="U834" s="287"/>
      <c r="V834" s="25"/>
      <c r="W834" s="58"/>
      <c r="X834" s="58"/>
      <c r="Y834" s="25"/>
      <c r="Z834" s="45">
        <v>6</v>
      </c>
      <c r="AA834" s="65">
        <v>61</v>
      </c>
      <c r="AB834" s="65">
        <v>72</v>
      </c>
      <c r="AC834" s="25"/>
      <c r="AD834" s="25"/>
      <c r="BA834" s="226"/>
    </row>
    <row r="835" spans="1:53" ht="15.75" customHeight="1" thickBot="1" x14ac:dyDescent="0.3">
      <c r="A835" s="88"/>
      <c r="B835" s="321" t="s">
        <v>260</v>
      </c>
      <c r="C835" s="293" t="s">
        <v>261</v>
      </c>
      <c r="D835" s="293" t="s">
        <v>262</v>
      </c>
      <c r="E835" s="306" t="s">
        <v>263</v>
      </c>
      <c r="F835" s="293" t="s">
        <v>264</v>
      </c>
      <c r="G835" s="308" t="s">
        <v>265</v>
      </c>
      <c r="H835" s="308" t="s">
        <v>266</v>
      </c>
      <c r="I835" s="308" t="s">
        <v>267</v>
      </c>
      <c r="J835" s="310" t="s">
        <v>268</v>
      </c>
      <c r="K835" s="293" t="s">
        <v>269</v>
      </c>
      <c r="L835" s="279" t="s">
        <v>270</v>
      </c>
      <c r="M835" s="281" t="s">
        <v>271</v>
      </c>
      <c r="N835" s="281"/>
      <c r="O835" s="281"/>
      <c r="P835" s="281"/>
      <c r="Q835" s="281"/>
      <c r="R835" s="281"/>
      <c r="S835" s="281"/>
      <c r="T835" s="281"/>
      <c r="U835" s="282"/>
      <c r="V835" s="107"/>
      <c r="W835" s="72"/>
      <c r="X835" s="72"/>
      <c r="Y835" s="72"/>
      <c r="Z835" s="45">
        <v>7</v>
      </c>
      <c r="AA835" s="65">
        <v>73</v>
      </c>
      <c r="AB835" s="65">
        <v>84</v>
      </c>
      <c r="AC835" s="25"/>
      <c r="AD835" s="25"/>
      <c r="BA835" s="228"/>
    </row>
    <row r="836" spans="1:53" ht="15.75" thickBot="1" x14ac:dyDescent="0.3">
      <c r="A836" s="88"/>
      <c r="B836" s="322"/>
      <c r="C836" s="294"/>
      <c r="D836" s="294"/>
      <c r="E836" s="307"/>
      <c r="F836" s="294"/>
      <c r="G836" s="309"/>
      <c r="H836" s="309"/>
      <c r="I836" s="309"/>
      <c r="J836" s="311"/>
      <c r="K836" s="294"/>
      <c r="L836" s="280"/>
      <c r="M836" s="283"/>
      <c r="N836" s="283"/>
      <c r="O836" s="283"/>
      <c r="P836" s="283"/>
      <c r="Q836" s="283"/>
      <c r="R836" s="283"/>
      <c r="S836" s="283"/>
      <c r="T836" s="283"/>
      <c r="U836" s="284"/>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t="s">
        <v>502</v>
      </c>
      <c r="D837" s="102"/>
      <c r="E837" s="32">
        <v>24</v>
      </c>
      <c r="F837" s="32"/>
      <c r="G837" s="68" t="s">
        <v>277</v>
      </c>
      <c r="H837" s="69">
        <f>IF(I837=0,0,I837-(E837-1))</f>
        <v>493</v>
      </c>
      <c r="I837" s="70">
        <f>IF(E837=0,0,I832)</f>
        <v>516</v>
      </c>
      <c r="J837" s="71" t="s">
        <v>278</v>
      </c>
      <c r="K837" s="32"/>
      <c r="L837" s="233"/>
      <c r="M837" s="277" t="s">
        <v>424</v>
      </c>
      <c r="N837" s="277"/>
      <c r="O837" s="277"/>
      <c r="P837" s="277"/>
      <c r="Q837" s="277"/>
      <c r="R837" s="277"/>
      <c r="S837" s="277"/>
      <c r="T837" s="277"/>
      <c r="U837" s="278"/>
      <c r="V837" s="103"/>
      <c r="W837" s="72"/>
      <c r="X837" s="72"/>
      <c r="Y837" s="72"/>
      <c r="Z837" s="45">
        <v>9</v>
      </c>
      <c r="AA837" s="46">
        <v>97</v>
      </c>
      <c r="AB837" s="46">
        <v>108</v>
      </c>
      <c r="AC837" s="72">
        <f t="shared" ref="AC837:AC861" si="349">IF(B837&lt;&gt;"FST",1,0)</f>
        <v>1</v>
      </c>
      <c r="AD837" s="72">
        <f t="shared" ref="AD837:AD861" si="350">IF(C837&lt;&gt;"FST",1,0)</f>
        <v>1</v>
      </c>
      <c r="AE837" s="109" t="str">
        <f t="shared" ref="AE837:AE861" si="351">CONCATENATE(H837,"-",I837)</f>
        <v>493-516</v>
      </c>
      <c r="AF837" s="109" t="str">
        <f t="shared" ref="AF837:AF861" si="352">IF(C837="Field SPL","N","Y")</f>
        <v>N</v>
      </c>
      <c r="AG837" s="109" t="str">
        <f t="shared" ref="AG837:AG861" si="353">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54">VALUE(IF(C837="FST","0",IF(C837="REV T","1",IF(C837="DBL REV",".5","0"))))</f>
        <v>0</v>
      </c>
      <c r="AN837" s="109">
        <f t="shared" ref="AN837:AN861" si="355">VALUE(IF(C837="FST","0",IF(C837="REV T","0",IF(C837="DBL REV",".5","0"))))</f>
        <v>0</v>
      </c>
      <c r="AO837" s="109" t="str">
        <f t="shared" ref="AO837:AO861" si="356">IF(C837="TPL REV","Y","")</f>
        <v/>
      </c>
      <c r="AQ837" s="109" t="str">
        <f t="shared" ref="AQ837:AQ861" si="357">IF(C837="QD REV","Y","")</f>
        <v/>
      </c>
      <c r="BA837" s="229">
        <f>MOD(E837,12)</f>
        <v>0</v>
      </c>
    </row>
    <row r="838" spans="1:53" ht="15.75" thickBot="1" x14ac:dyDescent="0.3">
      <c r="A838" s="88"/>
      <c r="B838" s="66" t="s">
        <v>279</v>
      </c>
      <c r="C838" s="67"/>
      <c r="D838" s="102"/>
      <c r="E838" s="32"/>
      <c r="F838" s="32"/>
      <c r="G838" s="68" t="s">
        <v>277</v>
      </c>
      <c r="H838" s="69">
        <f t="shared" ref="H838:H861" si="358">IF(E838=0,0,I838-(E838-1))</f>
        <v>0</v>
      </c>
      <c r="I838" s="70">
        <f t="shared" ref="I838:I861" si="359">IF(E838=0,0,H837-1)</f>
        <v>0</v>
      </c>
      <c r="J838" s="73" t="str">
        <f>IF(C838="","--",IF(AND(C838&lt;&gt;"FST",C838&lt;&gt;"TCF",BA837&lt;&gt;0),BA837,"--"))</f>
        <v>--</v>
      </c>
      <c r="K838" s="32"/>
      <c r="L838" s="233"/>
      <c r="M838" s="277"/>
      <c r="N838" s="277"/>
      <c r="O838" s="277"/>
      <c r="P838" s="277"/>
      <c r="Q838" s="277"/>
      <c r="R838" s="277"/>
      <c r="S838" s="277"/>
      <c r="T838" s="277"/>
      <c r="U838" s="278"/>
      <c r="V838" s="103"/>
      <c r="W838" s="72"/>
      <c r="X838" s="72"/>
      <c r="Y838" s="72"/>
      <c r="Z838" s="45">
        <v>10</v>
      </c>
      <c r="AA838" s="46">
        <v>109</v>
      </c>
      <c r="AB838" s="46">
        <v>120</v>
      </c>
      <c r="AC838" s="72">
        <f t="shared" si="349"/>
        <v>1</v>
      </c>
      <c r="AD838" s="72">
        <f t="shared" si="350"/>
        <v>1</v>
      </c>
      <c r="AE838" s="109" t="str">
        <f t="shared" si="351"/>
        <v>0-0</v>
      </c>
      <c r="AF838" s="109" t="str">
        <f t="shared" si="352"/>
        <v>Y</v>
      </c>
      <c r="AG838" s="109" t="str">
        <f t="shared" si="353"/>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54"/>
        <v>0</v>
      </c>
      <c r="AN838" s="109">
        <f t="shared" si="355"/>
        <v>0</v>
      </c>
      <c r="AO838" s="109" t="str">
        <f t="shared" si="356"/>
        <v/>
      </c>
      <c r="AQ838" s="109" t="str">
        <f t="shared" si="357"/>
        <v/>
      </c>
      <c r="BA838" s="229">
        <f>MOD(SUM(E837:E838),12)</f>
        <v>0</v>
      </c>
    </row>
    <row r="839" spans="1:53" ht="15.75" thickBot="1" x14ac:dyDescent="0.3">
      <c r="A839" s="88"/>
      <c r="B839" s="74" t="s">
        <v>280</v>
      </c>
      <c r="C839" s="67"/>
      <c r="D839" s="102"/>
      <c r="E839" s="32"/>
      <c r="F839" s="32"/>
      <c r="G839" s="75" t="s">
        <v>277</v>
      </c>
      <c r="H839" s="69">
        <f t="shared" si="358"/>
        <v>0</v>
      </c>
      <c r="I839" s="70">
        <f t="shared" si="359"/>
        <v>0</v>
      </c>
      <c r="J839" s="73" t="str">
        <f t="shared" ref="J839:J861" si="360">IF(C839="","--",IF(AND(C839&lt;&gt;"FST",C839&lt;&gt;"TCF",BA838&lt;&gt;0),BA838,"--"))</f>
        <v>--</v>
      </c>
      <c r="K839" s="32"/>
      <c r="L839" s="233"/>
      <c r="M839" s="277"/>
      <c r="N839" s="277"/>
      <c r="O839" s="277"/>
      <c r="P839" s="277"/>
      <c r="Q839" s="277"/>
      <c r="R839" s="277"/>
      <c r="S839" s="277"/>
      <c r="T839" s="277"/>
      <c r="U839" s="278"/>
      <c r="V839" s="103"/>
      <c r="W839" s="72"/>
      <c r="X839" s="72"/>
      <c r="Y839" s="72"/>
      <c r="Z839" s="45">
        <v>11</v>
      </c>
      <c r="AA839" s="46">
        <v>121</v>
      </c>
      <c r="AB839" s="46">
        <v>132</v>
      </c>
      <c r="AC839" s="72">
        <f t="shared" si="349"/>
        <v>1</v>
      </c>
      <c r="AD839" s="72">
        <f t="shared" si="350"/>
        <v>1</v>
      </c>
      <c r="AE839" s="109" t="str">
        <f t="shared" si="351"/>
        <v>0-0</v>
      </c>
      <c r="AF839" s="109" t="str">
        <f t="shared" si="352"/>
        <v>Y</v>
      </c>
      <c r="AG839" s="109" t="str">
        <f t="shared" si="353"/>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54"/>
        <v>0</v>
      </c>
      <c r="AN839" s="109">
        <f t="shared" si="355"/>
        <v>0</v>
      </c>
      <c r="AO839" s="109" t="str">
        <f t="shared" si="356"/>
        <v/>
      </c>
      <c r="AQ839" s="109" t="str">
        <f t="shared" si="357"/>
        <v/>
      </c>
      <c r="BA839" s="229">
        <f>MOD(SUM(E837:E840),12)</f>
        <v>0</v>
      </c>
    </row>
    <row r="840" spans="1:53" ht="15.75" thickBot="1" x14ac:dyDescent="0.3">
      <c r="A840" s="88"/>
      <c r="B840" s="66" t="s">
        <v>281</v>
      </c>
      <c r="C840" s="67"/>
      <c r="D840" s="102"/>
      <c r="E840" s="32"/>
      <c r="F840" s="32"/>
      <c r="G840" s="68" t="s">
        <v>277</v>
      </c>
      <c r="H840" s="69">
        <f t="shared" si="358"/>
        <v>0</v>
      </c>
      <c r="I840" s="70">
        <f t="shared" si="359"/>
        <v>0</v>
      </c>
      <c r="J840" s="73" t="str">
        <f t="shared" si="360"/>
        <v>--</v>
      </c>
      <c r="K840" s="32"/>
      <c r="L840" s="233"/>
      <c r="M840" s="277"/>
      <c r="N840" s="277"/>
      <c r="O840" s="277"/>
      <c r="P840" s="277"/>
      <c r="Q840" s="277"/>
      <c r="R840" s="277"/>
      <c r="S840" s="277"/>
      <c r="T840" s="277"/>
      <c r="U840" s="278"/>
      <c r="V840" s="103"/>
      <c r="W840" s="72"/>
      <c r="X840" s="72"/>
      <c r="Y840" s="72"/>
      <c r="Z840" s="45">
        <v>12</v>
      </c>
      <c r="AA840" s="76">
        <v>133</v>
      </c>
      <c r="AB840" s="76">
        <v>144</v>
      </c>
      <c r="AC840" s="72">
        <f t="shared" si="349"/>
        <v>1</v>
      </c>
      <c r="AD840" s="72">
        <f t="shared" si="350"/>
        <v>1</v>
      </c>
      <c r="AE840" s="109" t="str">
        <f t="shared" si="351"/>
        <v>0-0</v>
      </c>
      <c r="AF840" s="109" t="str">
        <f t="shared" si="352"/>
        <v>Y</v>
      </c>
      <c r="AG840" s="109" t="str">
        <f t="shared" si="353"/>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54"/>
        <v>0</v>
      </c>
      <c r="AN840" s="109">
        <f t="shared" si="355"/>
        <v>0</v>
      </c>
      <c r="AO840" s="109" t="str">
        <f t="shared" si="356"/>
        <v/>
      </c>
      <c r="AQ840" s="109" t="str">
        <f t="shared" si="357"/>
        <v/>
      </c>
      <c r="BA840" s="229">
        <f>MOD(SUM(E837:E841),12)</f>
        <v>0</v>
      </c>
    </row>
    <row r="841" spans="1:53" ht="15.75" thickBot="1" x14ac:dyDescent="0.3">
      <c r="A841" s="88"/>
      <c r="B841" s="66" t="s">
        <v>282</v>
      </c>
      <c r="C841" s="67"/>
      <c r="D841" s="102"/>
      <c r="E841" s="32"/>
      <c r="F841" s="32"/>
      <c r="G841" s="68" t="s">
        <v>277</v>
      </c>
      <c r="H841" s="69">
        <f t="shared" si="358"/>
        <v>0</v>
      </c>
      <c r="I841" s="70">
        <f t="shared" si="359"/>
        <v>0</v>
      </c>
      <c r="J841" s="73" t="str">
        <f t="shared" si="360"/>
        <v>--</v>
      </c>
      <c r="K841" s="32"/>
      <c r="L841" s="233"/>
      <c r="M841" s="277"/>
      <c r="N841" s="277"/>
      <c r="O841" s="277"/>
      <c r="P841" s="277"/>
      <c r="Q841" s="277"/>
      <c r="R841" s="277"/>
      <c r="S841" s="277"/>
      <c r="T841" s="277"/>
      <c r="U841" s="278"/>
      <c r="V841" s="103"/>
      <c r="W841" s="72"/>
      <c r="X841" s="72"/>
      <c r="Y841" s="72"/>
      <c r="Z841" s="45">
        <v>13</v>
      </c>
      <c r="AA841" s="77">
        <f t="shared" ref="AA841:AA846" si="361">AB840+1</f>
        <v>145</v>
      </c>
      <c r="AB841" s="77">
        <f t="shared" ref="AB841:AB846" si="362">AB840+12</f>
        <v>156</v>
      </c>
      <c r="AC841" s="72">
        <f t="shared" si="349"/>
        <v>1</v>
      </c>
      <c r="AD841" s="72">
        <f t="shared" si="350"/>
        <v>1</v>
      </c>
      <c r="AE841" s="109" t="str">
        <f t="shared" si="351"/>
        <v>0-0</v>
      </c>
      <c r="AF841" s="109" t="str">
        <f t="shared" si="352"/>
        <v>Y</v>
      </c>
      <c r="AG841" s="109" t="str">
        <f t="shared" si="353"/>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54"/>
        <v>0</v>
      </c>
      <c r="AN841" s="109">
        <f t="shared" si="355"/>
        <v>0</v>
      </c>
      <c r="AO841" s="109" t="str">
        <f t="shared" si="356"/>
        <v/>
      </c>
      <c r="AQ841" s="109" t="str">
        <f t="shared" si="357"/>
        <v/>
      </c>
      <c r="BA841" s="229">
        <f>MOD(SUM(E837:E842),12)</f>
        <v>0</v>
      </c>
    </row>
    <row r="842" spans="1:53" ht="15.75" thickBot="1" x14ac:dyDescent="0.3">
      <c r="A842" s="88"/>
      <c r="B842" s="66" t="s">
        <v>283</v>
      </c>
      <c r="C842" s="67"/>
      <c r="D842" s="102"/>
      <c r="E842" s="32"/>
      <c r="F842" s="32"/>
      <c r="G842" s="68" t="s">
        <v>277</v>
      </c>
      <c r="H842" s="69">
        <f t="shared" si="358"/>
        <v>0</v>
      </c>
      <c r="I842" s="70">
        <f t="shared" si="359"/>
        <v>0</v>
      </c>
      <c r="J842" s="73" t="str">
        <f t="shared" si="360"/>
        <v>--</v>
      </c>
      <c r="K842" s="32"/>
      <c r="L842" s="233"/>
      <c r="M842" s="277"/>
      <c r="N842" s="277"/>
      <c r="O842" s="277"/>
      <c r="P842" s="277"/>
      <c r="Q842" s="277"/>
      <c r="R842" s="277"/>
      <c r="S842" s="277"/>
      <c r="T842" s="277"/>
      <c r="U842" s="278"/>
      <c r="V842" s="103"/>
      <c r="W842" s="72"/>
      <c r="X842" s="72"/>
      <c r="Y842" s="72"/>
      <c r="Z842" s="45">
        <v>14</v>
      </c>
      <c r="AA842" s="77">
        <f t="shared" si="361"/>
        <v>157</v>
      </c>
      <c r="AB842" s="77">
        <f t="shared" si="362"/>
        <v>168</v>
      </c>
      <c r="AC842" s="72">
        <f t="shared" si="349"/>
        <v>1</v>
      </c>
      <c r="AD842" s="72">
        <f t="shared" si="350"/>
        <v>1</v>
      </c>
      <c r="AE842" s="109" t="str">
        <f t="shared" si="351"/>
        <v>0-0</v>
      </c>
      <c r="AF842" s="109" t="str">
        <f t="shared" si="352"/>
        <v>Y</v>
      </c>
      <c r="AG842" s="109" t="str">
        <f t="shared" si="353"/>
        <v>B</v>
      </c>
      <c r="AM842" s="109">
        <f t="shared" si="354"/>
        <v>0</v>
      </c>
      <c r="AN842" s="109">
        <f t="shared" si="355"/>
        <v>0</v>
      </c>
      <c r="AO842" s="109" t="str">
        <f t="shared" si="356"/>
        <v/>
      </c>
      <c r="AQ842" s="109" t="str">
        <f t="shared" si="357"/>
        <v/>
      </c>
      <c r="BA842" s="229">
        <f>MOD(SUM(E837:E843),12)</f>
        <v>0</v>
      </c>
    </row>
    <row r="843" spans="1:53" ht="15.75" thickBot="1" x14ac:dyDescent="0.3">
      <c r="A843" s="88"/>
      <c r="B843" s="66" t="s">
        <v>284</v>
      </c>
      <c r="C843" s="67"/>
      <c r="D843" s="102"/>
      <c r="E843" s="32"/>
      <c r="F843" s="32"/>
      <c r="G843" s="68" t="s">
        <v>277</v>
      </c>
      <c r="H843" s="69">
        <f t="shared" si="358"/>
        <v>0</v>
      </c>
      <c r="I843" s="70">
        <f t="shared" si="359"/>
        <v>0</v>
      </c>
      <c r="J843" s="73" t="str">
        <f t="shared" si="360"/>
        <v>--</v>
      </c>
      <c r="K843" s="32"/>
      <c r="L843" s="233"/>
      <c r="M843" s="277"/>
      <c r="N843" s="277"/>
      <c r="O843" s="277"/>
      <c r="P843" s="277"/>
      <c r="Q843" s="277"/>
      <c r="R843" s="277"/>
      <c r="S843" s="277"/>
      <c r="T843" s="277"/>
      <c r="U843" s="278"/>
      <c r="V843" s="103"/>
      <c r="W843" s="72"/>
      <c r="X843" s="72"/>
      <c r="Y843" s="72"/>
      <c r="Z843" s="45">
        <v>15</v>
      </c>
      <c r="AA843" s="77">
        <f t="shared" si="361"/>
        <v>169</v>
      </c>
      <c r="AB843" s="77">
        <f t="shared" si="362"/>
        <v>180</v>
      </c>
      <c r="AC843" s="72">
        <f t="shared" si="349"/>
        <v>1</v>
      </c>
      <c r="AD843" s="72">
        <f t="shared" si="350"/>
        <v>1</v>
      </c>
      <c r="AE843" s="109" t="str">
        <f t="shared" si="351"/>
        <v>0-0</v>
      </c>
      <c r="AF843" s="109" t="str">
        <f t="shared" si="352"/>
        <v>Y</v>
      </c>
      <c r="AG843" s="109" t="str">
        <f t="shared" si="353"/>
        <v>B</v>
      </c>
      <c r="AM843" s="109">
        <f t="shared" si="354"/>
        <v>0</v>
      </c>
      <c r="AN843" s="109">
        <f t="shared" si="355"/>
        <v>0</v>
      </c>
      <c r="AO843" s="109" t="str">
        <f t="shared" si="356"/>
        <v/>
      </c>
      <c r="AQ843" s="109" t="str">
        <f t="shared" si="357"/>
        <v/>
      </c>
      <c r="BA843" s="229">
        <f>MOD(SUM(E837:E844),12)</f>
        <v>0</v>
      </c>
    </row>
    <row r="844" spans="1:53" ht="15.75" thickBot="1" x14ac:dyDescent="0.3">
      <c r="A844" s="88"/>
      <c r="B844" s="66" t="s">
        <v>285</v>
      </c>
      <c r="C844" s="67"/>
      <c r="D844" s="102"/>
      <c r="E844" s="32"/>
      <c r="F844" s="32"/>
      <c r="G844" s="68" t="s">
        <v>277</v>
      </c>
      <c r="H844" s="69">
        <f t="shared" si="358"/>
        <v>0</v>
      </c>
      <c r="I844" s="70">
        <f t="shared" si="359"/>
        <v>0</v>
      </c>
      <c r="J844" s="73" t="str">
        <f t="shared" si="360"/>
        <v>--</v>
      </c>
      <c r="K844" s="32"/>
      <c r="L844" s="233"/>
      <c r="M844" s="277"/>
      <c r="N844" s="277"/>
      <c r="O844" s="277"/>
      <c r="P844" s="277"/>
      <c r="Q844" s="277"/>
      <c r="R844" s="277"/>
      <c r="S844" s="277"/>
      <c r="T844" s="277"/>
      <c r="U844" s="278"/>
      <c r="V844" s="103"/>
      <c r="W844" s="72"/>
      <c r="X844" s="72"/>
      <c r="Y844" s="72"/>
      <c r="Z844" s="45">
        <f>Z843+1</f>
        <v>16</v>
      </c>
      <c r="AA844" s="77">
        <f t="shared" si="361"/>
        <v>181</v>
      </c>
      <c r="AB844" s="77">
        <f t="shared" si="362"/>
        <v>192</v>
      </c>
      <c r="AC844" s="72">
        <f t="shared" si="349"/>
        <v>1</v>
      </c>
      <c r="AD844" s="72">
        <f t="shared" si="350"/>
        <v>1</v>
      </c>
      <c r="AE844" s="109" t="str">
        <f t="shared" si="351"/>
        <v>0-0</v>
      </c>
      <c r="AF844" s="109" t="str">
        <f t="shared" si="352"/>
        <v>Y</v>
      </c>
      <c r="AG844" s="109" t="str">
        <f t="shared" si="353"/>
        <v>B</v>
      </c>
      <c r="AM844" s="109">
        <f t="shared" si="354"/>
        <v>0</v>
      </c>
      <c r="AN844" s="109">
        <f t="shared" si="355"/>
        <v>0</v>
      </c>
      <c r="AO844" s="109" t="str">
        <f t="shared" si="356"/>
        <v/>
      </c>
      <c r="AQ844" s="109" t="str">
        <f t="shared" si="357"/>
        <v/>
      </c>
      <c r="BA844" s="229">
        <f>MOD(SUM(E837:E845),12)</f>
        <v>0</v>
      </c>
    </row>
    <row r="845" spans="1:53" ht="15.75" thickBot="1" x14ac:dyDescent="0.3">
      <c r="A845" s="88"/>
      <c r="B845" s="66" t="s">
        <v>286</v>
      </c>
      <c r="C845" s="67"/>
      <c r="D845" s="102"/>
      <c r="E845" s="32"/>
      <c r="F845" s="32"/>
      <c r="G845" s="68" t="s">
        <v>277</v>
      </c>
      <c r="H845" s="69">
        <f t="shared" si="358"/>
        <v>0</v>
      </c>
      <c r="I845" s="70">
        <f t="shared" si="359"/>
        <v>0</v>
      </c>
      <c r="J845" s="73" t="str">
        <f t="shared" si="360"/>
        <v>--</v>
      </c>
      <c r="K845" s="32"/>
      <c r="L845" s="233"/>
      <c r="M845" s="277"/>
      <c r="N845" s="277"/>
      <c r="O845" s="277"/>
      <c r="P845" s="277"/>
      <c r="Q845" s="277"/>
      <c r="R845" s="277"/>
      <c r="S845" s="277"/>
      <c r="T845" s="277"/>
      <c r="U845" s="278"/>
      <c r="V845" s="103"/>
      <c r="W845" s="72"/>
      <c r="X845" s="72"/>
      <c r="Y845" s="72"/>
      <c r="Z845" s="45">
        <f>Z844+1</f>
        <v>17</v>
      </c>
      <c r="AA845" s="77">
        <f t="shared" si="361"/>
        <v>193</v>
      </c>
      <c r="AB845" s="77">
        <f t="shared" si="362"/>
        <v>204</v>
      </c>
      <c r="AC845" s="72">
        <f t="shared" si="349"/>
        <v>1</v>
      </c>
      <c r="AD845" s="72">
        <f t="shared" si="350"/>
        <v>1</v>
      </c>
      <c r="AE845" s="109" t="str">
        <f t="shared" si="351"/>
        <v>0-0</v>
      </c>
      <c r="AF845" s="109" t="str">
        <f t="shared" si="352"/>
        <v>Y</v>
      </c>
      <c r="AG845" s="109" t="str">
        <f t="shared" si="353"/>
        <v>B</v>
      </c>
      <c r="AM845" s="109">
        <f t="shared" si="354"/>
        <v>0</v>
      </c>
      <c r="AN845" s="109">
        <f t="shared" si="355"/>
        <v>0</v>
      </c>
      <c r="AO845" s="109" t="str">
        <f t="shared" si="356"/>
        <v/>
      </c>
      <c r="AQ845" s="109" t="str">
        <f t="shared" si="357"/>
        <v/>
      </c>
      <c r="BA845" s="229">
        <f>MOD(SUM(E837:E846),12)</f>
        <v>0</v>
      </c>
    </row>
    <row r="846" spans="1:53" ht="15.75" thickBot="1" x14ac:dyDescent="0.3">
      <c r="A846" s="88"/>
      <c r="B846" s="66" t="s">
        <v>287</v>
      </c>
      <c r="C846" s="67"/>
      <c r="D846" s="102"/>
      <c r="E846" s="32"/>
      <c r="F846" s="32"/>
      <c r="G846" s="68" t="s">
        <v>277</v>
      </c>
      <c r="H846" s="69">
        <f t="shared" si="358"/>
        <v>0</v>
      </c>
      <c r="I846" s="70">
        <f t="shared" si="359"/>
        <v>0</v>
      </c>
      <c r="J846" s="73" t="str">
        <f t="shared" si="360"/>
        <v>--</v>
      </c>
      <c r="K846" s="32"/>
      <c r="L846" s="233"/>
      <c r="M846" s="277"/>
      <c r="N846" s="277"/>
      <c r="O846" s="277"/>
      <c r="P846" s="277"/>
      <c r="Q846" s="277"/>
      <c r="R846" s="277"/>
      <c r="S846" s="277"/>
      <c r="T846" s="277"/>
      <c r="U846" s="278"/>
      <c r="V846" s="103"/>
      <c r="W846" s="72"/>
      <c r="X846" s="72"/>
      <c r="Y846" s="72"/>
      <c r="Z846" s="45">
        <f>Z845+1</f>
        <v>18</v>
      </c>
      <c r="AA846" s="77">
        <f t="shared" si="361"/>
        <v>205</v>
      </c>
      <c r="AB846" s="77">
        <f t="shared" si="362"/>
        <v>216</v>
      </c>
      <c r="AC846" s="72">
        <f t="shared" si="349"/>
        <v>1</v>
      </c>
      <c r="AD846" s="72">
        <f t="shared" si="350"/>
        <v>1</v>
      </c>
      <c r="AE846" s="109" t="str">
        <f t="shared" si="351"/>
        <v>0-0</v>
      </c>
      <c r="AF846" s="109" t="str">
        <f t="shared" si="352"/>
        <v>Y</v>
      </c>
      <c r="AG846" s="109" t="str">
        <f t="shared" si="353"/>
        <v>B</v>
      </c>
      <c r="AM846" s="109">
        <f t="shared" si="354"/>
        <v>0</v>
      </c>
      <c r="AN846" s="109">
        <f t="shared" si="355"/>
        <v>0</v>
      </c>
      <c r="AO846" s="109" t="str">
        <f t="shared" si="356"/>
        <v/>
      </c>
      <c r="AQ846" s="109" t="str">
        <f t="shared" si="357"/>
        <v/>
      </c>
      <c r="BA846" s="229">
        <f>MOD(SUM(E837:E847),12)</f>
        <v>0</v>
      </c>
    </row>
    <row r="847" spans="1:53" ht="15.75" thickBot="1" x14ac:dyDescent="0.3">
      <c r="A847" s="88"/>
      <c r="B847" s="66" t="s">
        <v>288</v>
      </c>
      <c r="C847" s="67"/>
      <c r="D847" s="102"/>
      <c r="E847" s="32"/>
      <c r="F847" s="32"/>
      <c r="G847" s="68" t="s">
        <v>277</v>
      </c>
      <c r="H847" s="69">
        <f t="shared" si="358"/>
        <v>0</v>
      </c>
      <c r="I847" s="70">
        <f t="shared" si="359"/>
        <v>0</v>
      </c>
      <c r="J847" s="73" t="str">
        <f t="shared" si="360"/>
        <v>--</v>
      </c>
      <c r="K847" s="32"/>
      <c r="L847" s="233"/>
      <c r="M847" s="277"/>
      <c r="N847" s="277"/>
      <c r="O847" s="277"/>
      <c r="P847" s="277"/>
      <c r="Q847" s="277"/>
      <c r="R847" s="277"/>
      <c r="S847" s="277"/>
      <c r="T847" s="277"/>
      <c r="U847" s="278"/>
      <c r="V847" s="103"/>
      <c r="W847" s="84"/>
      <c r="X847" s="84"/>
      <c r="Y847" s="72"/>
      <c r="Z847" s="72"/>
      <c r="AA847" s="72"/>
      <c r="AB847" s="72"/>
      <c r="AC847" s="72">
        <f t="shared" si="349"/>
        <v>1</v>
      </c>
      <c r="AD847" s="72">
        <f t="shared" si="350"/>
        <v>1</v>
      </c>
      <c r="AE847" s="109" t="str">
        <f t="shared" si="351"/>
        <v>0-0</v>
      </c>
      <c r="AF847" s="109" t="str">
        <f t="shared" si="352"/>
        <v>Y</v>
      </c>
      <c r="AG847" s="109" t="str">
        <f t="shared" si="353"/>
        <v>B</v>
      </c>
      <c r="AM847" s="109">
        <f t="shared" si="354"/>
        <v>0</v>
      </c>
      <c r="AN847" s="109">
        <f t="shared" si="355"/>
        <v>0</v>
      </c>
      <c r="AO847" s="109" t="str">
        <f t="shared" si="356"/>
        <v/>
      </c>
      <c r="AQ847" s="109" t="str">
        <f t="shared" si="357"/>
        <v/>
      </c>
      <c r="BA847" s="229">
        <f>MOD(SUM(E837:E848),12)</f>
        <v>0</v>
      </c>
    </row>
    <row r="848" spans="1:53" ht="15.75" thickBot="1" x14ac:dyDescent="0.3">
      <c r="A848" s="88"/>
      <c r="B848" s="66" t="s">
        <v>289</v>
      </c>
      <c r="C848" s="67"/>
      <c r="D848" s="102"/>
      <c r="E848" s="32"/>
      <c r="F848" s="32"/>
      <c r="G848" s="68" t="s">
        <v>277</v>
      </c>
      <c r="H848" s="69">
        <f t="shared" si="358"/>
        <v>0</v>
      </c>
      <c r="I848" s="70">
        <f t="shared" si="359"/>
        <v>0</v>
      </c>
      <c r="J848" s="73" t="str">
        <f t="shared" si="360"/>
        <v>--</v>
      </c>
      <c r="K848" s="32"/>
      <c r="L848" s="233"/>
      <c r="M848" s="277"/>
      <c r="N848" s="277"/>
      <c r="O848" s="277"/>
      <c r="P848" s="277"/>
      <c r="Q848" s="277"/>
      <c r="R848" s="277"/>
      <c r="S848" s="277"/>
      <c r="T848" s="277"/>
      <c r="U848" s="278"/>
      <c r="V848" s="103"/>
      <c r="W848" s="84">
        <f>Y848+1</f>
        <v>25</v>
      </c>
      <c r="X848" s="84"/>
      <c r="Y848" s="78">
        <f>SUM(E837:E848)</f>
        <v>24</v>
      </c>
      <c r="Z848" s="72"/>
      <c r="AA848" s="72"/>
      <c r="AB848" s="72"/>
      <c r="AC848" s="72">
        <f t="shared" si="349"/>
        <v>1</v>
      </c>
      <c r="AD848" s="72">
        <f t="shared" si="350"/>
        <v>1</v>
      </c>
      <c r="AE848" s="109" t="str">
        <f t="shared" si="351"/>
        <v>0-0</v>
      </c>
      <c r="AF848" s="109" t="str">
        <f t="shared" si="352"/>
        <v>Y</v>
      </c>
      <c r="AG848" s="109" t="str">
        <f t="shared" si="353"/>
        <v>B</v>
      </c>
      <c r="AM848" s="109">
        <f t="shared" si="354"/>
        <v>0</v>
      </c>
      <c r="AN848" s="109">
        <f t="shared" si="355"/>
        <v>0</v>
      </c>
      <c r="AO848" s="109" t="str">
        <f t="shared" si="356"/>
        <v/>
      </c>
      <c r="AQ848" s="109" t="str">
        <f t="shared" si="357"/>
        <v/>
      </c>
      <c r="BA848" s="229">
        <f>MOD(SUM(E837:E849),12)</f>
        <v>0</v>
      </c>
    </row>
    <row r="849" spans="1:53" ht="15.75" thickBot="1" x14ac:dyDescent="0.3">
      <c r="A849" s="88"/>
      <c r="B849" s="66" t="s">
        <v>290</v>
      </c>
      <c r="C849" s="67"/>
      <c r="D849" s="102"/>
      <c r="E849" s="32"/>
      <c r="F849" s="32"/>
      <c r="G849" s="68" t="s">
        <v>277</v>
      </c>
      <c r="H849" s="69">
        <f t="shared" si="358"/>
        <v>0</v>
      </c>
      <c r="I849" s="70">
        <f t="shared" si="359"/>
        <v>0</v>
      </c>
      <c r="J849" s="73" t="str">
        <f t="shared" si="360"/>
        <v>--</v>
      </c>
      <c r="K849" s="32"/>
      <c r="L849" s="233"/>
      <c r="M849" s="277"/>
      <c r="N849" s="277"/>
      <c r="O849" s="277"/>
      <c r="P849" s="277"/>
      <c r="Q849" s="277"/>
      <c r="R849" s="277"/>
      <c r="S849" s="277"/>
      <c r="T849" s="277"/>
      <c r="U849" s="278"/>
      <c r="V849" s="103"/>
      <c r="W849" s="84">
        <f>Y849+1</f>
        <v>25</v>
      </c>
      <c r="X849" s="84"/>
      <c r="Y849" s="78">
        <f>SUM(E837:E849)</f>
        <v>24</v>
      </c>
      <c r="Z849" s="72" t="str">
        <f t="shared" ref="Z849:Z861" si="363">IF(OR(AND(E$8=216,C848="DBL REV",C849="DBL REV",Y848&lt;=144,Y849&gt;144),AND(E$8=216,C848="TPL REV",C849="TPL REV",Y848&lt;=144,Y849&gt;144),AND(E$8=216,C848="QD REV",C849="QD REV",Y848&lt;=144,Y849&gt;144)),"ERROR","")</f>
        <v/>
      </c>
      <c r="AA849" s="72"/>
      <c r="AB849" s="72"/>
      <c r="AC849" s="72">
        <f t="shared" si="349"/>
        <v>1</v>
      </c>
      <c r="AD849" s="72">
        <f t="shared" si="350"/>
        <v>1</v>
      </c>
      <c r="AE849" s="109" t="str">
        <f t="shared" si="351"/>
        <v>0-0</v>
      </c>
      <c r="AF849" s="109" t="str">
        <f t="shared" si="352"/>
        <v>Y</v>
      </c>
      <c r="AG849" s="109" t="str">
        <f t="shared" si="353"/>
        <v>B</v>
      </c>
      <c r="AM849" s="109">
        <f t="shared" si="354"/>
        <v>0</v>
      </c>
      <c r="AN849" s="109">
        <f t="shared" si="355"/>
        <v>0</v>
      </c>
      <c r="AO849" s="109" t="str">
        <f t="shared" si="356"/>
        <v/>
      </c>
      <c r="AQ849" s="109" t="str">
        <f t="shared" si="357"/>
        <v/>
      </c>
      <c r="BA849" s="229">
        <f>MOD(SUM(E837:E850),12)</f>
        <v>0</v>
      </c>
    </row>
    <row r="850" spans="1:53" ht="15.75" thickBot="1" x14ac:dyDescent="0.3">
      <c r="A850" s="88"/>
      <c r="B850" s="66" t="s">
        <v>291</v>
      </c>
      <c r="C850" s="67"/>
      <c r="D850" s="102"/>
      <c r="E850" s="32"/>
      <c r="F850" s="32"/>
      <c r="G850" s="68" t="s">
        <v>277</v>
      </c>
      <c r="H850" s="69">
        <f t="shared" si="358"/>
        <v>0</v>
      </c>
      <c r="I850" s="70">
        <f t="shared" si="359"/>
        <v>0</v>
      </c>
      <c r="J850" s="73" t="str">
        <f t="shared" si="360"/>
        <v>--</v>
      </c>
      <c r="K850" s="32"/>
      <c r="L850" s="233"/>
      <c r="M850" s="277"/>
      <c r="N850" s="277"/>
      <c r="O850" s="277"/>
      <c r="P850" s="277"/>
      <c r="Q850" s="277"/>
      <c r="R850" s="277"/>
      <c r="S850" s="277"/>
      <c r="T850" s="277"/>
      <c r="U850" s="278"/>
      <c r="V850" s="103"/>
      <c r="W850" s="84">
        <f>Y850+1</f>
        <v>25</v>
      </c>
      <c r="X850" s="84"/>
      <c r="Y850" s="78">
        <f>SUM(E837:E850)</f>
        <v>24</v>
      </c>
      <c r="Z850" s="72" t="str">
        <f t="shared" si="363"/>
        <v/>
      </c>
      <c r="AA850" s="72"/>
      <c r="AB850" s="72"/>
      <c r="AC850" s="72">
        <f t="shared" si="349"/>
        <v>1</v>
      </c>
      <c r="AD850" s="72">
        <f t="shared" si="350"/>
        <v>1</v>
      </c>
      <c r="AE850" s="109" t="str">
        <f t="shared" si="351"/>
        <v>0-0</v>
      </c>
      <c r="AF850" s="109" t="str">
        <f t="shared" si="352"/>
        <v>Y</v>
      </c>
      <c r="AG850" s="109" t="str">
        <f t="shared" si="353"/>
        <v>B</v>
      </c>
      <c r="AM850" s="109">
        <f t="shared" si="354"/>
        <v>0</v>
      </c>
      <c r="AN850" s="109">
        <f t="shared" si="355"/>
        <v>0</v>
      </c>
      <c r="AO850" s="109" t="str">
        <f t="shared" si="356"/>
        <v/>
      </c>
      <c r="AQ850" s="109" t="str">
        <f t="shared" si="357"/>
        <v/>
      </c>
      <c r="BA850" s="229">
        <f>MOD(SUM(E837:E851),12)</f>
        <v>0</v>
      </c>
    </row>
    <row r="851" spans="1:53" ht="15.75" thickBot="1" x14ac:dyDescent="0.3">
      <c r="A851" s="88"/>
      <c r="B851" s="66" t="s">
        <v>292</v>
      </c>
      <c r="C851" s="67"/>
      <c r="D851" s="102"/>
      <c r="E851" s="32"/>
      <c r="F851" s="32"/>
      <c r="G851" s="68" t="s">
        <v>277</v>
      </c>
      <c r="H851" s="69">
        <f t="shared" si="358"/>
        <v>0</v>
      </c>
      <c r="I851" s="70">
        <f t="shared" si="359"/>
        <v>0</v>
      </c>
      <c r="J851" s="73" t="str">
        <f t="shared" si="360"/>
        <v>--</v>
      </c>
      <c r="K851" s="32"/>
      <c r="L851" s="233"/>
      <c r="M851" s="277"/>
      <c r="N851" s="277"/>
      <c r="O851" s="277"/>
      <c r="P851" s="277"/>
      <c r="Q851" s="277"/>
      <c r="R851" s="277"/>
      <c r="S851" s="277"/>
      <c r="T851" s="277"/>
      <c r="U851" s="278"/>
      <c r="V851" s="103"/>
      <c r="W851" s="84">
        <f>Y851+1</f>
        <v>25</v>
      </c>
      <c r="X851" s="84"/>
      <c r="Y851" s="78">
        <f>SUM(E837:E851)</f>
        <v>24</v>
      </c>
      <c r="Z851" s="72" t="str">
        <f t="shared" si="363"/>
        <v/>
      </c>
      <c r="AA851" s="72" t="str">
        <f t="shared" ref="AA851:AA863" si="364">IF(AND(C849&lt;&gt;"Field SPL",W848&lt;=144,Y849&gt;144),"ERROR","")</f>
        <v/>
      </c>
      <c r="AB851" s="72"/>
      <c r="AC851" s="72">
        <f t="shared" si="349"/>
        <v>1</v>
      </c>
      <c r="AD851" s="72">
        <f t="shared" si="350"/>
        <v>1</v>
      </c>
      <c r="AE851" s="109" t="str">
        <f t="shared" si="351"/>
        <v>0-0</v>
      </c>
      <c r="AF851" s="109" t="str">
        <f t="shared" si="352"/>
        <v>Y</v>
      </c>
      <c r="AG851" s="109" t="str">
        <f t="shared" si="353"/>
        <v>B</v>
      </c>
      <c r="AM851" s="109">
        <f t="shared" si="354"/>
        <v>0</v>
      </c>
      <c r="AN851" s="109">
        <f t="shared" si="355"/>
        <v>0</v>
      </c>
      <c r="AO851" s="109" t="str">
        <f t="shared" si="356"/>
        <v/>
      </c>
      <c r="AQ851" s="109" t="str">
        <f t="shared" si="357"/>
        <v/>
      </c>
      <c r="BA851" s="229">
        <f>MOD(SUM(E837:E852),12)</f>
        <v>0</v>
      </c>
    </row>
    <row r="852" spans="1:53" ht="15.75" thickBot="1" x14ac:dyDescent="0.3">
      <c r="A852" s="88"/>
      <c r="B852" s="66" t="s">
        <v>293</v>
      </c>
      <c r="C852" s="67"/>
      <c r="D852" s="102"/>
      <c r="E852" s="32"/>
      <c r="F852" s="32"/>
      <c r="G852" s="68" t="s">
        <v>277</v>
      </c>
      <c r="H852" s="69">
        <f t="shared" si="358"/>
        <v>0</v>
      </c>
      <c r="I852" s="70">
        <f t="shared" si="359"/>
        <v>0</v>
      </c>
      <c r="J852" s="73" t="str">
        <f t="shared" si="360"/>
        <v>--</v>
      </c>
      <c r="K852" s="32"/>
      <c r="L852" s="233"/>
      <c r="M852" s="277"/>
      <c r="N852" s="277"/>
      <c r="O852" s="277"/>
      <c r="P852" s="277"/>
      <c r="Q852" s="277"/>
      <c r="R852" s="277"/>
      <c r="S852" s="277"/>
      <c r="T852" s="277"/>
      <c r="U852" s="278"/>
      <c r="V852" s="103"/>
      <c r="W852" s="84">
        <f t="shared" ref="W852:W860" si="365">Y852+1</f>
        <v>25</v>
      </c>
      <c r="X852" s="84"/>
      <c r="Y852" s="78">
        <f>SUM(E837:E852)</f>
        <v>24</v>
      </c>
      <c r="Z852" s="72" t="str">
        <f t="shared" si="363"/>
        <v/>
      </c>
      <c r="AA852" s="72" t="str">
        <f t="shared" si="364"/>
        <v/>
      </c>
      <c r="AB852" s="72"/>
      <c r="AC852" s="72">
        <f t="shared" si="349"/>
        <v>1</v>
      </c>
      <c r="AD852" s="72">
        <f t="shared" si="350"/>
        <v>1</v>
      </c>
      <c r="AE852" s="109" t="str">
        <f t="shared" si="351"/>
        <v>0-0</v>
      </c>
      <c r="AF852" s="109" t="str">
        <f t="shared" si="352"/>
        <v>Y</v>
      </c>
      <c r="AG852" s="109" t="str">
        <f t="shared" si="353"/>
        <v>B</v>
      </c>
      <c r="AM852" s="109">
        <f t="shared" si="354"/>
        <v>0</v>
      </c>
      <c r="AN852" s="109">
        <f t="shared" si="355"/>
        <v>0</v>
      </c>
      <c r="AO852" s="109" t="str">
        <f t="shared" si="356"/>
        <v/>
      </c>
      <c r="AQ852" s="109" t="str">
        <f t="shared" si="357"/>
        <v/>
      </c>
      <c r="BA852" s="229">
        <f>MOD(SUM(E837:E853),12)</f>
        <v>0</v>
      </c>
    </row>
    <row r="853" spans="1:53" ht="15.75" thickBot="1" x14ac:dyDescent="0.3">
      <c r="A853" s="88"/>
      <c r="B853" s="66" t="s">
        <v>294</v>
      </c>
      <c r="C853" s="67"/>
      <c r="D853" s="102"/>
      <c r="E853" s="32"/>
      <c r="F853" s="32"/>
      <c r="G853" s="68" t="s">
        <v>277</v>
      </c>
      <c r="H853" s="69">
        <f t="shared" si="358"/>
        <v>0</v>
      </c>
      <c r="I853" s="70">
        <f t="shared" si="359"/>
        <v>0</v>
      </c>
      <c r="J853" s="73" t="str">
        <f t="shared" si="360"/>
        <v>--</v>
      </c>
      <c r="K853" s="32"/>
      <c r="L853" s="233"/>
      <c r="M853" s="277"/>
      <c r="N853" s="277"/>
      <c r="O853" s="277"/>
      <c r="P853" s="277"/>
      <c r="Q853" s="277"/>
      <c r="R853" s="277"/>
      <c r="S853" s="277"/>
      <c r="T853" s="277"/>
      <c r="U853" s="278"/>
      <c r="V853" s="103"/>
      <c r="W853" s="84">
        <f t="shared" si="365"/>
        <v>25</v>
      </c>
      <c r="X853" s="84"/>
      <c r="Y853" s="78">
        <f>SUM(E837:E853)</f>
        <v>24</v>
      </c>
      <c r="Z853" s="72" t="str">
        <f t="shared" si="363"/>
        <v/>
      </c>
      <c r="AA853" s="72" t="str">
        <f t="shared" si="364"/>
        <v/>
      </c>
      <c r="AB853" s="72"/>
      <c r="AC853" s="72">
        <f t="shared" si="349"/>
        <v>1</v>
      </c>
      <c r="AD853" s="72">
        <f t="shared" si="350"/>
        <v>1</v>
      </c>
      <c r="AE853" s="109" t="str">
        <f t="shared" si="351"/>
        <v>0-0</v>
      </c>
      <c r="AF853" s="109" t="str">
        <f t="shared" si="352"/>
        <v>Y</v>
      </c>
      <c r="AG853" s="109" t="str">
        <f t="shared" si="353"/>
        <v>B</v>
      </c>
      <c r="AM853" s="109">
        <f t="shared" si="354"/>
        <v>0</v>
      </c>
      <c r="AN853" s="109">
        <f t="shared" si="355"/>
        <v>0</v>
      </c>
      <c r="AO853" s="109" t="str">
        <f t="shared" si="356"/>
        <v/>
      </c>
      <c r="AQ853" s="109" t="str">
        <f t="shared" si="357"/>
        <v/>
      </c>
      <c r="BA853" s="229">
        <f>MOD(SUM(E837:E854),12)</f>
        <v>0</v>
      </c>
    </row>
    <row r="854" spans="1:53" ht="15.75" thickBot="1" x14ac:dyDescent="0.3">
      <c r="A854" s="88"/>
      <c r="B854" s="66" t="s">
        <v>295</v>
      </c>
      <c r="C854" s="67"/>
      <c r="D854" s="102"/>
      <c r="E854" s="32"/>
      <c r="F854" s="32"/>
      <c r="G854" s="68" t="s">
        <v>277</v>
      </c>
      <c r="H854" s="69">
        <f t="shared" si="358"/>
        <v>0</v>
      </c>
      <c r="I854" s="70">
        <f t="shared" si="359"/>
        <v>0</v>
      </c>
      <c r="J854" s="73" t="str">
        <f t="shared" si="360"/>
        <v>--</v>
      </c>
      <c r="K854" s="32"/>
      <c r="L854" s="233"/>
      <c r="M854" s="277"/>
      <c r="N854" s="277"/>
      <c r="O854" s="277"/>
      <c r="P854" s="277"/>
      <c r="Q854" s="277"/>
      <c r="R854" s="277"/>
      <c r="S854" s="277"/>
      <c r="T854" s="277"/>
      <c r="U854" s="278"/>
      <c r="V854" s="103"/>
      <c r="W854" s="84">
        <f t="shared" si="365"/>
        <v>25</v>
      </c>
      <c r="X854" s="84"/>
      <c r="Y854" s="78">
        <f>SUM(E837:E854)</f>
        <v>24</v>
      </c>
      <c r="Z854" s="72" t="str">
        <f t="shared" si="363"/>
        <v/>
      </c>
      <c r="AA854" s="72" t="str">
        <f t="shared" si="364"/>
        <v/>
      </c>
      <c r="AB854" s="72"/>
      <c r="AC854" s="72">
        <f t="shared" si="349"/>
        <v>1</v>
      </c>
      <c r="AD854" s="72">
        <f t="shared" si="350"/>
        <v>1</v>
      </c>
      <c r="AE854" s="109" t="str">
        <f t="shared" si="351"/>
        <v>0-0</v>
      </c>
      <c r="AF854" s="109" t="str">
        <f t="shared" si="352"/>
        <v>Y</v>
      </c>
      <c r="AG854" s="109" t="str">
        <f t="shared" si="353"/>
        <v>B</v>
      </c>
      <c r="AM854" s="109">
        <f t="shared" si="354"/>
        <v>0</v>
      </c>
      <c r="AN854" s="109">
        <f t="shared" si="355"/>
        <v>0</v>
      </c>
      <c r="AO854" s="109" t="str">
        <f t="shared" si="356"/>
        <v/>
      </c>
      <c r="AQ854" s="109" t="str">
        <f t="shared" si="357"/>
        <v/>
      </c>
      <c r="BA854" s="229">
        <f>MOD(SUM(E837:E855),12)</f>
        <v>0</v>
      </c>
    </row>
    <row r="855" spans="1:53" ht="15.75" thickBot="1" x14ac:dyDescent="0.3">
      <c r="A855" s="88"/>
      <c r="B855" s="66" t="s">
        <v>296</v>
      </c>
      <c r="C855" s="67"/>
      <c r="D855" s="102"/>
      <c r="E855" s="32"/>
      <c r="F855" s="32"/>
      <c r="G855" s="68" t="s">
        <v>277</v>
      </c>
      <c r="H855" s="69">
        <f t="shared" si="358"/>
        <v>0</v>
      </c>
      <c r="I855" s="70">
        <f t="shared" si="359"/>
        <v>0</v>
      </c>
      <c r="J855" s="73" t="str">
        <f t="shared" si="360"/>
        <v>--</v>
      </c>
      <c r="K855" s="32"/>
      <c r="L855" s="233"/>
      <c r="M855" s="277"/>
      <c r="N855" s="277"/>
      <c r="O855" s="277"/>
      <c r="P855" s="277"/>
      <c r="Q855" s="277"/>
      <c r="R855" s="277"/>
      <c r="S855" s="277"/>
      <c r="T855" s="277"/>
      <c r="U855" s="278"/>
      <c r="V855" s="103"/>
      <c r="W855" s="84">
        <f t="shared" si="365"/>
        <v>25</v>
      </c>
      <c r="X855" s="84"/>
      <c r="Y855" s="78">
        <f>SUM(E837:E855)</f>
        <v>24</v>
      </c>
      <c r="Z855" s="72" t="str">
        <f t="shared" si="363"/>
        <v/>
      </c>
      <c r="AA855" s="72" t="str">
        <f t="shared" si="364"/>
        <v/>
      </c>
      <c r="AB855" s="72"/>
      <c r="AC855" s="72">
        <f t="shared" si="349"/>
        <v>1</v>
      </c>
      <c r="AD855" s="72">
        <f t="shared" si="350"/>
        <v>1</v>
      </c>
      <c r="AE855" s="109" t="str">
        <f t="shared" si="351"/>
        <v>0-0</v>
      </c>
      <c r="AF855" s="109" t="str">
        <f t="shared" si="352"/>
        <v>Y</v>
      </c>
      <c r="AG855" s="109" t="str">
        <f t="shared" si="353"/>
        <v>B</v>
      </c>
      <c r="AM855" s="109">
        <f t="shared" si="354"/>
        <v>0</v>
      </c>
      <c r="AN855" s="109">
        <f t="shared" si="355"/>
        <v>0</v>
      </c>
      <c r="AO855" s="109" t="str">
        <f t="shared" si="356"/>
        <v/>
      </c>
      <c r="AQ855" s="109" t="str">
        <f t="shared" si="357"/>
        <v/>
      </c>
      <c r="BA855" s="229">
        <f>MOD(SUM(E837:E856),12)</f>
        <v>0</v>
      </c>
    </row>
    <row r="856" spans="1:53" ht="15.75" thickBot="1" x14ac:dyDescent="0.3">
      <c r="A856" s="88"/>
      <c r="B856" s="66" t="s">
        <v>297</v>
      </c>
      <c r="C856" s="67"/>
      <c r="D856" s="102"/>
      <c r="E856" s="32"/>
      <c r="F856" s="32"/>
      <c r="G856" s="68" t="s">
        <v>277</v>
      </c>
      <c r="H856" s="69">
        <f t="shared" si="358"/>
        <v>0</v>
      </c>
      <c r="I856" s="70">
        <f t="shared" si="359"/>
        <v>0</v>
      </c>
      <c r="J856" s="73" t="str">
        <f t="shared" si="360"/>
        <v>--</v>
      </c>
      <c r="K856" s="32"/>
      <c r="L856" s="233"/>
      <c r="M856" s="277"/>
      <c r="N856" s="277"/>
      <c r="O856" s="277"/>
      <c r="P856" s="277"/>
      <c r="Q856" s="277"/>
      <c r="R856" s="277"/>
      <c r="S856" s="277"/>
      <c r="T856" s="277"/>
      <c r="U856" s="278"/>
      <c r="V856" s="103"/>
      <c r="W856" s="84">
        <f t="shared" si="365"/>
        <v>25</v>
      </c>
      <c r="X856" s="84"/>
      <c r="Y856" s="78">
        <f>SUM(E837:E856)</f>
        <v>24</v>
      </c>
      <c r="Z856" s="72" t="str">
        <f t="shared" si="363"/>
        <v/>
      </c>
      <c r="AA856" s="72" t="str">
        <f t="shared" si="364"/>
        <v/>
      </c>
      <c r="AB856" s="72"/>
      <c r="AC856" s="72">
        <f t="shared" si="349"/>
        <v>1</v>
      </c>
      <c r="AD856" s="72">
        <f t="shared" si="350"/>
        <v>1</v>
      </c>
      <c r="AE856" s="109" t="str">
        <f t="shared" si="351"/>
        <v>0-0</v>
      </c>
      <c r="AF856" s="109" t="str">
        <f t="shared" si="352"/>
        <v>Y</v>
      </c>
      <c r="AG856" s="109" t="str">
        <f t="shared" si="353"/>
        <v>B</v>
      </c>
      <c r="AM856" s="109">
        <f t="shared" si="354"/>
        <v>0</v>
      </c>
      <c r="AN856" s="109">
        <f t="shared" si="355"/>
        <v>0</v>
      </c>
      <c r="AO856" s="109" t="str">
        <f t="shared" si="356"/>
        <v/>
      </c>
      <c r="AQ856" s="109" t="str">
        <f t="shared" si="357"/>
        <v/>
      </c>
      <c r="BA856" s="229">
        <f>MOD(SUM(E837:E857),12)</f>
        <v>0</v>
      </c>
    </row>
    <row r="857" spans="1:53" ht="15.75" thickBot="1" x14ac:dyDescent="0.3">
      <c r="A857" s="88"/>
      <c r="B857" s="66" t="s">
        <v>298</v>
      </c>
      <c r="C857" s="67"/>
      <c r="D857" s="102"/>
      <c r="E857" s="32"/>
      <c r="F857" s="32"/>
      <c r="G857" s="68" t="s">
        <v>277</v>
      </c>
      <c r="H857" s="69">
        <f t="shared" si="358"/>
        <v>0</v>
      </c>
      <c r="I857" s="70">
        <f t="shared" si="359"/>
        <v>0</v>
      </c>
      <c r="J857" s="73" t="str">
        <f t="shared" si="360"/>
        <v>--</v>
      </c>
      <c r="K857" s="32"/>
      <c r="L857" s="233"/>
      <c r="M857" s="277"/>
      <c r="N857" s="277"/>
      <c r="O857" s="277"/>
      <c r="P857" s="277"/>
      <c r="Q857" s="277"/>
      <c r="R857" s="277"/>
      <c r="S857" s="277"/>
      <c r="T857" s="277"/>
      <c r="U857" s="278"/>
      <c r="V857" s="103"/>
      <c r="W857" s="84">
        <f t="shared" si="365"/>
        <v>25</v>
      </c>
      <c r="X857" s="84"/>
      <c r="Y857" s="78">
        <f>SUM(E837:E857)</f>
        <v>24</v>
      </c>
      <c r="Z857" s="72" t="str">
        <f t="shared" si="363"/>
        <v/>
      </c>
      <c r="AA857" s="72" t="str">
        <f t="shared" si="364"/>
        <v/>
      </c>
      <c r="AB857" s="72"/>
      <c r="AC857" s="72">
        <f t="shared" si="349"/>
        <v>1</v>
      </c>
      <c r="AD857" s="72">
        <f t="shared" si="350"/>
        <v>1</v>
      </c>
      <c r="AE857" s="109" t="str">
        <f t="shared" si="351"/>
        <v>0-0</v>
      </c>
      <c r="AF857" s="109" t="str">
        <f t="shared" si="352"/>
        <v>Y</v>
      </c>
      <c r="AG857" s="109" t="str">
        <f t="shared" si="353"/>
        <v>B</v>
      </c>
      <c r="AM857" s="109">
        <f t="shared" si="354"/>
        <v>0</v>
      </c>
      <c r="AN857" s="109">
        <f t="shared" si="355"/>
        <v>0</v>
      </c>
      <c r="AO857" s="109" t="str">
        <f t="shared" si="356"/>
        <v/>
      </c>
      <c r="AQ857" s="109" t="str">
        <f t="shared" si="357"/>
        <v/>
      </c>
      <c r="BA857" s="229">
        <f>MOD(SUM(E837:E858),12)</f>
        <v>0</v>
      </c>
    </row>
    <row r="858" spans="1:53" ht="15.75" thickBot="1" x14ac:dyDescent="0.3">
      <c r="A858" s="88"/>
      <c r="B858" s="66" t="s">
        <v>299</v>
      </c>
      <c r="C858" s="67"/>
      <c r="D858" s="102"/>
      <c r="E858" s="32"/>
      <c r="F858" s="32"/>
      <c r="G858" s="68" t="s">
        <v>277</v>
      </c>
      <c r="H858" s="69">
        <f t="shared" si="358"/>
        <v>0</v>
      </c>
      <c r="I858" s="70">
        <f t="shared" si="359"/>
        <v>0</v>
      </c>
      <c r="J858" s="73" t="str">
        <f t="shared" si="360"/>
        <v>--</v>
      </c>
      <c r="K858" s="32"/>
      <c r="L858" s="233"/>
      <c r="M858" s="277"/>
      <c r="N858" s="277"/>
      <c r="O858" s="277"/>
      <c r="P858" s="277"/>
      <c r="Q858" s="277"/>
      <c r="R858" s="277"/>
      <c r="S858" s="277"/>
      <c r="T858" s="277"/>
      <c r="U858" s="278"/>
      <c r="V858" s="103"/>
      <c r="W858" s="84">
        <f t="shared" si="365"/>
        <v>25</v>
      </c>
      <c r="X858" s="84"/>
      <c r="Y858" s="78">
        <f>SUM(E837:E858)</f>
        <v>24</v>
      </c>
      <c r="Z858" s="72" t="str">
        <f t="shared" si="363"/>
        <v/>
      </c>
      <c r="AA858" s="72" t="str">
        <f t="shared" si="364"/>
        <v/>
      </c>
      <c r="AB858" s="72"/>
      <c r="AC858" s="72">
        <f t="shared" si="349"/>
        <v>1</v>
      </c>
      <c r="AD858" s="72">
        <f t="shared" si="350"/>
        <v>1</v>
      </c>
      <c r="AE858" s="109" t="str">
        <f t="shared" si="351"/>
        <v>0-0</v>
      </c>
      <c r="AF858" s="109" t="str">
        <f t="shared" si="352"/>
        <v>Y</v>
      </c>
      <c r="AG858" s="109" t="str">
        <f t="shared" si="353"/>
        <v>B</v>
      </c>
      <c r="AM858" s="109">
        <f t="shared" si="354"/>
        <v>0</v>
      </c>
      <c r="AN858" s="109">
        <f t="shared" si="355"/>
        <v>0</v>
      </c>
      <c r="AO858" s="109" t="str">
        <f t="shared" si="356"/>
        <v/>
      </c>
      <c r="AQ858" s="109" t="str">
        <f t="shared" si="357"/>
        <v/>
      </c>
      <c r="BA858" s="229">
        <f>MOD(SUM(E837:E859),12)</f>
        <v>0</v>
      </c>
    </row>
    <row r="859" spans="1:53" ht="15.75" thickBot="1" x14ac:dyDescent="0.3">
      <c r="A859" s="88"/>
      <c r="B859" s="66" t="s">
        <v>300</v>
      </c>
      <c r="C859" s="67"/>
      <c r="D859" s="102"/>
      <c r="E859" s="32"/>
      <c r="F859" s="32"/>
      <c r="G859" s="68" t="s">
        <v>277</v>
      </c>
      <c r="H859" s="69">
        <f t="shared" si="358"/>
        <v>0</v>
      </c>
      <c r="I859" s="70">
        <f t="shared" si="359"/>
        <v>0</v>
      </c>
      <c r="J859" s="73" t="str">
        <f t="shared" si="360"/>
        <v>--</v>
      </c>
      <c r="K859" s="32"/>
      <c r="L859" s="233"/>
      <c r="M859" s="277"/>
      <c r="N859" s="277"/>
      <c r="O859" s="277"/>
      <c r="P859" s="277"/>
      <c r="Q859" s="277"/>
      <c r="R859" s="277"/>
      <c r="S859" s="277"/>
      <c r="T859" s="277"/>
      <c r="U859" s="278"/>
      <c r="V859" s="103"/>
      <c r="W859" s="84">
        <f t="shared" si="365"/>
        <v>25</v>
      </c>
      <c r="X859" s="84"/>
      <c r="Y859" s="78">
        <f>SUM(E837:E859)</f>
        <v>24</v>
      </c>
      <c r="Z859" s="72" t="str">
        <f t="shared" si="363"/>
        <v/>
      </c>
      <c r="AA859" s="72" t="str">
        <f t="shared" si="364"/>
        <v/>
      </c>
      <c r="AB859" s="72"/>
      <c r="AC859" s="72">
        <f t="shared" si="349"/>
        <v>1</v>
      </c>
      <c r="AD859" s="72">
        <f t="shared" si="350"/>
        <v>1</v>
      </c>
      <c r="AE859" s="109" t="str">
        <f t="shared" si="351"/>
        <v>0-0</v>
      </c>
      <c r="AF859" s="109" t="str">
        <f t="shared" si="352"/>
        <v>Y</v>
      </c>
      <c r="AG859" s="109" t="str">
        <f t="shared" si="353"/>
        <v>B</v>
      </c>
      <c r="AM859" s="109">
        <f t="shared" si="354"/>
        <v>0</v>
      </c>
      <c r="AN859" s="109">
        <f t="shared" si="355"/>
        <v>0</v>
      </c>
      <c r="AO859" s="109" t="str">
        <f t="shared" si="356"/>
        <v/>
      </c>
      <c r="AQ859" s="109" t="str">
        <f t="shared" si="357"/>
        <v/>
      </c>
      <c r="BA859" s="229">
        <f>MOD(SUM(E837:E860),12)</f>
        <v>0</v>
      </c>
    </row>
    <row r="860" spans="1:53" ht="15.75" thickBot="1" x14ac:dyDescent="0.3">
      <c r="A860" s="88"/>
      <c r="B860" s="66" t="s">
        <v>301</v>
      </c>
      <c r="C860" s="67"/>
      <c r="D860" s="102"/>
      <c r="E860" s="32"/>
      <c r="F860" s="32"/>
      <c r="G860" s="68" t="s">
        <v>277</v>
      </c>
      <c r="H860" s="69">
        <f t="shared" si="358"/>
        <v>0</v>
      </c>
      <c r="I860" s="70">
        <f t="shared" si="359"/>
        <v>0</v>
      </c>
      <c r="J860" s="73" t="str">
        <f t="shared" si="360"/>
        <v>--</v>
      </c>
      <c r="K860" s="32"/>
      <c r="L860" s="233"/>
      <c r="M860" s="277"/>
      <c r="N860" s="277"/>
      <c r="O860" s="277"/>
      <c r="P860" s="277"/>
      <c r="Q860" s="277"/>
      <c r="R860" s="277"/>
      <c r="S860" s="277"/>
      <c r="T860" s="277"/>
      <c r="U860" s="278"/>
      <c r="V860" s="103"/>
      <c r="W860" s="84">
        <f t="shared" si="365"/>
        <v>25</v>
      </c>
      <c r="X860" s="84"/>
      <c r="Y860" s="78">
        <f>SUM(E837:E860)</f>
        <v>24</v>
      </c>
      <c r="Z860" s="72" t="str">
        <f t="shared" si="363"/>
        <v/>
      </c>
      <c r="AA860" s="72" t="str">
        <f t="shared" si="364"/>
        <v/>
      </c>
      <c r="AB860" s="72"/>
      <c r="AC860" s="72">
        <f t="shared" si="349"/>
        <v>1</v>
      </c>
      <c r="AD860" s="72">
        <f t="shared" si="350"/>
        <v>1</v>
      </c>
      <c r="AE860" s="109" t="str">
        <f t="shared" si="351"/>
        <v>0-0</v>
      </c>
      <c r="AF860" s="109" t="str">
        <f t="shared" si="352"/>
        <v>Y</v>
      </c>
      <c r="AG860" s="109" t="str">
        <f t="shared" si="353"/>
        <v>B</v>
      </c>
      <c r="AM860" s="109">
        <f t="shared" si="354"/>
        <v>0</v>
      </c>
      <c r="AN860" s="109">
        <f t="shared" si="355"/>
        <v>0</v>
      </c>
      <c r="AO860" s="109" t="str">
        <f t="shared" si="356"/>
        <v/>
      </c>
      <c r="AQ860" s="109" t="str">
        <f t="shared" si="357"/>
        <v/>
      </c>
      <c r="BA860" s="229">
        <f>MOD(SUM(E837:E861),12)</f>
        <v>0</v>
      </c>
    </row>
    <row r="861" spans="1:53" ht="15.75" thickBot="1" x14ac:dyDescent="0.3">
      <c r="A861" s="88"/>
      <c r="B861" s="66" t="s">
        <v>302</v>
      </c>
      <c r="C861" s="67"/>
      <c r="D861" s="102"/>
      <c r="E861" s="32"/>
      <c r="F861" s="32"/>
      <c r="G861" s="68" t="s">
        <v>277</v>
      </c>
      <c r="H861" s="69">
        <f t="shared" si="358"/>
        <v>0</v>
      </c>
      <c r="I861" s="70">
        <f t="shared" si="359"/>
        <v>0</v>
      </c>
      <c r="J861" s="73" t="str">
        <f t="shared" si="360"/>
        <v>--</v>
      </c>
      <c r="K861" s="32"/>
      <c r="L861" s="234"/>
      <c r="M861" s="277"/>
      <c r="N861" s="277"/>
      <c r="O861" s="277"/>
      <c r="P861" s="277"/>
      <c r="Q861" s="277"/>
      <c r="R861" s="277"/>
      <c r="S861" s="277"/>
      <c r="T861" s="277"/>
      <c r="U861" s="278"/>
      <c r="V861" s="103"/>
      <c r="W861" s="72"/>
      <c r="X861" s="72"/>
      <c r="Y861" s="78">
        <f>SUM(E837:E861)</f>
        <v>24</v>
      </c>
      <c r="Z861" s="72" t="str">
        <f t="shared" si="363"/>
        <v/>
      </c>
      <c r="AA861" s="72" t="str">
        <f t="shared" si="364"/>
        <v/>
      </c>
      <c r="AB861" s="72"/>
      <c r="AC861" s="72">
        <f t="shared" si="349"/>
        <v>1</v>
      </c>
      <c r="AD861" s="72">
        <f t="shared" si="350"/>
        <v>1</v>
      </c>
      <c r="AE861" s="109" t="str">
        <f t="shared" si="351"/>
        <v>0-0</v>
      </c>
      <c r="AF861" s="109" t="str">
        <f t="shared" si="352"/>
        <v>Y</v>
      </c>
      <c r="AG861" s="109" t="str">
        <f t="shared" si="353"/>
        <v>B</v>
      </c>
      <c r="AM861" s="109">
        <f t="shared" si="354"/>
        <v>0</v>
      </c>
      <c r="AN861" s="109">
        <f t="shared" si="355"/>
        <v>0</v>
      </c>
      <c r="AO861" s="109" t="str">
        <f t="shared" si="356"/>
        <v/>
      </c>
      <c r="AQ861" s="109" t="str">
        <f t="shared" si="357"/>
        <v/>
      </c>
      <c r="BA861" s="228"/>
    </row>
    <row r="862" spans="1:53" ht="16.5" thickBot="1" x14ac:dyDescent="0.3">
      <c r="A862" s="88"/>
      <c r="B862" s="319" t="s">
        <v>345</v>
      </c>
      <c r="C862" s="320"/>
      <c r="D862" s="79"/>
      <c r="E862" s="80"/>
      <c r="F862" s="80"/>
      <c r="G862" s="81"/>
      <c r="H862" s="192"/>
      <c r="I862" s="192"/>
      <c r="J862" s="192"/>
      <c r="K862" s="82"/>
      <c r="L862" s="319" t="s">
        <v>306</v>
      </c>
      <c r="M862" s="330"/>
      <c r="N862" s="330"/>
      <c r="O862" s="330"/>
      <c r="P862" s="330"/>
      <c r="Q862" s="330"/>
      <c r="R862" s="330"/>
      <c r="S862" s="330"/>
      <c r="T862" s="330"/>
      <c r="U862" s="320"/>
      <c r="V862" s="104"/>
      <c r="W862" s="72"/>
      <c r="X862" s="72"/>
      <c r="Y862" s="72"/>
      <c r="Z862" s="72"/>
      <c r="AA862" s="72" t="str">
        <f t="shared" si="364"/>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319" t="s">
        <v>307</v>
      </c>
      <c r="C863" s="320"/>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64"/>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312" t="s">
        <v>222</v>
      </c>
      <c r="C867" s="313"/>
      <c r="D867" s="314" t="s">
        <v>223</v>
      </c>
      <c r="E867" s="305"/>
      <c r="F867" s="88"/>
      <c r="G867" s="315" t="s">
        <v>224</v>
      </c>
      <c r="H867" s="316"/>
      <c r="I867" s="28">
        <f>SUM(E878:E902)</f>
        <v>24</v>
      </c>
      <c r="J867" s="317" t="s">
        <v>225</v>
      </c>
      <c r="K867" s="318"/>
      <c r="L867" s="305"/>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5" t="s">
        <v>226</v>
      </c>
      <c r="AA867" s="296"/>
      <c r="AB867" s="297"/>
      <c r="AC867" s="25"/>
      <c r="AD867" s="25"/>
      <c r="AH867" s="109">
        <v>2</v>
      </c>
      <c r="AI867" s="109" t="str">
        <f>IF($E868="SS",COUNTIFS($C878:$C902,"FST",$E878:$E902,"2"),"0")</f>
        <v>0</v>
      </c>
      <c r="AJ867" s="109" t="str">
        <f>IF($E868="RPX",COUNTIFS($C878:$C902,"FST",$E878:$E902,"2"),"0")</f>
        <v>0</v>
      </c>
      <c r="AK867" s="109">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EUC</v>
      </c>
      <c r="F868" s="88"/>
      <c r="G868" s="304" t="s">
        <v>230</v>
      </c>
      <c r="H868" s="305"/>
      <c r="I868" s="33">
        <f>E869-I867</f>
        <v>0</v>
      </c>
      <c r="J868" s="289" t="s">
        <v>231</v>
      </c>
      <c r="K868" s="290"/>
      <c r="L868" s="34">
        <f>I872</f>
        <v>493</v>
      </c>
      <c r="M868" s="196">
        <v>4</v>
      </c>
      <c r="N868" s="35">
        <f>SUM(AI868,AI879)</f>
        <v>0</v>
      </c>
      <c r="O868" s="35">
        <v>0</v>
      </c>
      <c r="P868" s="35">
        <f>SUM(AJ868,AJ879)</f>
        <v>0</v>
      </c>
      <c r="Q868" s="35">
        <v>0</v>
      </c>
      <c r="R868" s="35">
        <f>COUNTIFS($E878:$E902,"4",$F878:$F902,"Pole",$C878:$C902,"FST")</f>
        <v>0</v>
      </c>
      <c r="S868" s="35">
        <f>SUM(AL868,AK879)</f>
        <v>0</v>
      </c>
      <c r="T868" s="35">
        <v>0</v>
      </c>
      <c r="U868" s="35">
        <f>SUM(AK868,AL879)</f>
        <v>2</v>
      </c>
      <c r="V868" s="35">
        <v>0</v>
      </c>
      <c r="W868" s="34">
        <f>COUNTIFS($E878:$E902,"4",$F878:$F902,"HH",$C878:$C902,"FST")</f>
        <v>2</v>
      </c>
      <c r="X868" s="35">
        <f>COUNTIFS($E878:$E902,"4",$F878:$F902,"Ped",$C878:$C902,"FST")</f>
        <v>0</v>
      </c>
      <c r="Y868" s="25"/>
      <c r="Z868" s="298" t="s">
        <v>232</v>
      </c>
      <c r="AA868" s="300" t="s">
        <v>233</v>
      </c>
      <c r="AB868" s="301"/>
      <c r="AC868" s="25"/>
      <c r="AD868" s="25"/>
      <c r="AH868" s="109">
        <v>4</v>
      </c>
      <c r="AI868" s="109" t="str">
        <f>IF($E868="SS",COUNTIFS($C878:$C902,"FST",$E878:$E902,"4"),"0")</f>
        <v>0</v>
      </c>
      <c r="AJ868" s="109" t="str">
        <f>IF($E868="RPX",COUNTIFS($C878:$C902,"FST",$E878:$E902,"4"),"0")</f>
        <v>0</v>
      </c>
      <c r="AK868" s="109">
        <f>IF($E868="EUC",COUNTIFS($C878:$C902,"FST",$E878:$E902,"4"),"0")</f>
        <v>2</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v>24</v>
      </c>
      <c r="F869" s="88"/>
      <c r="G869" s="291" t="s">
        <v>237</v>
      </c>
      <c r="H869" s="292"/>
      <c r="I869" s="35">
        <f>IF(E869=0,0,12-(MOD(I867,12)))</f>
        <v>12</v>
      </c>
      <c r="J869" s="289" t="s">
        <v>238</v>
      </c>
      <c r="K869" s="290"/>
      <c r="L869" s="39">
        <f>I873-I867</f>
        <v>492</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299"/>
      <c r="AA869" s="302"/>
      <c r="AB869" s="303"/>
      <c r="AC869" s="25"/>
      <c r="AD869" s="25"/>
      <c r="AH869" s="109">
        <v>6</v>
      </c>
      <c r="AI869" s="109" t="str">
        <f>IF($E868="SS",COUNTIFS($C878:$C902,"FST",$E878:$E902,"6"),"0")</f>
        <v>0</v>
      </c>
      <c r="AJ869" s="109" t="str">
        <f>IF($E868="RPX",COUNTIFS($C878:$C902,"FST",$E878:$E902,"6"),"0")</f>
        <v>0</v>
      </c>
      <c r="AK869" s="109">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v>0</v>
      </c>
      <c r="F870" s="88"/>
      <c r="G870" s="321" t="s">
        <v>242</v>
      </c>
      <c r="H870" s="43" t="s">
        <v>243</v>
      </c>
      <c r="I870" s="35">
        <f>IF(E870&lt;&gt;0,1,0)</f>
        <v>0</v>
      </c>
      <c r="J870" s="291" t="s">
        <v>244</v>
      </c>
      <c r="K870" s="292"/>
      <c r="L870" s="44">
        <f>'Cable Calculator'!DE3</f>
        <v>1438</v>
      </c>
      <c r="M870" s="196">
        <v>8</v>
      </c>
      <c r="N870" s="35">
        <f>SUM(AI870,AI881)</f>
        <v>0</v>
      </c>
      <c r="O870" s="35">
        <v>0</v>
      </c>
      <c r="P870" s="35">
        <f>SUM(AJ870,AJ881)</f>
        <v>0</v>
      </c>
      <c r="Q870" s="35">
        <v>0</v>
      </c>
      <c r="R870" s="35">
        <f>COUNTIFS($E878:$E902,"8",$F878:$F902,"Pole",$C878:$C902,"FST")</f>
        <v>0</v>
      </c>
      <c r="S870" s="35">
        <f>SUM(AL870,AK881)</f>
        <v>0</v>
      </c>
      <c r="T870" s="35">
        <v>0</v>
      </c>
      <c r="U870" s="35">
        <f>SUM(AK870,AL881)</f>
        <v>2</v>
      </c>
      <c r="V870" s="35">
        <v>0</v>
      </c>
      <c r="W870" s="34">
        <f>COUNTIFS($E878:$E902,"8",$F878:$F902,"HH",$C878:$C902,"FST")</f>
        <v>2</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f>IF($E868="EUC",COUNTIFS($C878:$C902,"FST",$E878:$E902,"8"),"0")</f>
        <v>2</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v>493</v>
      </c>
      <c r="F871" s="88"/>
      <c r="G871" s="322"/>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f>IF($E868="EUC",SUM(AK871,AL882,AM903,AO903,AQ903),"0")</f>
        <v>0</v>
      </c>
      <c r="V871" s="35">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2</v>
      </c>
      <c r="F872" s="88"/>
      <c r="G872" s="321" t="s">
        <v>251</v>
      </c>
      <c r="H872" s="51" t="s">
        <v>252</v>
      </c>
      <c r="I872" s="112">
        <f>E871</f>
        <v>493</v>
      </c>
      <c r="J872" s="323" t="s">
        <v>253</v>
      </c>
      <c r="K872" s="324"/>
      <c r="L872" s="325"/>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N</v>
      </c>
      <c r="F873" s="88"/>
      <c r="G873" s="322"/>
      <c r="H873" s="47" t="s">
        <v>257</v>
      </c>
      <c r="I873" s="35">
        <f>IF(E871="","0",IF(AND(E868="EUC",E869=432), I872+(203-E870),IF(E871=0,0,(E871+(E869-E870)-1))))</f>
        <v>516</v>
      </c>
      <c r="J873" s="285" t="str">
        <f>IFERROR(IF(OR(E868="EUC",E868="SS"),"---",IF(OR(P867,S867),"NO 2F Tethers for RPX!",IF(OR(P869,S869),"NO 6F Tethers for RPX!","---"))),"---")</f>
        <v>---</v>
      </c>
      <c r="K873" s="286"/>
      <c r="L873" s="287"/>
      <c r="M873" s="285" t="str">
        <f>IF(E870&gt;60,"Dead Count &gt;60: Consider Downsize","---")</f>
        <v>---</v>
      </c>
      <c r="N873" s="286"/>
      <c r="O873" s="286"/>
      <c r="P873" s="286"/>
      <c r="Q873" s="286"/>
      <c r="R873" s="286"/>
      <c r="S873" s="286"/>
      <c r="T873" s="286"/>
      <c r="U873" s="287"/>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24</v>
      </c>
      <c r="D874" s="31" t="s">
        <v>259</v>
      </c>
      <c r="E874" s="101" t="str">
        <f>IF(AS868="Y","DBL",IF(AS869="Y","TRPL",IF(AS870="Y","QUAD","")))</f>
        <v/>
      </c>
      <c r="F874" s="88"/>
      <c r="G874" s="192"/>
      <c r="H874" s="57"/>
      <c r="I874" s="192"/>
      <c r="J874" s="285"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86"/>
      <c r="L874" s="287"/>
      <c r="M874" s="285" t="str">
        <f>IF(AND(OR(E868="SS",E868="RPX",E868="EUC",E868="RPX-T"),(OR(C878="",C878="Field SPL"))),"Cannot have FlexNap cables without tethers","---")</f>
        <v>---</v>
      </c>
      <c r="N874" s="286"/>
      <c r="O874" s="286"/>
      <c r="P874" s="286"/>
      <c r="Q874" s="286"/>
      <c r="R874" s="286"/>
      <c r="S874" s="286"/>
      <c r="T874" s="286"/>
      <c r="U874" s="287"/>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85" t="str">
        <f>IF(AND(OR(E868="RPX", E868="RPX-T", E868="SS"),E869=216),"NO 216 For RPX, RPX-T, OR SS CABLE","---")</f>
        <v>---</v>
      </c>
      <c r="K875" s="286"/>
      <c r="L875" s="287"/>
      <c r="M875" s="285" t="str" cm="1">
        <f t="array" ref="M875">IF(AND(E868="",OR(C878:C902="FST",C878:C902="REV T",C878:C902="DBL REV",C878:C902="TPL REV", C878:C902="QD REV")),"Non-FlexNap cables cannot have tethers","---")</f>
        <v>---</v>
      </c>
      <c r="N875" s="286"/>
      <c r="O875" s="286"/>
      <c r="P875" s="286"/>
      <c r="Q875" s="286"/>
      <c r="R875" s="286"/>
      <c r="S875" s="286"/>
      <c r="T875" s="286"/>
      <c r="U875" s="287"/>
      <c r="V875" s="25"/>
      <c r="W875" s="58"/>
      <c r="X875" s="58"/>
      <c r="Y875" s="25"/>
      <c r="Z875" s="45">
        <v>6</v>
      </c>
      <c r="AA875" s="65">
        <v>61</v>
      </c>
      <c r="AB875" s="65">
        <v>72</v>
      </c>
      <c r="AC875" s="25"/>
      <c r="AD875" s="25"/>
      <c r="BA875" s="226"/>
    </row>
    <row r="876" spans="1:53" ht="15.75" customHeight="1" thickBot="1" x14ac:dyDescent="0.3">
      <c r="A876" s="88"/>
      <c r="B876" s="321" t="s">
        <v>260</v>
      </c>
      <c r="C876" s="293" t="s">
        <v>261</v>
      </c>
      <c r="D876" s="293" t="s">
        <v>262</v>
      </c>
      <c r="E876" s="306" t="s">
        <v>263</v>
      </c>
      <c r="F876" s="293" t="s">
        <v>264</v>
      </c>
      <c r="G876" s="308" t="s">
        <v>265</v>
      </c>
      <c r="H876" s="308" t="s">
        <v>266</v>
      </c>
      <c r="I876" s="308" t="s">
        <v>267</v>
      </c>
      <c r="J876" s="310" t="s">
        <v>268</v>
      </c>
      <c r="K876" s="293" t="s">
        <v>269</v>
      </c>
      <c r="L876" s="279" t="s">
        <v>270</v>
      </c>
      <c r="M876" s="281" t="s">
        <v>271</v>
      </c>
      <c r="N876" s="281"/>
      <c r="O876" s="281"/>
      <c r="P876" s="281"/>
      <c r="Q876" s="281"/>
      <c r="R876" s="281"/>
      <c r="S876" s="281"/>
      <c r="T876" s="281"/>
      <c r="U876" s="282"/>
      <c r="V876" s="107"/>
      <c r="W876" s="72"/>
      <c r="X876" s="72"/>
      <c r="Y876" s="72"/>
      <c r="Z876" s="45">
        <v>7</v>
      </c>
      <c r="AA876" s="65">
        <v>73</v>
      </c>
      <c r="AB876" s="65">
        <v>84</v>
      </c>
      <c r="AC876" s="25"/>
      <c r="AD876" s="25"/>
      <c r="BA876" s="228"/>
    </row>
    <row r="877" spans="1:53" ht="15.75" thickBot="1" x14ac:dyDescent="0.3">
      <c r="A877" s="88"/>
      <c r="B877" s="322"/>
      <c r="C877" s="294"/>
      <c r="D877" s="294"/>
      <c r="E877" s="307"/>
      <c r="F877" s="294"/>
      <c r="G877" s="309"/>
      <c r="H877" s="309"/>
      <c r="I877" s="309"/>
      <c r="J877" s="311"/>
      <c r="K877" s="294"/>
      <c r="L877" s="280"/>
      <c r="M877" s="283"/>
      <c r="N877" s="283"/>
      <c r="O877" s="283"/>
      <c r="P877" s="283"/>
      <c r="Q877" s="283"/>
      <c r="R877" s="283"/>
      <c r="S877" s="283"/>
      <c r="T877" s="283"/>
      <c r="U877" s="284"/>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t="s">
        <v>484</v>
      </c>
      <c r="D878" s="102" t="s">
        <v>784</v>
      </c>
      <c r="E878" s="32">
        <v>8</v>
      </c>
      <c r="F878" s="32" t="s">
        <v>488</v>
      </c>
      <c r="G878" s="68" t="s">
        <v>277</v>
      </c>
      <c r="H878" s="69">
        <f>IF(I878=0,0,I878-(E878-1))</f>
        <v>509</v>
      </c>
      <c r="I878" s="70">
        <f>IF(E878=0,0,I873)</f>
        <v>516</v>
      </c>
      <c r="J878" s="71" t="s">
        <v>278</v>
      </c>
      <c r="K878" s="32"/>
      <c r="L878" s="233"/>
      <c r="M878" s="277"/>
      <c r="N878" s="277"/>
      <c r="O878" s="277"/>
      <c r="P878" s="277"/>
      <c r="Q878" s="277"/>
      <c r="R878" s="277"/>
      <c r="S878" s="277"/>
      <c r="T878" s="277"/>
      <c r="U878" s="278"/>
      <c r="V878" s="103"/>
      <c r="W878" s="72"/>
      <c r="X878" s="72"/>
      <c r="Y878" s="72"/>
      <c r="Z878" s="45">
        <v>9</v>
      </c>
      <c r="AA878" s="46">
        <v>97</v>
      </c>
      <c r="AB878" s="46">
        <v>108</v>
      </c>
      <c r="AC878" s="72">
        <f t="shared" ref="AC878:AC902" si="366">IF(B878&lt;&gt;"FST",1,0)</f>
        <v>1</v>
      </c>
      <c r="AD878" s="72">
        <f t="shared" ref="AD878:AD902" si="367">IF(C878&lt;&gt;"FST",1,0)</f>
        <v>0</v>
      </c>
      <c r="AE878" s="109" t="str">
        <f t="shared" ref="AE878:AE902" si="368">CONCATENATE(H878,"-",I878)</f>
        <v>509-516</v>
      </c>
      <c r="AF878" s="109" t="str">
        <f t="shared" ref="AF878:AF902" si="369">IF(C878="Field SPL","N","Y")</f>
        <v>Y</v>
      </c>
      <c r="AG878" s="109" t="str">
        <f t="shared" ref="AG878:AG902" si="370">IF(OR(E$868="RPX",E$868="SS"),"A","B")</f>
        <v>B</v>
      </c>
      <c r="AH878" s="109">
        <v>2</v>
      </c>
      <c r="AI878" s="109" t="str">
        <f>IF(E868="SS",COUNTIFS(C878:C902,"TCF",E878:E902,"2"),"")</f>
        <v/>
      </c>
      <c r="AJ878" s="109" t="str">
        <f>IF(E868="RPX",COUNTIFS(C878:C902,"TCF",E878:E902,"2"),"")</f>
        <v/>
      </c>
      <c r="AK878" s="109" t="str">
        <f>IF(E868="RPX-T",COUNTIFS(C878:C902,"TCF",E878:E902,"2"),"")</f>
        <v/>
      </c>
      <c r="AL878" s="109">
        <f>IF(E868="EUC",COUNTIFS(C878:C902,"TCF",E878:E902,"2"),"")</f>
        <v>0</v>
      </c>
      <c r="AM878" s="109">
        <f t="shared" ref="AM878:AM902" si="371">VALUE(IF(C878="FST","0",IF(C878="REV T","1",IF(C878="DBL REV",".5","0"))))</f>
        <v>0</v>
      </c>
      <c r="AN878" s="109">
        <f t="shared" ref="AN878:AN902" si="372">VALUE(IF(C878="FST","0",IF(C878="REV T","0",IF(C878="DBL REV",".5","0"))))</f>
        <v>0</v>
      </c>
      <c r="AO878" s="109" t="str">
        <f t="shared" ref="AO878:AO902" si="373">IF(C878="TPL REV","Y","")</f>
        <v/>
      </c>
      <c r="AQ878" s="109" t="str">
        <f t="shared" ref="AQ878:AQ902" si="374">IF(C878="QD REV","Y","")</f>
        <v/>
      </c>
      <c r="BA878" s="229">
        <f>MOD(E878,12)</f>
        <v>8</v>
      </c>
    </row>
    <row r="879" spans="1:53" ht="15.75" thickBot="1" x14ac:dyDescent="0.3">
      <c r="A879" s="88"/>
      <c r="B879" s="66" t="s">
        <v>279</v>
      </c>
      <c r="C879" s="67" t="s">
        <v>484</v>
      </c>
      <c r="D879" s="102" t="s">
        <v>785</v>
      </c>
      <c r="E879" s="32">
        <v>8</v>
      </c>
      <c r="F879" s="32" t="s">
        <v>488</v>
      </c>
      <c r="G879" s="68" t="s">
        <v>277</v>
      </c>
      <c r="H879" s="69">
        <f t="shared" ref="H879:H902" si="375">IF(E879=0,0,I879-(E879-1))</f>
        <v>501</v>
      </c>
      <c r="I879" s="70">
        <f t="shared" ref="I879:I902" si="376">IF(E879=0,0,H878-1)</f>
        <v>508</v>
      </c>
      <c r="J879" s="73" t="str">
        <f>IF(C879="","--",IF(AND(C879&lt;&gt;"FST",C879&lt;&gt;"TCF",BA878&lt;&gt;0),BA878,"--"))</f>
        <v>--</v>
      </c>
      <c r="K879" s="32">
        <v>200</v>
      </c>
      <c r="L879" s="233"/>
      <c r="M879" s="277"/>
      <c r="N879" s="277"/>
      <c r="O879" s="277"/>
      <c r="P879" s="277"/>
      <c r="Q879" s="277"/>
      <c r="R879" s="277"/>
      <c r="S879" s="277"/>
      <c r="T879" s="277"/>
      <c r="U879" s="278"/>
      <c r="V879" s="103"/>
      <c r="W879" s="72"/>
      <c r="X879" s="72"/>
      <c r="Y879" s="72"/>
      <c r="Z879" s="45">
        <v>10</v>
      </c>
      <c r="AA879" s="46">
        <v>109</v>
      </c>
      <c r="AB879" s="46">
        <v>120</v>
      </c>
      <c r="AC879" s="72">
        <f t="shared" si="366"/>
        <v>1</v>
      </c>
      <c r="AD879" s="72">
        <f t="shared" si="367"/>
        <v>0</v>
      </c>
      <c r="AE879" s="109" t="str">
        <f t="shared" si="368"/>
        <v>501-508</v>
      </c>
      <c r="AF879" s="109" t="str">
        <f t="shared" si="369"/>
        <v>Y</v>
      </c>
      <c r="AG879" s="109" t="str">
        <f t="shared" si="370"/>
        <v>B</v>
      </c>
      <c r="AH879" s="109">
        <v>4</v>
      </c>
      <c r="AI879" s="109" t="str">
        <f>IF(E868="SS",COUNTIFS(C878:C902,"TCF",E878:E902,"4"),"")</f>
        <v/>
      </c>
      <c r="AJ879" s="109" t="str">
        <f>IF(E868="RPX",COUNTIFS(C878:C902,"TCF",E878:E902,"4"),"")</f>
        <v/>
      </c>
      <c r="AK879" s="109" t="str">
        <f>IF(E868="RPX-T",COUNTIFS(C878:C902,"TCF",E878:E902,"4"),"")</f>
        <v/>
      </c>
      <c r="AL879" s="109">
        <f>IF(E868="EUC",COUNTIFS(C878:C902,"TCF",E878:E902,"4"),"")</f>
        <v>0</v>
      </c>
      <c r="AM879" s="109">
        <f t="shared" si="371"/>
        <v>0</v>
      </c>
      <c r="AN879" s="109">
        <f t="shared" si="372"/>
        <v>0</v>
      </c>
      <c r="AO879" s="109" t="str">
        <f t="shared" si="373"/>
        <v/>
      </c>
      <c r="AQ879" s="109" t="str">
        <f t="shared" si="374"/>
        <v/>
      </c>
      <c r="BA879" s="229">
        <f>MOD(SUM(E878:E879),12)</f>
        <v>4</v>
      </c>
    </row>
    <row r="880" spans="1:53" ht="15.75" thickBot="1" x14ac:dyDescent="0.3">
      <c r="A880" s="88"/>
      <c r="B880" s="74" t="s">
        <v>280</v>
      </c>
      <c r="C880" s="67" t="s">
        <v>484</v>
      </c>
      <c r="D880" s="102" t="s">
        <v>786</v>
      </c>
      <c r="E880" s="32">
        <v>4</v>
      </c>
      <c r="F880" s="32" t="s">
        <v>488</v>
      </c>
      <c r="G880" s="75" t="s">
        <v>277</v>
      </c>
      <c r="H880" s="69">
        <f t="shared" si="375"/>
        <v>497</v>
      </c>
      <c r="I880" s="70">
        <f t="shared" si="376"/>
        <v>500</v>
      </c>
      <c r="J880" s="73" t="str">
        <f t="shared" ref="J880:J902" si="377">IF(C880="","--",IF(AND(C880&lt;&gt;"FST",C880&lt;&gt;"TCF",BA879&lt;&gt;0),BA879,"--"))</f>
        <v>--</v>
      </c>
      <c r="K880" s="32"/>
      <c r="L880" s="233"/>
      <c r="M880" s="277"/>
      <c r="N880" s="277"/>
      <c r="O880" s="277"/>
      <c r="P880" s="277"/>
      <c r="Q880" s="277"/>
      <c r="R880" s="277"/>
      <c r="S880" s="277"/>
      <c r="T880" s="277"/>
      <c r="U880" s="278"/>
      <c r="V880" s="103"/>
      <c r="W880" s="72"/>
      <c r="X880" s="72"/>
      <c r="Y880" s="72"/>
      <c r="Z880" s="45">
        <v>11</v>
      </c>
      <c r="AA880" s="46">
        <v>121</v>
      </c>
      <c r="AB880" s="46">
        <v>132</v>
      </c>
      <c r="AC880" s="72">
        <f t="shared" si="366"/>
        <v>1</v>
      </c>
      <c r="AD880" s="72">
        <f t="shared" si="367"/>
        <v>0</v>
      </c>
      <c r="AE880" s="109" t="str">
        <f t="shared" si="368"/>
        <v>497-500</v>
      </c>
      <c r="AF880" s="109" t="str">
        <f t="shared" si="369"/>
        <v>Y</v>
      </c>
      <c r="AG880" s="109" t="str">
        <f t="shared" si="370"/>
        <v>B</v>
      </c>
      <c r="AH880" s="109">
        <v>6</v>
      </c>
      <c r="AI880" s="109" t="str">
        <f>IF(E868="SS",COUNTIFS(C878:C902,"TCF",E878:E902,"6"),"")</f>
        <v/>
      </c>
      <c r="AJ880" s="109" t="str">
        <f>IF(E868="RPX",COUNTIFS(C878:C902,"TCF",E878:E902,"6"),"")</f>
        <v/>
      </c>
      <c r="AK880" s="109" t="str">
        <f>IF(E868="RPX-T",COUNTIFS(C878:C902,"TCF",E878:E902,"6"),"")</f>
        <v/>
      </c>
      <c r="AL880" s="109">
        <f>IF(E868="EUC",COUNTIFS(C878:C902,"TCF",E878:E902,"6"),"")</f>
        <v>0</v>
      </c>
      <c r="AM880" s="109">
        <f t="shared" si="371"/>
        <v>0</v>
      </c>
      <c r="AN880" s="109">
        <f t="shared" si="372"/>
        <v>0</v>
      </c>
      <c r="AO880" s="109" t="str">
        <f t="shared" si="373"/>
        <v/>
      </c>
      <c r="AQ880" s="109" t="str">
        <f t="shared" si="374"/>
        <v/>
      </c>
      <c r="BA880" s="229">
        <f>MOD(SUM(E878:E881),12)</f>
        <v>0</v>
      </c>
    </row>
    <row r="881" spans="1:53" ht="15.75" thickBot="1" x14ac:dyDescent="0.3">
      <c r="A881" s="88"/>
      <c r="B881" s="66" t="s">
        <v>281</v>
      </c>
      <c r="C881" s="67" t="s">
        <v>484</v>
      </c>
      <c r="D881" s="102" t="s">
        <v>787</v>
      </c>
      <c r="E881" s="32">
        <v>4</v>
      </c>
      <c r="F881" s="32" t="s">
        <v>488</v>
      </c>
      <c r="G881" s="68" t="s">
        <v>277</v>
      </c>
      <c r="H881" s="69">
        <f t="shared" si="375"/>
        <v>493</v>
      </c>
      <c r="I881" s="70">
        <f t="shared" si="376"/>
        <v>496</v>
      </c>
      <c r="J881" s="73" t="str">
        <f t="shared" si="377"/>
        <v>--</v>
      </c>
      <c r="K881" s="32"/>
      <c r="L881" s="233"/>
      <c r="M881" s="277"/>
      <c r="N881" s="277"/>
      <c r="O881" s="277"/>
      <c r="P881" s="277"/>
      <c r="Q881" s="277"/>
      <c r="R881" s="277"/>
      <c r="S881" s="277"/>
      <c r="T881" s="277"/>
      <c r="U881" s="278"/>
      <c r="V881" s="103"/>
      <c r="W881" s="72"/>
      <c r="X881" s="72"/>
      <c r="Y881" s="72"/>
      <c r="Z881" s="45">
        <v>12</v>
      </c>
      <c r="AA881" s="76">
        <v>133</v>
      </c>
      <c r="AB881" s="76">
        <v>144</v>
      </c>
      <c r="AC881" s="72">
        <f t="shared" si="366"/>
        <v>1</v>
      </c>
      <c r="AD881" s="72">
        <f t="shared" si="367"/>
        <v>0</v>
      </c>
      <c r="AE881" s="109" t="str">
        <f t="shared" si="368"/>
        <v>493-496</v>
      </c>
      <c r="AF881" s="109" t="str">
        <f t="shared" si="369"/>
        <v>Y</v>
      </c>
      <c r="AG881" s="109" t="str">
        <f t="shared" si="370"/>
        <v>B</v>
      </c>
      <c r="AH881" s="109">
        <v>8</v>
      </c>
      <c r="AI881" s="109" t="str">
        <f>IF(E868="SS",COUNTIFS(C878:C902,"TCF",E878:E902,"8"),"")</f>
        <v/>
      </c>
      <c r="AJ881" s="109" t="str">
        <f>IF(E868="RPX",COUNTIFS(C878:C902,"TCF",E878:E902,"8"),"")</f>
        <v/>
      </c>
      <c r="AK881" s="109" t="str">
        <f>IF(E868="RPX-T",COUNTIFS(C878:C902,"TCF",E878:E902,"8"),"")</f>
        <v/>
      </c>
      <c r="AL881" s="109">
        <f>IF(E868="EUC",COUNTIFS(C878:C902,"TCF",E878:E902,"8"),"")</f>
        <v>0</v>
      </c>
      <c r="AM881" s="109">
        <f t="shared" si="371"/>
        <v>0</v>
      </c>
      <c r="AN881" s="109">
        <f t="shared" si="372"/>
        <v>0</v>
      </c>
      <c r="AO881" s="109" t="str">
        <f t="shared" si="373"/>
        <v/>
      </c>
      <c r="AQ881" s="109" t="str">
        <f t="shared" si="374"/>
        <v/>
      </c>
      <c r="BA881" s="229">
        <f>MOD(SUM(E878:E882),12)</f>
        <v>0</v>
      </c>
    </row>
    <row r="882" spans="1:53" ht="15.75" thickBot="1" x14ac:dyDescent="0.3">
      <c r="A882" s="88"/>
      <c r="B882" s="66" t="s">
        <v>282</v>
      </c>
      <c r="C882" s="67"/>
      <c r="D882" s="102"/>
      <c r="E882" s="32"/>
      <c r="F882" s="32"/>
      <c r="G882" s="68" t="s">
        <v>277</v>
      </c>
      <c r="H882" s="69">
        <f t="shared" si="375"/>
        <v>0</v>
      </c>
      <c r="I882" s="70">
        <f t="shared" si="376"/>
        <v>0</v>
      </c>
      <c r="J882" s="73" t="str">
        <f t="shared" si="377"/>
        <v>--</v>
      </c>
      <c r="K882" s="32"/>
      <c r="L882" s="233"/>
      <c r="M882" s="277"/>
      <c r="N882" s="277"/>
      <c r="O882" s="277"/>
      <c r="P882" s="277"/>
      <c r="Q882" s="277"/>
      <c r="R882" s="277"/>
      <c r="S882" s="277"/>
      <c r="T882" s="277"/>
      <c r="U882" s="278"/>
      <c r="V882" s="103"/>
      <c r="W882" s="72"/>
      <c r="X882" s="72"/>
      <c r="Y882" s="72"/>
      <c r="Z882" s="45">
        <v>13</v>
      </c>
      <c r="AA882" s="77">
        <f t="shared" ref="AA882:AA887" si="378">AB881+1</f>
        <v>145</v>
      </c>
      <c r="AB882" s="77">
        <f t="shared" ref="AB882:AB887" si="379">AB881+12</f>
        <v>156</v>
      </c>
      <c r="AC882" s="72">
        <f t="shared" si="366"/>
        <v>1</v>
      </c>
      <c r="AD882" s="72">
        <f t="shared" si="367"/>
        <v>1</v>
      </c>
      <c r="AE882" s="109" t="str">
        <f t="shared" si="368"/>
        <v>0-0</v>
      </c>
      <c r="AF882" s="109" t="str">
        <f t="shared" si="369"/>
        <v>Y</v>
      </c>
      <c r="AG882" s="109" t="str">
        <f t="shared" si="370"/>
        <v>B</v>
      </c>
      <c r="AH882" s="109">
        <v>12</v>
      </c>
      <c r="AI882" s="109" t="str">
        <f>IF(E868="SS",COUNTIFS(C878:C902,"TCF",E878:E902,"12"),"")</f>
        <v/>
      </c>
      <c r="AJ882" s="109" t="str">
        <f>IF(E868="RPX",COUNTIFS(C878:C902,"TCF",E878:E902,"12"),"")</f>
        <v/>
      </c>
      <c r="AK882" s="109" t="str">
        <f>IF(E868="RPX-T",COUNTIFS(C878:C902,"TCF",E878:E902,"12"),"")</f>
        <v/>
      </c>
      <c r="AL882" s="109">
        <f>IF(E868="EUC",COUNTIFS(C878:C902,"TCF",E878:E902,"12"),"")</f>
        <v>0</v>
      </c>
      <c r="AM882" s="109">
        <f t="shared" si="371"/>
        <v>0</v>
      </c>
      <c r="AN882" s="109">
        <f t="shared" si="372"/>
        <v>0</v>
      </c>
      <c r="AO882" s="109" t="str">
        <f t="shared" si="373"/>
        <v/>
      </c>
      <c r="AQ882" s="109" t="str">
        <f t="shared" si="374"/>
        <v/>
      </c>
      <c r="BA882" s="229">
        <f>MOD(SUM(E878:E883),12)</f>
        <v>0</v>
      </c>
    </row>
    <row r="883" spans="1:53" ht="15.75" thickBot="1" x14ac:dyDescent="0.3">
      <c r="A883" s="88"/>
      <c r="B883" s="66" t="s">
        <v>283</v>
      </c>
      <c r="C883" s="67"/>
      <c r="D883" s="102"/>
      <c r="E883" s="32"/>
      <c r="F883" s="32"/>
      <c r="G883" s="68" t="s">
        <v>277</v>
      </c>
      <c r="H883" s="69">
        <f t="shared" si="375"/>
        <v>0</v>
      </c>
      <c r="I883" s="70">
        <f t="shared" si="376"/>
        <v>0</v>
      </c>
      <c r="J883" s="73" t="str">
        <f t="shared" si="377"/>
        <v>--</v>
      </c>
      <c r="K883" s="32"/>
      <c r="L883" s="233"/>
      <c r="M883" s="277"/>
      <c r="N883" s="277"/>
      <c r="O883" s="277"/>
      <c r="P883" s="277"/>
      <c r="Q883" s="277"/>
      <c r="R883" s="277"/>
      <c r="S883" s="277"/>
      <c r="T883" s="277"/>
      <c r="U883" s="278"/>
      <c r="V883" s="103"/>
      <c r="W883" s="72"/>
      <c r="X883" s="72"/>
      <c r="Y883" s="72"/>
      <c r="Z883" s="45">
        <v>14</v>
      </c>
      <c r="AA883" s="77">
        <f t="shared" si="378"/>
        <v>157</v>
      </c>
      <c r="AB883" s="77">
        <f t="shared" si="379"/>
        <v>168</v>
      </c>
      <c r="AC883" s="72">
        <f t="shared" si="366"/>
        <v>1</v>
      </c>
      <c r="AD883" s="72">
        <f t="shared" si="367"/>
        <v>1</v>
      </c>
      <c r="AE883" s="109" t="str">
        <f t="shared" si="368"/>
        <v>0-0</v>
      </c>
      <c r="AF883" s="109" t="str">
        <f t="shared" si="369"/>
        <v>Y</v>
      </c>
      <c r="AG883" s="109" t="str">
        <f t="shared" si="370"/>
        <v>B</v>
      </c>
      <c r="AM883" s="109">
        <f t="shared" si="371"/>
        <v>0</v>
      </c>
      <c r="AN883" s="109">
        <f t="shared" si="372"/>
        <v>0</v>
      </c>
      <c r="AO883" s="109" t="str">
        <f t="shared" si="373"/>
        <v/>
      </c>
      <c r="AQ883" s="109" t="str">
        <f t="shared" si="374"/>
        <v/>
      </c>
      <c r="BA883" s="229">
        <f>MOD(SUM(E878:E884),12)</f>
        <v>0</v>
      </c>
    </row>
    <row r="884" spans="1:53" ht="15.75" thickBot="1" x14ac:dyDescent="0.3">
      <c r="A884" s="88"/>
      <c r="B884" s="66" t="s">
        <v>284</v>
      </c>
      <c r="C884" s="67"/>
      <c r="D884" s="102"/>
      <c r="E884" s="32"/>
      <c r="F884" s="32"/>
      <c r="G884" s="68" t="s">
        <v>277</v>
      </c>
      <c r="H884" s="69">
        <f t="shared" si="375"/>
        <v>0</v>
      </c>
      <c r="I884" s="70">
        <f t="shared" si="376"/>
        <v>0</v>
      </c>
      <c r="J884" s="73" t="str">
        <f t="shared" si="377"/>
        <v>--</v>
      </c>
      <c r="K884" s="32"/>
      <c r="L884" s="233"/>
      <c r="M884" s="277"/>
      <c r="N884" s="277"/>
      <c r="O884" s="277"/>
      <c r="P884" s="277"/>
      <c r="Q884" s="277"/>
      <c r="R884" s="277"/>
      <c r="S884" s="277"/>
      <c r="T884" s="277"/>
      <c r="U884" s="278"/>
      <c r="V884" s="103"/>
      <c r="W884" s="72"/>
      <c r="X884" s="72"/>
      <c r="Y884" s="72"/>
      <c r="Z884" s="45">
        <v>15</v>
      </c>
      <c r="AA884" s="77">
        <f t="shared" si="378"/>
        <v>169</v>
      </c>
      <c r="AB884" s="77">
        <f t="shared" si="379"/>
        <v>180</v>
      </c>
      <c r="AC884" s="72">
        <f t="shared" si="366"/>
        <v>1</v>
      </c>
      <c r="AD884" s="72">
        <f t="shared" si="367"/>
        <v>1</v>
      </c>
      <c r="AE884" s="109" t="str">
        <f t="shared" si="368"/>
        <v>0-0</v>
      </c>
      <c r="AF884" s="109" t="str">
        <f t="shared" si="369"/>
        <v>Y</v>
      </c>
      <c r="AG884" s="109" t="str">
        <f t="shared" si="370"/>
        <v>B</v>
      </c>
      <c r="AM884" s="109">
        <f t="shared" si="371"/>
        <v>0</v>
      </c>
      <c r="AN884" s="109">
        <f t="shared" si="372"/>
        <v>0</v>
      </c>
      <c r="AO884" s="109" t="str">
        <f t="shared" si="373"/>
        <v/>
      </c>
      <c r="AQ884" s="109" t="str">
        <f t="shared" si="374"/>
        <v/>
      </c>
      <c r="BA884" s="229">
        <f>MOD(SUM(E878:E885),12)</f>
        <v>0</v>
      </c>
    </row>
    <row r="885" spans="1:53" ht="15.75" thickBot="1" x14ac:dyDescent="0.3">
      <c r="A885" s="88"/>
      <c r="B885" s="66" t="s">
        <v>285</v>
      </c>
      <c r="C885" s="67"/>
      <c r="D885" s="102"/>
      <c r="E885" s="32"/>
      <c r="F885" s="32"/>
      <c r="G885" s="68" t="s">
        <v>277</v>
      </c>
      <c r="H885" s="69">
        <f t="shared" si="375"/>
        <v>0</v>
      </c>
      <c r="I885" s="70">
        <f t="shared" si="376"/>
        <v>0</v>
      </c>
      <c r="J885" s="73" t="str">
        <f t="shared" si="377"/>
        <v>--</v>
      </c>
      <c r="K885" s="32"/>
      <c r="L885" s="233"/>
      <c r="M885" s="277"/>
      <c r="N885" s="277"/>
      <c r="O885" s="277"/>
      <c r="P885" s="277"/>
      <c r="Q885" s="277"/>
      <c r="R885" s="277"/>
      <c r="S885" s="277"/>
      <c r="T885" s="277"/>
      <c r="U885" s="278"/>
      <c r="V885" s="103"/>
      <c r="W885" s="72"/>
      <c r="X885" s="72"/>
      <c r="Y885" s="72"/>
      <c r="Z885" s="45">
        <f>Z884+1</f>
        <v>16</v>
      </c>
      <c r="AA885" s="77">
        <f t="shared" si="378"/>
        <v>181</v>
      </c>
      <c r="AB885" s="77">
        <f t="shared" si="379"/>
        <v>192</v>
      </c>
      <c r="AC885" s="72">
        <f t="shared" si="366"/>
        <v>1</v>
      </c>
      <c r="AD885" s="72">
        <f t="shared" si="367"/>
        <v>1</v>
      </c>
      <c r="AE885" s="109" t="str">
        <f t="shared" si="368"/>
        <v>0-0</v>
      </c>
      <c r="AF885" s="109" t="str">
        <f t="shared" si="369"/>
        <v>Y</v>
      </c>
      <c r="AG885" s="109" t="str">
        <f t="shared" si="370"/>
        <v>B</v>
      </c>
      <c r="AM885" s="109">
        <f t="shared" si="371"/>
        <v>0</v>
      </c>
      <c r="AN885" s="109">
        <f t="shared" si="372"/>
        <v>0</v>
      </c>
      <c r="AO885" s="109" t="str">
        <f t="shared" si="373"/>
        <v/>
      </c>
      <c r="AQ885" s="109" t="str">
        <f t="shared" si="374"/>
        <v/>
      </c>
      <c r="BA885" s="229">
        <f>MOD(SUM(E878:E886),12)</f>
        <v>0</v>
      </c>
    </row>
    <row r="886" spans="1:53" ht="15.75" thickBot="1" x14ac:dyDescent="0.3">
      <c r="A886" s="88"/>
      <c r="B886" s="66" t="s">
        <v>286</v>
      </c>
      <c r="C886" s="67"/>
      <c r="D886" s="102"/>
      <c r="E886" s="32"/>
      <c r="F886" s="32"/>
      <c r="G886" s="68" t="s">
        <v>277</v>
      </c>
      <c r="H886" s="69">
        <f t="shared" si="375"/>
        <v>0</v>
      </c>
      <c r="I886" s="70">
        <f t="shared" si="376"/>
        <v>0</v>
      </c>
      <c r="J886" s="73" t="str">
        <f t="shared" si="377"/>
        <v>--</v>
      </c>
      <c r="K886" s="32"/>
      <c r="L886" s="233"/>
      <c r="M886" s="277"/>
      <c r="N886" s="277"/>
      <c r="O886" s="277"/>
      <c r="P886" s="277"/>
      <c r="Q886" s="277"/>
      <c r="R886" s="277"/>
      <c r="S886" s="277"/>
      <c r="T886" s="277"/>
      <c r="U886" s="278"/>
      <c r="V886" s="103"/>
      <c r="W886" s="72"/>
      <c r="X886" s="72"/>
      <c r="Y886" s="72"/>
      <c r="Z886" s="45">
        <f>Z885+1</f>
        <v>17</v>
      </c>
      <c r="AA886" s="77">
        <f t="shared" si="378"/>
        <v>193</v>
      </c>
      <c r="AB886" s="77">
        <f t="shared" si="379"/>
        <v>204</v>
      </c>
      <c r="AC886" s="72">
        <f t="shared" si="366"/>
        <v>1</v>
      </c>
      <c r="AD886" s="72">
        <f t="shared" si="367"/>
        <v>1</v>
      </c>
      <c r="AE886" s="109" t="str">
        <f t="shared" si="368"/>
        <v>0-0</v>
      </c>
      <c r="AF886" s="109" t="str">
        <f t="shared" si="369"/>
        <v>Y</v>
      </c>
      <c r="AG886" s="109" t="str">
        <f t="shared" si="370"/>
        <v>B</v>
      </c>
      <c r="AM886" s="109">
        <f t="shared" si="371"/>
        <v>0</v>
      </c>
      <c r="AN886" s="109">
        <f t="shared" si="372"/>
        <v>0</v>
      </c>
      <c r="AO886" s="109" t="str">
        <f t="shared" si="373"/>
        <v/>
      </c>
      <c r="AQ886" s="109" t="str">
        <f t="shared" si="374"/>
        <v/>
      </c>
      <c r="BA886" s="229">
        <f>MOD(SUM(E878:E887),12)</f>
        <v>0</v>
      </c>
    </row>
    <row r="887" spans="1:53" ht="15.75" thickBot="1" x14ac:dyDescent="0.3">
      <c r="A887" s="88"/>
      <c r="B887" s="66" t="s">
        <v>287</v>
      </c>
      <c r="C887" s="67"/>
      <c r="D887" s="102"/>
      <c r="E887" s="32"/>
      <c r="F887" s="32"/>
      <c r="G887" s="68" t="s">
        <v>277</v>
      </c>
      <c r="H887" s="69">
        <f t="shared" si="375"/>
        <v>0</v>
      </c>
      <c r="I887" s="70">
        <f t="shared" si="376"/>
        <v>0</v>
      </c>
      <c r="J887" s="73" t="str">
        <f t="shared" si="377"/>
        <v>--</v>
      </c>
      <c r="K887" s="32"/>
      <c r="L887" s="233"/>
      <c r="M887" s="277"/>
      <c r="N887" s="277"/>
      <c r="O887" s="277"/>
      <c r="P887" s="277"/>
      <c r="Q887" s="277"/>
      <c r="R887" s="277"/>
      <c r="S887" s="277"/>
      <c r="T887" s="277"/>
      <c r="U887" s="278"/>
      <c r="V887" s="103"/>
      <c r="W887" s="72"/>
      <c r="X887" s="72"/>
      <c r="Y887" s="72"/>
      <c r="Z887" s="45">
        <f>Z886+1</f>
        <v>18</v>
      </c>
      <c r="AA887" s="77">
        <f t="shared" si="378"/>
        <v>205</v>
      </c>
      <c r="AB887" s="77">
        <f t="shared" si="379"/>
        <v>216</v>
      </c>
      <c r="AC887" s="72">
        <f t="shared" si="366"/>
        <v>1</v>
      </c>
      <c r="AD887" s="72">
        <f t="shared" si="367"/>
        <v>1</v>
      </c>
      <c r="AE887" s="109" t="str">
        <f t="shared" si="368"/>
        <v>0-0</v>
      </c>
      <c r="AF887" s="109" t="str">
        <f t="shared" si="369"/>
        <v>Y</v>
      </c>
      <c r="AG887" s="109" t="str">
        <f t="shared" si="370"/>
        <v>B</v>
      </c>
      <c r="AM887" s="109">
        <f t="shared" si="371"/>
        <v>0</v>
      </c>
      <c r="AN887" s="109">
        <f t="shared" si="372"/>
        <v>0</v>
      </c>
      <c r="AO887" s="109" t="str">
        <f t="shared" si="373"/>
        <v/>
      </c>
      <c r="AQ887" s="109" t="str">
        <f t="shared" si="374"/>
        <v/>
      </c>
      <c r="BA887" s="229">
        <f>MOD(SUM(E878:E888),12)</f>
        <v>0</v>
      </c>
    </row>
    <row r="888" spans="1:53" ht="15.75" thickBot="1" x14ac:dyDescent="0.3">
      <c r="A888" s="88"/>
      <c r="B888" s="66" t="s">
        <v>288</v>
      </c>
      <c r="C888" s="67"/>
      <c r="D888" s="102"/>
      <c r="E888" s="32"/>
      <c r="F888" s="32"/>
      <c r="G888" s="68" t="s">
        <v>277</v>
      </c>
      <c r="H888" s="69">
        <f t="shared" si="375"/>
        <v>0</v>
      </c>
      <c r="I888" s="70">
        <f t="shared" si="376"/>
        <v>0</v>
      </c>
      <c r="J888" s="73" t="str">
        <f t="shared" si="377"/>
        <v>--</v>
      </c>
      <c r="K888" s="32"/>
      <c r="L888" s="233"/>
      <c r="M888" s="277"/>
      <c r="N888" s="277"/>
      <c r="O888" s="277"/>
      <c r="P888" s="277"/>
      <c r="Q888" s="277"/>
      <c r="R888" s="277"/>
      <c r="S888" s="277"/>
      <c r="T888" s="277"/>
      <c r="U888" s="278"/>
      <c r="V888" s="103"/>
      <c r="W888" s="84"/>
      <c r="X888" s="84"/>
      <c r="Y888" s="72"/>
      <c r="Z888" s="72"/>
      <c r="AA888" s="72"/>
      <c r="AB888" s="72"/>
      <c r="AC888" s="72">
        <f t="shared" si="366"/>
        <v>1</v>
      </c>
      <c r="AD888" s="72">
        <f t="shared" si="367"/>
        <v>1</v>
      </c>
      <c r="AE888" s="109" t="str">
        <f t="shared" si="368"/>
        <v>0-0</v>
      </c>
      <c r="AF888" s="109" t="str">
        <f t="shared" si="369"/>
        <v>Y</v>
      </c>
      <c r="AG888" s="109" t="str">
        <f t="shared" si="370"/>
        <v>B</v>
      </c>
      <c r="AM888" s="109">
        <f t="shared" si="371"/>
        <v>0</v>
      </c>
      <c r="AN888" s="109">
        <f t="shared" si="372"/>
        <v>0</v>
      </c>
      <c r="AO888" s="109" t="str">
        <f t="shared" si="373"/>
        <v/>
      </c>
      <c r="AQ888" s="109" t="str">
        <f t="shared" si="374"/>
        <v/>
      </c>
      <c r="BA888" s="229">
        <f>MOD(SUM(E878:E889),12)</f>
        <v>0</v>
      </c>
    </row>
    <row r="889" spans="1:53" ht="15.75" thickBot="1" x14ac:dyDescent="0.3">
      <c r="A889" s="88"/>
      <c r="B889" s="66" t="s">
        <v>289</v>
      </c>
      <c r="C889" s="67"/>
      <c r="D889" s="102"/>
      <c r="E889" s="32"/>
      <c r="F889" s="32"/>
      <c r="G889" s="68" t="s">
        <v>277</v>
      </c>
      <c r="H889" s="69">
        <f t="shared" si="375"/>
        <v>0</v>
      </c>
      <c r="I889" s="70">
        <f t="shared" si="376"/>
        <v>0</v>
      </c>
      <c r="J889" s="73" t="str">
        <f t="shared" si="377"/>
        <v>--</v>
      </c>
      <c r="K889" s="32"/>
      <c r="L889" s="233"/>
      <c r="M889" s="277"/>
      <c r="N889" s="277"/>
      <c r="O889" s="277"/>
      <c r="P889" s="277"/>
      <c r="Q889" s="277"/>
      <c r="R889" s="277"/>
      <c r="S889" s="277"/>
      <c r="T889" s="277"/>
      <c r="U889" s="278"/>
      <c r="V889" s="103"/>
      <c r="W889" s="84">
        <f>Y889+1</f>
        <v>25</v>
      </c>
      <c r="X889" s="84"/>
      <c r="Y889" s="78">
        <f>SUM(E878:E889)</f>
        <v>24</v>
      </c>
      <c r="Z889" s="72"/>
      <c r="AA889" s="72"/>
      <c r="AB889" s="72"/>
      <c r="AC889" s="72">
        <f t="shared" si="366"/>
        <v>1</v>
      </c>
      <c r="AD889" s="72">
        <f t="shared" si="367"/>
        <v>1</v>
      </c>
      <c r="AE889" s="109" t="str">
        <f t="shared" si="368"/>
        <v>0-0</v>
      </c>
      <c r="AF889" s="109" t="str">
        <f t="shared" si="369"/>
        <v>Y</v>
      </c>
      <c r="AG889" s="109" t="str">
        <f t="shared" si="370"/>
        <v>B</v>
      </c>
      <c r="AM889" s="109">
        <f t="shared" si="371"/>
        <v>0</v>
      </c>
      <c r="AN889" s="109">
        <f t="shared" si="372"/>
        <v>0</v>
      </c>
      <c r="AO889" s="109" t="str">
        <f t="shared" si="373"/>
        <v/>
      </c>
      <c r="AQ889" s="109" t="str">
        <f t="shared" si="374"/>
        <v/>
      </c>
      <c r="BA889" s="229">
        <f>MOD(SUM(E878:E890),12)</f>
        <v>0</v>
      </c>
    </row>
    <row r="890" spans="1:53" ht="15.75" thickBot="1" x14ac:dyDescent="0.3">
      <c r="A890" s="88"/>
      <c r="B890" s="66" t="s">
        <v>290</v>
      </c>
      <c r="C890" s="67"/>
      <c r="D890" s="102"/>
      <c r="E890" s="32"/>
      <c r="F890" s="32"/>
      <c r="G890" s="68" t="s">
        <v>277</v>
      </c>
      <c r="H890" s="69">
        <f t="shared" si="375"/>
        <v>0</v>
      </c>
      <c r="I890" s="70">
        <f t="shared" si="376"/>
        <v>0</v>
      </c>
      <c r="J890" s="73" t="str">
        <f t="shared" si="377"/>
        <v>--</v>
      </c>
      <c r="K890" s="32"/>
      <c r="L890" s="233"/>
      <c r="M890" s="277"/>
      <c r="N890" s="277"/>
      <c r="O890" s="277"/>
      <c r="P890" s="277"/>
      <c r="Q890" s="277"/>
      <c r="R890" s="277"/>
      <c r="S890" s="277"/>
      <c r="T890" s="277"/>
      <c r="U890" s="278"/>
      <c r="V890" s="103"/>
      <c r="W890" s="84">
        <f>Y890+1</f>
        <v>25</v>
      </c>
      <c r="X890" s="84"/>
      <c r="Y890" s="78">
        <f>SUM(E878:E890)</f>
        <v>24</v>
      </c>
      <c r="Z890" s="72" t="str">
        <f t="shared" ref="Z890:Z902" si="380">IF(OR(AND(E$8=216,C889="DBL REV",C890="DBL REV",Y889&lt;=144,Y890&gt;144),AND(E$8=216,C889="TPL REV",C890="TPL REV",Y889&lt;=144,Y890&gt;144),AND(E$8=216,C889="QD REV",C890="QD REV",Y889&lt;=144,Y890&gt;144)),"ERROR","")</f>
        <v/>
      </c>
      <c r="AA890" s="72"/>
      <c r="AB890" s="72"/>
      <c r="AC890" s="72">
        <f t="shared" si="366"/>
        <v>1</v>
      </c>
      <c r="AD890" s="72">
        <f t="shared" si="367"/>
        <v>1</v>
      </c>
      <c r="AE890" s="109" t="str">
        <f t="shared" si="368"/>
        <v>0-0</v>
      </c>
      <c r="AF890" s="109" t="str">
        <f t="shared" si="369"/>
        <v>Y</v>
      </c>
      <c r="AG890" s="109" t="str">
        <f t="shared" si="370"/>
        <v>B</v>
      </c>
      <c r="AM890" s="109">
        <f t="shared" si="371"/>
        <v>0</v>
      </c>
      <c r="AN890" s="109">
        <f t="shared" si="372"/>
        <v>0</v>
      </c>
      <c r="AO890" s="109" t="str">
        <f t="shared" si="373"/>
        <v/>
      </c>
      <c r="AQ890" s="109" t="str">
        <f t="shared" si="374"/>
        <v/>
      </c>
      <c r="BA890" s="229">
        <f>MOD(SUM(E878:E891),12)</f>
        <v>0</v>
      </c>
    </row>
    <row r="891" spans="1:53" ht="15.75" thickBot="1" x14ac:dyDescent="0.3">
      <c r="A891" s="88"/>
      <c r="B891" s="66" t="s">
        <v>291</v>
      </c>
      <c r="C891" s="67"/>
      <c r="D891" s="102"/>
      <c r="E891" s="32"/>
      <c r="F891" s="32"/>
      <c r="G891" s="68" t="s">
        <v>277</v>
      </c>
      <c r="H891" s="69">
        <f t="shared" si="375"/>
        <v>0</v>
      </c>
      <c r="I891" s="70">
        <f t="shared" si="376"/>
        <v>0</v>
      </c>
      <c r="J891" s="73" t="str">
        <f t="shared" si="377"/>
        <v>--</v>
      </c>
      <c r="K891" s="32"/>
      <c r="L891" s="233"/>
      <c r="M891" s="277"/>
      <c r="N891" s="277"/>
      <c r="O891" s="277"/>
      <c r="P891" s="277"/>
      <c r="Q891" s="277"/>
      <c r="R891" s="277"/>
      <c r="S891" s="277"/>
      <c r="T891" s="277"/>
      <c r="U891" s="278"/>
      <c r="V891" s="103"/>
      <c r="W891" s="84">
        <f>Y891+1</f>
        <v>25</v>
      </c>
      <c r="X891" s="84"/>
      <c r="Y891" s="78">
        <f>SUM(E878:E891)</f>
        <v>24</v>
      </c>
      <c r="Z891" s="72" t="str">
        <f t="shared" si="380"/>
        <v/>
      </c>
      <c r="AA891" s="72"/>
      <c r="AB891" s="72"/>
      <c r="AC891" s="72">
        <f t="shared" si="366"/>
        <v>1</v>
      </c>
      <c r="AD891" s="72">
        <f t="shared" si="367"/>
        <v>1</v>
      </c>
      <c r="AE891" s="109" t="str">
        <f t="shared" si="368"/>
        <v>0-0</v>
      </c>
      <c r="AF891" s="109" t="str">
        <f t="shared" si="369"/>
        <v>Y</v>
      </c>
      <c r="AG891" s="109" t="str">
        <f t="shared" si="370"/>
        <v>B</v>
      </c>
      <c r="AM891" s="109">
        <f t="shared" si="371"/>
        <v>0</v>
      </c>
      <c r="AN891" s="109">
        <f t="shared" si="372"/>
        <v>0</v>
      </c>
      <c r="AO891" s="109" t="str">
        <f t="shared" si="373"/>
        <v/>
      </c>
      <c r="AQ891" s="109" t="str">
        <f t="shared" si="374"/>
        <v/>
      </c>
      <c r="BA891" s="229">
        <f>MOD(SUM(E878:E892),12)</f>
        <v>0</v>
      </c>
    </row>
    <row r="892" spans="1:53" ht="15.75" thickBot="1" x14ac:dyDescent="0.3">
      <c r="A892" s="88"/>
      <c r="B892" s="66" t="s">
        <v>292</v>
      </c>
      <c r="C892" s="67"/>
      <c r="D892" s="102"/>
      <c r="E892" s="32"/>
      <c r="F892" s="32"/>
      <c r="G892" s="68" t="s">
        <v>277</v>
      </c>
      <c r="H892" s="69">
        <f t="shared" si="375"/>
        <v>0</v>
      </c>
      <c r="I892" s="70">
        <f t="shared" si="376"/>
        <v>0</v>
      </c>
      <c r="J892" s="73" t="str">
        <f t="shared" si="377"/>
        <v>--</v>
      </c>
      <c r="K892" s="32"/>
      <c r="L892" s="233"/>
      <c r="M892" s="277"/>
      <c r="N892" s="277"/>
      <c r="O892" s="277"/>
      <c r="P892" s="277"/>
      <c r="Q892" s="277"/>
      <c r="R892" s="277"/>
      <c r="S892" s="277"/>
      <c r="T892" s="277"/>
      <c r="U892" s="278"/>
      <c r="V892" s="103"/>
      <c r="W892" s="84">
        <f>Y892+1</f>
        <v>25</v>
      </c>
      <c r="X892" s="84"/>
      <c r="Y892" s="78">
        <f>SUM(E878:E892)</f>
        <v>24</v>
      </c>
      <c r="Z892" s="72" t="str">
        <f t="shared" si="380"/>
        <v/>
      </c>
      <c r="AA892" s="72" t="str">
        <f t="shared" ref="AA892:AA904" si="381">IF(AND(C890&lt;&gt;"Field SPL",W889&lt;=144,Y890&gt;144),"ERROR","")</f>
        <v/>
      </c>
      <c r="AB892" s="72"/>
      <c r="AC892" s="72">
        <f t="shared" si="366"/>
        <v>1</v>
      </c>
      <c r="AD892" s="72">
        <f t="shared" si="367"/>
        <v>1</v>
      </c>
      <c r="AE892" s="109" t="str">
        <f t="shared" si="368"/>
        <v>0-0</v>
      </c>
      <c r="AF892" s="109" t="str">
        <f t="shared" si="369"/>
        <v>Y</v>
      </c>
      <c r="AG892" s="109" t="str">
        <f t="shared" si="370"/>
        <v>B</v>
      </c>
      <c r="AM892" s="109">
        <f t="shared" si="371"/>
        <v>0</v>
      </c>
      <c r="AN892" s="109">
        <f t="shared" si="372"/>
        <v>0</v>
      </c>
      <c r="AO892" s="109" t="str">
        <f t="shared" si="373"/>
        <v/>
      </c>
      <c r="AQ892" s="109" t="str">
        <f t="shared" si="374"/>
        <v/>
      </c>
      <c r="BA892" s="229">
        <f>MOD(SUM(E878:E893),12)</f>
        <v>0</v>
      </c>
    </row>
    <row r="893" spans="1:53" ht="15.75" thickBot="1" x14ac:dyDescent="0.3">
      <c r="A893" s="88"/>
      <c r="B893" s="66" t="s">
        <v>293</v>
      </c>
      <c r="C893" s="67"/>
      <c r="D893" s="102"/>
      <c r="E893" s="32"/>
      <c r="F893" s="32"/>
      <c r="G893" s="68" t="s">
        <v>277</v>
      </c>
      <c r="H893" s="69">
        <f t="shared" si="375"/>
        <v>0</v>
      </c>
      <c r="I893" s="70">
        <f t="shared" si="376"/>
        <v>0</v>
      </c>
      <c r="J893" s="73" t="str">
        <f t="shared" si="377"/>
        <v>--</v>
      </c>
      <c r="K893" s="32"/>
      <c r="L893" s="233"/>
      <c r="M893" s="277"/>
      <c r="N893" s="277"/>
      <c r="O893" s="277"/>
      <c r="P893" s="277"/>
      <c r="Q893" s="277"/>
      <c r="R893" s="277"/>
      <c r="S893" s="277"/>
      <c r="T893" s="277"/>
      <c r="U893" s="278"/>
      <c r="V893" s="103"/>
      <c r="W893" s="84">
        <f t="shared" ref="W893:W901" si="382">Y893+1</f>
        <v>25</v>
      </c>
      <c r="X893" s="84"/>
      <c r="Y893" s="78">
        <f>SUM(E878:E893)</f>
        <v>24</v>
      </c>
      <c r="Z893" s="72" t="str">
        <f t="shared" si="380"/>
        <v/>
      </c>
      <c r="AA893" s="72" t="str">
        <f t="shared" si="381"/>
        <v/>
      </c>
      <c r="AB893" s="72"/>
      <c r="AC893" s="72">
        <f t="shared" si="366"/>
        <v>1</v>
      </c>
      <c r="AD893" s="72">
        <f t="shared" si="367"/>
        <v>1</v>
      </c>
      <c r="AE893" s="109" t="str">
        <f t="shared" si="368"/>
        <v>0-0</v>
      </c>
      <c r="AF893" s="109" t="str">
        <f t="shared" si="369"/>
        <v>Y</v>
      </c>
      <c r="AG893" s="109" t="str">
        <f t="shared" si="370"/>
        <v>B</v>
      </c>
      <c r="AM893" s="109">
        <f t="shared" si="371"/>
        <v>0</v>
      </c>
      <c r="AN893" s="109">
        <f t="shared" si="372"/>
        <v>0</v>
      </c>
      <c r="AO893" s="109" t="str">
        <f t="shared" si="373"/>
        <v/>
      </c>
      <c r="AQ893" s="109" t="str">
        <f t="shared" si="374"/>
        <v/>
      </c>
      <c r="BA893" s="229">
        <f>MOD(SUM(E878:E894),12)</f>
        <v>0</v>
      </c>
    </row>
    <row r="894" spans="1:53" ht="15.75" thickBot="1" x14ac:dyDescent="0.3">
      <c r="A894" s="88"/>
      <c r="B894" s="66" t="s">
        <v>294</v>
      </c>
      <c r="C894" s="67"/>
      <c r="D894" s="102"/>
      <c r="E894" s="32"/>
      <c r="F894" s="32"/>
      <c r="G894" s="68" t="s">
        <v>277</v>
      </c>
      <c r="H894" s="69">
        <f t="shared" si="375"/>
        <v>0</v>
      </c>
      <c r="I894" s="70">
        <f t="shared" si="376"/>
        <v>0</v>
      </c>
      <c r="J894" s="73" t="str">
        <f t="shared" si="377"/>
        <v>--</v>
      </c>
      <c r="K894" s="32"/>
      <c r="L894" s="233"/>
      <c r="M894" s="277"/>
      <c r="N894" s="277"/>
      <c r="O894" s="277"/>
      <c r="P894" s="277"/>
      <c r="Q894" s="277"/>
      <c r="R894" s="277"/>
      <c r="S894" s="277"/>
      <c r="T894" s="277"/>
      <c r="U894" s="278"/>
      <c r="V894" s="103"/>
      <c r="W894" s="84">
        <f t="shared" si="382"/>
        <v>25</v>
      </c>
      <c r="X894" s="84"/>
      <c r="Y894" s="78">
        <f>SUM(E878:E894)</f>
        <v>24</v>
      </c>
      <c r="Z894" s="72" t="str">
        <f t="shared" si="380"/>
        <v/>
      </c>
      <c r="AA894" s="72" t="str">
        <f t="shared" si="381"/>
        <v/>
      </c>
      <c r="AB894" s="72"/>
      <c r="AC894" s="72">
        <f t="shared" si="366"/>
        <v>1</v>
      </c>
      <c r="AD894" s="72">
        <f t="shared" si="367"/>
        <v>1</v>
      </c>
      <c r="AE894" s="109" t="str">
        <f t="shared" si="368"/>
        <v>0-0</v>
      </c>
      <c r="AF894" s="109" t="str">
        <f t="shared" si="369"/>
        <v>Y</v>
      </c>
      <c r="AG894" s="109" t="str">
        <f t="shared" si="370"/>
        <v>B</v>
      </c>
      <c r="AM894" s="109">
        <f t="shared" si="371"/>
        <v>0</v>
      </c>
      <c r="AN894" s="109">
        <f t="shared" si="372"/>
        <v>0</v>
      </c>
      <c r="AO894" s="109" t="str">
        <f t="shared" si="373"/>
        <v/>
      </c>
      <c r="AQ894" s="109" t="str">
        <f t="shared" si="374"/>
        <v/>
      </c>
      <c r="BA894" s="229">
        <f>MOD(SUM(E878:E895),12)</f>
        <v>0</v>
      </c>
    </row>
    <row r="895" spans="1:53" ht="15.75" thickBot="1" x14ac:dyDescent="0.3">
      <c r="A895" s="88"/>
      <c r="B895" s="66" t="s">
        <v>295</v>
      </c>
      <c r="C895" s="67"/>
      <c r="D895" s="102"/>
      <c r="E895" s="32"/>
      <c r="F895" s="32"/>
      <c r="G895" s="68" t="s">
        <v>277</v>
      </c>
      <c r="H895" s="69">
        <f t="shared" si="375"/>
        <v>0</v>
      </c>
      <c r="I895" s="70">
        <f t="shared" si="376"/>
        <v>0</v>
      </c>
      <c r="J895" s="73" t="str">
        <f t="shared" si="377"/>
        <v>--</v>
      </c>
      <c r="K895" s="32"/>
      <c r="L895" s="233"/>
      <c r="M895" s="277"/>
      <c r="N895" s="277"/>
      <c r="O895" s="277"/>
      <c r="P895" s="277"/>
      <c r="Q895" s="277"/>
      <c r="R895" s="277"/>
      <c r="S895" s="277"/>
      <c r="T895" s="277"/>
      <c r="U895" s="278"/>
      <c r="V895" s="103"/>
      <c r="W895" s="84">
        <f t="shared" si="382"/>
        <v>25</v>
      </c>
      <c r="X895" s="84"/>
      <c r="Y895" s="78">
        <f>SUM(E878:E895)</f>
        <v>24</v>
      </c>
      <c r="Z895" s="72" t="str">
        <f t="shared" si="380"/>
        <v/>
      </c>
      <c r="AA895" s="72" t="str">
        <f t="shared" si="381"/>
        <v/>
      </c>
      <c r="AB895" s="72"/>
      <c r="AC895" s="72">
        <f t="shared" si="366"/>
        <v>1</v>
      </c>
      <c r="AD895" s="72">
        <f t="shared" si="367"/>
        <v>1</v>
      </c>
      <c r="AE895" s="109" t="str">
        <f t="shared" si="368"/>
        <v>0-0</v>
      </c>
      <c r="AF895" s="109" t="str">
        <f t="shared" si="369"/>
        <v>Y</v>
      </c>
      <c r="AG895" s="109" t="str">
        <f t="shared" si="370"/>
        <v>B</v>
      </c>
      <c r="AM895" s="109">
        <f t="shared" si="371"/>
        <v>0</v>
      </c>
      <c r="AN895" s="109">
        <f t="shared" si="372"/>
        <v>0</v>
      </c>
      <c r="AO895" s="109" t="str">
        <f t="shared" si="373"/>
        <v/>
      </c>
      <c r="AQ895" s="109" t="str">
        <f t="shared" si="374"/>
        <v/>
      </c>
      <c r="BA895" s="229">
        <f>MOD(SUM(E878:E896),12)</f>
        <v>0</v>
      </c>
    </row>
    <row r="896" spans="1:53" ht="15.75" thickBot="1" x14ac:dyDescent="0.3">
      <c r="A896" s="88"/>
      <c r="B896" s="66" t="s">
        <v>296</v>
      </c>
      <c r="C896" s="67"/>
      <c r="D896" s="102"/>
      <c r="E896" s="32"/>
      <c r="F896" s="32"/>
      <c r="G896" s="68" t="s">
        <v>277</v>
      </c>
      <c r="H896" s="69">
        <f t="shared" si="375"/>
        <v>0</v>
      </c>
      <c r="I896" s="70">
        <f t="shared" si="376"/>
        <v>0</v>
      </c>
      <c r="J896" s="73" t="str">
        <f t="shared" si="377"/>
        <v>--</v>
      </c>
      <c r="K896" s="32"/>
      <c r="L896" s="233"/>
      <c r="M896" s="277"/>
      <c r="N896" s="277"/>
      <c r="O896" s="277"/>
      <c r="P896" s="277"/>
      <c r="Q896" s="277"/>
      <c r="R896" s="277"/>
      <c r="S896" s="277"/>
      <c r="T896" s="277"/>
      <c r="U896" s="278"/>
      <c r="V896" s="103"/>
      <c r="W896" s="84">
        <f t="shared" si="382"/>
        <v>25</v>
      </c>
      <c r="X896" s="84"/>
      <c r="Y896" s="78">
        <f>SUM(E878:E896)</f>
        <v>24</v>
      </c>
      <c r="Z896" s="72" t="str">
        <f t="shared" si="380"/>
        <v/>
      </c>
      <c r="AA896" s="72" t="str">
        <f t="shared" si="381"/>
        <v/>
      </c>
      <c r="AB896" s="72"/>
      <c r="AC896" s="72">
        <f t="shared" si="366"/>
        <v>1</v>
      </c>
      <c r="AD896" s="72">
        <f t="shared" si="367"/>
        <v>1</v>
      </c>
      <c r="AE896" s="109" t="str">
        <f t="shared" si="368"/>
        <v>0-0</v>
      </c>
      <c r="AF896" s="109" t="str">
        <f t="shared" si="369"/>
        <v>Y</v>
      </c>
      <c r="AG896" s="109" t="str">
        <f t="shared" si="370"/>
        <v>B</v>
      </c>
      <c r="AM896" s="109">
        <f t="shared" si="371"/>
        <v>0</v>
      </c>
      <c r="AN896" s="109">
        <f t="shared" si="372"/>
        <v>0</v>
      </c>
      <c r="AO896" s="109" t="str">
        <f t="shared" si="373"/>
        <v/>
      </c>
      <c r="AQ896" s="109" t="str">
        <f t="shared" si="374"/>
        <v/>
      </c>
      <c r="BA896" s="229">
        <f>MOD(SUM(E878:E897),12)</f>
        <v>0</v>
      </c>
    </row>
    <row r="897" spans="1:53" ht="15.75" thickBot="1" x14ac:dyDescent="0.3">
      <c r="A897" s="88"/>
      <c r="B897" s="66" t="s">
        <v>297</v>
      </c>
      <c r="C897" s="67"/>
      <c r="D897" s="102"/>
      <c r="E897" s="32"/>
      <c r="F897" s="32"/>
      <c r="G897" s="68" t="s">
        <v>277</v>
      </c>
      <c r="H897" s="69">
        <f t="shared" si="375"/>
        <v>0</v>
      </c>
      <c r="I897" s="70">
        <f t="shared" si="376"/>
        <v>0</v>
      </c>
      <c r="J897" s="73" t="str">
        <f t="shared" si="377"/>
        <v>--</v>
      </c>
      <c r="K897" s="32"/>
      <c r="L897" s="233"/>
      <c r="M897" s="277"/>
      <c r="N897" s="277"/>
      <c r="O897" s="277"/>
      <c r="P897" s="277"/>
      <c r="Q897" s="277"/>
      <c r="R897" s="277"/>
      <c r="S897" s="277"/>
      <c r="T897" s="277"/>
      <c r="U897" s="278"/>
      <c r="V897" s="103"/>
      <c r="W897" s="84">
        <f t="shared" si="382"/>
        <v>25</v>
      </c>
      <c r="X897" s="84"/>
      <c r="Y897" s="78">
        <f>SUM(E878:E897)</f>
        <v>24</v>
      </c>
      <c r="Z897" s="72" t="str">
        <f t="shared" si="380"/>
        <v/>
      </c>
      <c r="AA897" s="72" t="str">
        <f t="shared" si="381"/>
        <v/>
      </c>
      <c r="AB897" s="72"/>
      <c r="AC897" s="72">
        <f t="shared" si="366"/>
        <v>1</v>
      </c>
      <c r="AD897" s="72">
        <f t="shared" si="367"/>
        <v>1</v>
      </c>
      <c r="AE897" s="109" t="str">
        <f t="shared" si="368"/>
        <v>0-0</v>
      </c>
      <c r="AF897" s="109" t="str">
        <f t="shared" si="369"/>
        <v>Y</v>
      </c>
      <c r="AG897" s="109" t="str">
        <f t="shared" si="370"/>
        <v>B</v>
      </c>
      <c r="AM897" s="109">
        <f t="shared" si="371"/>
        <v>0</v>
      </c>
      <c r="AN897" s="109">
        <f t="shared" si="372"/>
        <v>0</v>
      </c>
      <c r="AO897" s="109" t="str">
        <f t="shared" si="373"/>
        <v/>
      </c>
      <c r="AQ897" s="109" t="str">
        <f t="shared" si="374"/>
        <v/>
      </c>
      <c r="BA897" s="229">
        <f>MOD(SUM(E878:E898),12)</f>
        <v>0</v>
      </c>
    </row>
    <row r="898" spans="1:53" ht="15.75" thickBot="1" x14ac:dyDescent="0.3">
      <c r="A898" s="88"/>
      <c r="B898" s="66" t="s">
        <v>298</v>
      </c>
      <c r="C898" s="67"/>
      <c r="D898" s="102"/>
      <c r="E898" s="32"/>
      <c r="F898" s="32"/>
      <c r="G898" s="68" t="s">
        <v>277</v>
      </c>
      <c r="H898" s="69">
        <f t="shared" si="375"/>
        <v>0</v>
      </c>
      <c r="I898" s="70">
        <f t="shared" si="376"/>
        <v>0</v>
      </c>
      <c r="J898" s="73" t="str">
        <f t="shared" si="377"/>
        <v>--</v>
      </c>
      <c r="K898" s="32"/>
      <c r="L898" s="233"/>
      <c r="M898" s="277"/>
      <c r="N898" s="277"/>
      <c r="O898" s="277"/>
      <c r="P898" s="277"/>
      <c r="Q898" s="277"/>
      <c r="R898" s="277"/>
      <c r="S898" s="277"/>
      <c r="T898" s="277"/>
      <c r="U898" s="278"/>
      <c r="V898" s="103"/>
      <c r="W898" s="84">
        <f t="shared" si="382"/>
        <v>25</v>
      </c>
      <c r="X898" s="84"/>
      <c r="Y898" s="78">
        <f>SUM(E878:E898)</f>
        <v>24</v>
      </c>
      <c r="Z898" s="72" t="str">
        <f t="shared" si="380"/>
        <v/>
      </c>
      <c r="AA898" s="72" t="str">
        <f t="shared" si="381"/>
        <v/>
      </c>
      <c r="AB898" s="72"/>
      <c r="AC898" s="72">
        <f t="shared" si="366"/>
        <v>1</v>
      </c>
      <c r="AD898" s="72">
        <f t="shared" si="367"/>
        <v>1</v>
      </c>
      <c r="AE898" s="109" t="str">
        <f t="shared" si="368"/>
        <v>0-0</v>
      </c>
      <c r="AF898" s="109" t="str">
        <f t="shared" si="369"/>
        <v>Y</v>
      </c>
      <c r="AG898" s="109" t="str">
        <f t="shared" si="370"/>
        <v>B</v>
      </c>
      <c r="AM898" s="109">
        <f t="shared" si="371"/>
        <v>0</v>
      </c>
      <c r="AN898" s="109">
        <f t="shared" si="372"/>
        <v>0</v>
      </c>
      <c r="AO898" s="109" t="str">
        <f t="shared" si="373"/>
        <v/>
      </c>
      <c r="AQ898" s="109" t="str">
        <f t="shared" si="374"/>
        <v/>
      </c>
      <c r="BA898" s="229">
        <f>MOD(SUM(E878:E899),12)</f>
        <v>0</v>
      </c>
    </row>
    <row r="899" spans="1:53" ht="15.75" thickBot="1" x14ac:dyDescent="0.3">
      <c r="A899" s="88"/>
      <c r="B899" s="66" t="s">
        <v>299</v>
      </c>
      <c r="C899" s="67"/>
      <c r="D899" s="102"/>
      <c r="E899" s="32"/>
      <c r="F899" s="32"/>
      <c r="G899" s="68" t="s">
        <v>277</v>
      </c>
      <c r="H899" s="69">
        <f t="shared" si="375"/>
        <v>0</v>
      </c>
      <c r="I899" s="70">
        <f t="shared" si="376"/>
        <v>0</v>
      </c>
      <c r="J899" s="73" t="str">
        <f t="shared" si="377"/>
        <v>--</v>
      </c>
      <c r="K899" s="32"/>
      <c r="L899" s="233"/>
      <c r="M899" s="277"/>
      <c r="N899" s="277"/>
      <c r="O899" s="277"/>
      <c r="P899" s="277"/>
      <c r="Q899" s="277"/>
      <c r="R899" s="277"/>
      <c r="S899" s="277"/>
      <c r="T899" s="277"/>
      <c r="U899" s="278"/>
      <c r="V899" s="103"/>
      <c r="W899" s="84">
        <f t="shared" si="382"/>
        <v>25</v>
      </c>
      <c r="X899" s="84"/>
      <c r="Y899" s="78">
        <f>SUM(E878:E899)</f>
        <v>24</v>
      </c>
      <c r="Z899" s="72" t="str">
        <f t="shared" si="380"/>
        <v/>
      </c>
      <c r="AA899" s="72" t="str">
        <f t="shared" si="381"/>
        <v/>
      </c>
      <c r="AB899" s="72"/>
      <c r="AC899" s="72">
        <f t="shared" si="366"/>
        <v>1</v>
      </c>
      <c r="AD899" s="72">
        <f t="shared" si="367"/>
        <v>1</v>
      </c>
      <c r="AE899" s="109" t="str">
        <f t="shared" si="368"/>
        <v>0-0</v>
      </c>
      <c r="AF899" s="109" t="str">
        <f t="shared" si="369"/>
        <v>Y</v>
      </c>
      <c r="AG899" s="109" t="str">
        <f t="shared" si="370"/>
        <v>B</v>
      </c>
      <c r="AM899" s="109">
        <f t="shared" si="371"/>
        <v>0</v>
      </c>
      <c r="AN899" s="109">
        <f t="shared" si="372"/>
        <v>0</v>
      </c>
      <c r="AO899" s="109" t="str">
        <f t="shared" si="373"/>
        <v/>
      </c>
      <c r="AQ899" s="109" t="str">
        <f t="shared" si="374"/>
        <v/>
      </c>
      <c r="BA899" s="229">
        <f>MOD(SUM(E878:E900),12)</f>
        <v>0</v>
      </c>
    </row>
    <row r="900" spans="1:53" ht="15.75" thickBot="1" x14ac:dyDescent="0.3">
      <c r="A900" s="88"/>
      <c r="B900" s="66" t="s">
        <v>300</v>
      </c>
      <c r="C900" s="67"/>
      <c r="D900" s="102"/>
      <c r="E900" s="32"/>
      <c r="F900" s="32"/>
      <c r="G900" s="68" t="s">
        <v>277</v>
      </c>
      <c r="H900" s="69">
        <f t="shared" si="375"/>
        <v>0</v>
      </c>
      <c r="I900" s="70">
        <f t="shared" si="376"/>
        <v>0</v>
      </c>
      <c r="J900" s="73" t="str">
        <f t="shared" si="377"/>
        <v>--</v>
      </c>
      <c r="K900" s="32"/>
      <c r="L900" s="233"/>
      <c r="M900" s="277"/>
      <c r="N900" s="277"/>
      <c r="O900" s="277"/>
      <c r="P900" s="277"/>
      <c r="Q900" s="277"/>
      <c r="R900" s="277"/>
      <c r="S900" s="277"/>
      <c r="T900" s="277"/>
      <c r="U900" s="278"/>
      <c r="V900" s="103"/>
      <c r="W900" s="84">
        <f t="shared" si="382"/>
        <v>25</v>
      </c>
      <c r="X900" s="84"/>
      <c r="Y900" s="78">
        <f>SUM(E878:E900)</f>
        <v>24</v>
      </c>
      <c r="Z900" s="72" t="str">
        <f t="shared" si="380"/>
        <v/>
      </c>
      <c r="AA900" s="72" t="str">
        <f t="shared" si="381"/>
        <v/>
      </c>
      <c r="AB900" s="72"/>
      <c r="AC900" s="72">
        <f t="shared" si="366"/>
        <v>1</v>
      </c>
      <c r="AD900" s="72">
        <f t="shared" si="367"/>
        <v>1</v>
      </c>
      <c r="AE900" s="109" t="str">
        <f t="shared" si="368"/>
        <v>0-0</v>
      </c>
      <c r="AF900" s="109" t="str">
        <f t="shared" si="369"/>
        <v>Y</v>
      </c>
      <c r="AG900" s="109" t="str">
        <f t="shared" si="370"/>
        <v>B</v>
      </c>
      <c r="AM900" s="109">
        <f t="shared" si="371"/>
        <v>0</v>
      </c>
      <c r="AN900" s="109">
        <f t="shared" si="372"/>
        <v>0</v>
      </c>
      <c r="AO900" s="109" t="str">
        <f t="shared" si="373"/>
        <v/>
      </c>
      <c r="AQ900" s="109" t="str">
        <f t="shared" si="374"/>
        <v/>
      </c>
      <c r="BA900" s="229">
        <f>MOD(SUM(E878:E901),12)</f>
        <v>0</v>
      </c>
    </row>
    <row r="901" spans="1:53" ht="15.75" thickBot="1" x14ac:dyDescent="0.3">
      <c r="A901" s="88"/>
      <c r="B901" s="66" t="s">
        <v>301</v>
      </c>
      <c r="C901" s="67"/>
      <c r="D901" s="102"/>
      <c r="E901" s="32"/>
      <c r="F901" s="32"/>
      <c r="G901" s="68" t="s">
        <v>277</v>
      </c>
      <c r="H901" s="69">
        <f t="shared" si="375"/>
        <v>0</v>
      </c>
      <c r="I901" s="70">
        <f t="shared" si="376"/>
        <v>0</v>
      </c>
      <c r="J901" s="73" t="str">
        <f t="shared" si="377"/>
        <v>--</v>
      </c>
      <c r="K901" s="32"/>
      <c r="L901" s="233"/>
      <c r="M901" s="277"/>
      <c r="N901" s="277"/>
      <c r="O901" s="277"/>
      <c r="P901" s="277"/>
      <c r="Q901" s="277"/>
      <c r="R901" s="277"/>
      <c r="S901" s="277"/>
      <c r="T901" s="277"/>
      <c r="U901" s="278"/>
      <c r="V901" s="103"/>
      <c r="W901" s="84">
        <f t="shared" si="382"/>
        <v>25</v>
      </c>
      <c r="X901" s="84"/>
      <c r="Y901" s="78">
        <f>SUM(E878:E901)</f>
        <v>24</v>
      </c>
      <c r="Z901" s="72" t="str">
        <f t="shared" si="380"/>
        <v/>
      </c>
      <c r="AA901" s="72" t="str">
        <f t="shared" si="381"/>
        <v/>
      </c>
      <c r="AB901" s="72"/>
      <c r="AC901" s="72">
        <f t="shared" si="366"/>
        <v>1</v>
      </c>
      <c r="AD901" s="72">
        <f t="shared" si="367"/>
        <v>1</v>
      </c>
      <c r="AE901" s="109" t="str">
        <f t="shared" si="368"/>
        <v>0-0</v>
      </c>
      <c r="AF901" s="109" t="str">
        <f t="shared" si="369"/>
        <v>Y</v>
      </c>
      <c r="AG901" s="109" t="str">
        <f t="shared" si="370"/>
        <v>B</v>
      </c>
      <c r="AM901" s="109">
        <f t="shared" si="371"/>
        <v>0</v>
      </c>
      <c r="AN901" s="109">
        <f t="shared" si="372"/>
        <v>0</v>
      </c>
      <c r="AO901" s="109" t="str">
        <f t="shared" si="373"/>
        <v/>
      </c>
      <c r="AQ901" s="109" t="str">
        <f t="shared" si="374"/>
        <v/>
      </c>
      <c r="BA901" s="229">
        <f>MOD(SUM(E878:E902),12)</f>
        <v>0</v>
      </c>
    </row>
    <row r="902" spans="1:53" ht="15.75" thickBot="1" x14ac:dyDescent="0.3">
      <c r="A902" s="88"/>
      <c r="B902" s="66" t="s">
        <v>302</v>
      </c>
      <c r="C902" s="67"/>
      <c r="D902" s="102"/>
      <c r="E902" s="32"/>
      <c r="F902" s="32"/>
      <c r="G902" s="68" t="s">
        <v>277</v>
      </c>
      <c r="H902" s="69">
        <f t="shared" si="375"/>
        <v>0</v>
      </c>
      <c r="I902" s="70">
        <f t="shared" si="376"/>
        <v>0</v>
      </c>
      <c r="J902" s="73" t="str">
        <f t="shared" si="377"/>
        <v>--</v>
      </c>
      <c r="K902" s="32"/>
      <c r="L902" s="234"/>
      <c r="M902" s="277"/>
      <c r="N902" s="277"/>
      <c r="O902" s="277"/>
      <c r="P902" s="277"/>
      <c r="Q902" s="277"/>
      <c r="R902" s="277"/>
      <c r="S902" s="277"/>
      <c r="T902" s="277"/>
      <c r="U902" s="278"/>
      <c r="V902" s="103"/>
      <c r="W902" s="72"/>
      <c r="X902" s="72"/>
      <c r="Y902" s="78">
        <f>SUM(E878:E902)</f>
        <v>24</v>
      </c>
      <c r="Z902" s="72" t="str">
        <f t="shared" si="380"/>
        <v/>
      </c>
      <c r="AA902" s="72" t="str">
        <f t="shared" si="381"/>
        <v/>
      </c>
      <c r="AB902" s="72"/>
      <c r="AC902" s="72">
        <f t="shared" si="366"/>
        <v>1</v>
      </c>
      <c r="AD902" s="72">
        <f t="shared" si="367"/>
        <v>1</v>
      </c>
      <c r="AE902" s="109" t="str">
        <f t="shared" si="368"/>
        <v>0-0</v>
      </c>
      <c r="AF902" s="109" t="str">
        <f t="shared" si="369"/>
        <v>Y</v>
      </c>
      <c r="AG902" s="109" t="str">
        <f t="shared" si="370"/>
        <v>B</v>
      </c>
      <c r="AM902" s="109">
        <f t="shared" si="371"/>
        <v>0</v>
      </c>
      <c r="AN902" s="109">
        <f t="shared" si="372"/>
        <v>0</v>
      </c>
      <c r="AO902" s="109" t="str">
        <f t="shared" si="373"/>
        <v/>
      </c>
      <c r="AQ902" s="109" t="str">
        <f t="shared" si="374"/>
        <v/>
      </c>
      <c r="BA902" s="228"/>
    </row>
    <row r="903" spans="1:53" ht="16.5" thickBot="1" x14ac:dyDescent="0.3">
      <c r="A903" s="88"/>
      <c r="B903" s="319" t="s">
        <v>347</v>
      </c>
      <c r="C903" s="320"/>
      <c r="D903" s="79"/>
      <c r="E903" s="80"/>
      <c r="F903" s="80"/>
      <c r="G903" s="81"/>
      <c r="H903" s="192"/>
      <c r="I903" s="192"/>
      <c r="J903" s="192"/>
      <c r="K903" s="82"/>
      <c r="L903" s="319" t="s">
        <v>306</v>
      </c>
      <c r="M903" s="330"/>
      <c r="N903" s="330"/>
      <c r="O903" s="330"/>
      <c r="P903" s="330"/>
      <c r="Q903" s="330"/>
      <c r="R903" s="330"/>
      <c r="S903" s="330"/>
      <c r="T903" s="330"/>
      <c r="U903" s="320"/>
      <c r="V903" s="104"/>
      <c r="W903" s="72"/>
      <c r="X903" s="72"/>
      <c r="Y903" s="72"/>
      <c r="Z903" s="72"/>
      <c r="AA903" s="72" t="str">
        <f t="shared" si="381"/>
        <v/>
      </c>
      <c r="AB903" s="72"/>
      <c r="AC903" s="72">
        <f>SUM(AC878:AC902)</f>
        <v>25</v>
      </c>
      <c r="AD903" s="72">
        <f>SUM(AD878:AD902)</f>
        <v>21</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319" t="s">
        <v>307</v>
      </c>
      <c r="C904" s="320"/>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81"/>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312" t="s">
        <v>222</v>
      </c>
      <c r="C908" s="313"/>
      <c r="D908" s="314" t="s">
        <v>223</v>
      </c>
      <c r="E908" s="305"/>
      <c r="F908" s="88"/>
      <c r="G908" s="315" t="s">
        <v>224</v>
      </c>
      <c r="H908" s="316"/>
      <c r="I908" s="28">
        <f>SUM(E919:E943)</f>
        <v>132</v>
      </c>
      <c r="J908" s="317" t="s">
        <v>225</v>
      </c>
      <c r="K908" s="318"/>
      <c r="L908" s="305"/>
      <c r="M908" s="196">
        <v>2</v>
      </c>
      <c r="N908" s="35">
        <f>SUM(AI908,AI919)</f>
        <v>0</v>
      </c>
      <c r="O908" s="35">
        <v>0</v>
      </c>
      <c r="P908" s="35">
        <f>SUM(AJ908,AJ919)</f>
        <v>0</v>
      </c>
      <c r="Q908" s="35">
        <v>0</v>
      </c>
      <c r="R908" s="35">
        <f>COUNTIFS($E919:$E943,"2",$F919:$F943,"Pole",$C919:$C943,"FST")</f>
        <v>0</v>
      </c>
      <c r="S908" s="35">
        <f>SUM(AL908,AK919)</f>
        <v>0</v>
      </c>
      <c r="T908" s="35">
        <v>0</v>
      </c>
      <c r="U908" s="35">
        <f>SUM(AK908,AL919)</f>
        <v>2</v>
      </c>
      <c r="V908" s="35">
        <v>0</v>
      </c>
      <c r="W908" s="34">
        <f>COUNTIFS($E919:$E943,"2",$F919:$F943,"HH",$C919:$C943,"FST")</f>
        <v>2</v>
      </c>
      <c r="X908" s="35">
        <f>COUNTIFS($E919:$E943,"2",$F919:$F943,"Ped",$C919:$C943,"FST")</f>
        <v>0</v>
      </c>
      <c r="Y908" s="25"/>
      <c r="Z908" s="295" t="s">
        <v>226</v>
      </c>
      <c r="AA908" s="296"/>
      <c r="AB908" s="297"/>
      <c r="AC908" s="25"/>
      <c r="AD908" s="25"/>
      <c r="AH908" s="109">
        <v>2</v>
      </c>
      <c r="AI908" s="109" t="str">
        <f>IF($E909="SS",COUNTIFS($C919:$C943,"FST",$E919:$E943,"2"),"0")</f>
        <v>0</v>
      </c>
      <c r="AJ908" s="109" t="str">
        <f>IF($E909="RPX",COUNTIFS($C919:$C943,"FST",$E919:$E943,"2"),"0")</f>
        <v>0</v>
      </c>
      <c r="AK908" s="109">
        <f>IF($E909="EUC",COUNTIFS($C919:$C943,"FST",$E919:$E943,"2"),"0")</f>
        <v>2</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EUC</v>
      </c>
      <c r="F909" s="88"/>
      <c r="G909" s="304" t="s">
        <v>230</v>
      </c>
      <c r="H909" s="305"/>
      <c r="I909" s="33">
        <f>E910-I908</f>
        <v>12</v>
      </c>
      <c r="J909" s="289" t="s">
        <v>231</v>
      </c>
      <c r="K909" s="290"/>
      <c r="L909" s="34">
        <f>I913</f>
        <v>361</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298" t="s">
        <v>232</v>
      </c>
      <c r="AA909" s="300" t="s">
        <v>233</v>
      </c>
      <c r="AB909" s="301"/>
      <c r="AC909" s="25"/>
      <c r="AD909" s="25"/>
      <c r="AH909" s="109">
        <v>4</v>
      </c>
      <c r="AI909" s="109" t="str">
        <f>IF($E909="SS",COUNTIFS($C919:$C943,"FST",$E919:$E943,"4"),"0")</f>
        <v>0</v>
      </c>
      <c r="AJ909" s="109" t="str">
        <f>IF($E909="RPX",COUNTIFS($C919:$C943,"FST",$E919:$E943,"4"),"0")</f>
        <v>0</v>
      </c>
      <c r="AK909" s="109">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v>144</v>
      </c>
      <c r="F910" s="88"/>
      <c r="G910" s="291" t="s">
        <v>237</v>
      </c>
      <c r="H910" s="292"/>
      <c r="I910" s="35">
        <f>IF(E910=0,0,12-(MOD(I908,12)))</f>
        <v>12</v>
      </c>
      <c r="J910" s="289" t="s">
        <v>238</v>
      </c>
      <c r="K910" s="290"/>
      <c r="L910" s="39">
        <f>I914-I908</f>
        <v>360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299"/>
      <c r="AA910" s="302"/>
      <c r="AB910" s="303"/>
      <c r="AC910" s="25"/>
      <c r="AD910" s="25"/>
      <c r="AH910" s="109">
        <v>6</v>
      </c>
      <c r="AI910" s="109" t="str">
        <f>IF($E909="SS",COUNTIFS($C919:$C943,"FST",$E919:$E943,"6"),"0")</f>
        <v>0</v>
      </c>
      <c r="AJ910" s="109" t="str">
        <f>IF($E909="RPX",COUNTIFS($C919:$C943,"FST",$E919:$E943,"6"),"0")</f>
        <v>0</v>
      </c>
      <c r="AK910" s="109">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v>12</v>
      </c>
      <c r="F911" s="88"/>
      <c r="G911" s="321" t="s">
        <v>242</v>
      </c>
      <c r="H911" s="43" t="s">
        <v>243</v>
      </c>
      <c r="I911" s="35">
        <f>IF(E911&lt;&gt;0,1,0)</f>
        <v>1</v>
      </c>
      <c r="J911" s="291" t="s">
        <v>244</v>
      </c>
      <c r="K911" s="292"/>
      <c r="L911" s="44">
        <f>'Cable Calculator'!DJ3</f>
        <v>1135</v>
      </c>
      <c r="M911" s="196">
        <v>8</v>
      </c>
      <c r="N911" s="35">
        <f>SUM(AI911,AI922)</f>
        <v>0</v>
      </c>
      <c r="O911" s="35">
        <v>0</v>
      </c>
      <c r="P911" s="35">
        <f>SUM(AJ911,AJ922)</f>
        <v>0</v>
      </c>
      <c r="Q911" s="35">
        <v>0</v>
      </c>
      <c r="R911" s="35">
        <f>COUNTIFS($E919:$E943,"8",$F919:$F943,"Pole",$C919:$C943,"FST")</f>
        <v>0</v>
      </c>
      <c r="S911" s="35">
        <f>SUM(AL911,AK922)</f>
        <v>0</v>
      </c>
      <c r="T911" s="35">
        <v>0</v>
      </c>
      <c r="U911" s="35">
        <f>SUM(AK911,AL922)</f>
        <v>1</v>
      </c>
      <c r="V911" s="35">
        <v>0</v>
      </c>
      <c r="W911" s="34">
        <f>COUNTIFS($E919:$E943,"8",$F919:$F943,"HH",$C919:$C943,"FST")</f>
        <v>1</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f>IF($E909="EUC",COUNTIFS($C919:$C943,"FST",$E919:$E943,"8"),"0")</f>
        <v>1</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v>361</v>
      </c>
      <c r="F912" s="88"/>
      <c r="G912" s="322"/>
      <c r="H912" s="47" t="s">
        <v>248</v>
      </c>
      <c r="I912" s="35">
        <f>IF(E911&lt;&gt;0,E911,0)</f>
        <v>12</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f>IF($E909="EUC",SUM(AK912,AL923,AM944,AO944,AQ944),"0")</f>
        <v>0</v>
      </c>
      <c r="V912" s="35">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12</v>
      </c>
      <c r="F913" s="88"/>
      <c r="G913" s="321" t="s">
        <v>251</v>
      </c>
      <c r="H913" s="51" t="s">
        <v>252</v>
      </c>
      <c r="I913" s="112">
        <f>E912</f>
        <v>361</v>
      </c>
      <c r="J913" s="323" t="s">
        <v>253</v>
      </c>
      <c r="K913" s="324"/>
      <c r="L913" s="325"/>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N</v>
      </c>
      <c r="F914" s="88"/>
      <c r="G914" s="322"/>
      <c r="H914" s="47" t="s">
        <v>257</v>
      </c>
      <c r="I914" s="35">
        <f>IF(E912="","0",IF(AND(E909="EUC",E910=432), I913+(203-E911),IF(E912=0,0,(E912+(E910-E911)-1))))</f>
        <v>492</v>
      </c>
      <c r="J914" s="285" t="str">
        <f>IFERROR(IF(OR(E909="EUC",E909="SS"),"---",IF(OR(P908,S908),"NO 2F Tethers for RPX!",IF(OR(P910,S910),"NO 6F Tethers for RPX!","---"))),"---")</f>
        <v>---</v>
      </c>
      <c r="K914" s="286"/>
      <c r="L914" s="287"/>
      <c r="M914" s="285" t="str">
        <f>IF(E911&gt;60,"Dead Count &gt;60: Consider Downsize","---")</f>
        <v>---</v>
      </c>
      <c r="N914" s="286"/>
      <c r="O914" s="286"/>
      <c r="P914" s="286"/>
      <c r="Q914" s="286"/>
      <c r="R914" s="286"/>
      <c r="S914" s="286"/>
      <c r="T914" s="286"/>
      <c r="U914" s="287"/>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132</v>
      </c>
      <c r="D915" s="31" t="s">
        <v>259</v>
      </c>
      <c r="E915" s="101" t="str">
        <f>IF(AS909="Y","DBL",IF(AS910="Y","TRPL",IF(AS911="Y","QUAD","")))</f>
        <v/>
      </c>
      <c r="F915" s="88"/>
      <c r="G915" s="192"/>
      <c r="H915" s="57"/>
      <c r="I915" s="192"/>
      <c r="J915" s="285"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86"/>
      <c r="L915" s="287"/>
      <c r="M915" s="285" t="str">
        <f>IF(AND(OR(E909="SS",E909="RPX",E909="EUC",E909="RPX-T"),(OR(C919="",C919="Field SPL"))),"Cannot have FlexNap cables without tethers","---")</f>
        <v>---</v>
      </c>
      <c r="N915" s="286"/>
      <c r="O915" s="286"/>
      <c r="P915" s="286"/>
      <c r="Q915" s="286"/>
      <c r="R915" s="286"/>
      <c r="S915" s="286"/>
      <c r="T915" s="286"/>
      <c r="U915" s="287"/>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85" t="str">
        <f>IF(AND(OR(E909="RPX", E909="RPX-T", E909="SS"),E910=216),"NO 216 For RPX, RPX-T, OR SS CABLE","---")</f>
        <v>---</v>
      </c>
      <c r="K916" s="286"/>
      <c r="L916" s="287"/>
      <c r="M916" s="285" t="str" cm="1">
        <f t="array" ref="M916">IF(AND(E909="",OR(C919:C943="FST",C919:C943="REV T",C919:C943="DBL REV",C919:C943="TPL REV", C919:C943="QD REV")),"Non-FlexNap cables cannot have tethers","---")</f>
        <v>---</v>
      </c>
      <c r="N916" s="286"/>
      <c r="O916" s="286"/>
      <c r="P916" s="286"/>
      <c r="Q916" s="286"/>
      <c r="R916" s="286"/>
      <c r="S916" s="286"/>
      <c r="T916" s="286"/>
      <c r="U916" s="287"/>
      <c r="V916" s="25"/>
      <c r="W916" s="58"/>
      <c r="X916" s="58"/>
      <c r="Y916" s="25"/>
      <c r="Z916" s="45">
        <v>6</v>
      </c>
      <c r="AA916" s="65">
        <v>61</v>
      </c>
      <c r="AB916" s="65">
        <v>72</v>
      </c>
      <c r="AC916" s="25"/>
      <c r="AD916" s="25"/>
      <c r="BA916" s="226"/>
    </row>
    <row r="917" spans="1:53" ht="15.75" customHeight="1" thickBot="1" x14ac:dyDescent="0.3">
      <c r="A917" s="88"/>
      <c r="B917" s="321" t="s">
        <v>260</v>
      </c>
      <c r="C917" s="293" t="s">
        <v>261</v>
      </c>
      <c r="D917" s="293" t="s">
        <v>262</v>
      </c>
      <c r="E917" s="306" t="s">
        <v>263</v>
      </c>
      <c r="F917" s="293" t="s">
        <v>264</v>
      </c>
      <c r="G917" s="308" t="s">
        <v>265</v>
      </c>
      <c r="H917" s="308" t="s">
        <v>266</v>
      </c>
      <c r="I917" s="308" t="s">
        <v>267</v>
      </c>
      <c r="J917" s="310" t="s">
        <v>268</v>
      </c>
      <c r="K917" s="293" t="s">
        <v>269</v>
      </c>
      <c r="L917" s="279" t="s">
        <v>270</v>
      </c>
      <c r="M917" s="281" t="s">
        <v>271</v>
      </c>
      <c r="N917" s="281"/>
      <c r="O917" s="281"/>
      <c r="P917" s="281"/>
      <c r="Q917" s="281"/>
      <c r="R917" s="281"/>
      <c r="S917" s="281"/>
      <c r="T917" s="281"/>
      <c r="U917" s="282"/>
      <c r="V917" s="107"/>
      <c r="W917" s="72"/>
      <c r="X917" s="72"/>
      <c r="Y917" s="72"/>
      <c r="Z917" s="45">
        <v>7</v>
      </c>
      <c r="AA917" s="65">
        <v>73</v>
      </c>
      <c r="AB917" s="65">
        <v>84</v>
      </c>
      <c r="AC917" s="25"/>
      <c r="AD917" s="25"/>
      <c r="BA917" s="228"/>
    </row>
    <row r="918" spans="1:53" ht="15.75" thickBot="1" x14ac:dyDescent="0.3">
      <c r="A918" s="88"/>
      <c r="B918" s="322"/>
      <c r="C918" s="294"/>
      <c r="D918" s="294"/>
      <c r="E918" s="307"/>
      <c r="F918" s="294"/>
      <c r="G918" s="309"/>
      <c r="H918" s="309"/>
      <c r="I918" s="309"/>
      <c r="J918" s="311"/>
      <c r="K918" s="294"/>
      <c r="L918" s="280"/>
      <c r="M918" s="283"/>
      <c r="N918" s="283"/>
      <c r="O918" s="283"/>
      <c r="P918" s="283"/>
      <c r="Q918" s="283"/>
      <c r="R918" s="283"/>
      <c r="S918" s="283"/>
      <c r="T918" s="283"/>
      <c r="U918" s="284"/>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t="s">
        <v>484</v>
      </c>
      <c r="D919" s="102" t="s">
        <v>777</v>
      </c>
      <c r="E919" s="32">
        <v>2</v>
      </c>
      <c r="F919" s="32" t="s">
        <v>488</v>
      </c>
      <c r="G919" s="68" t="s">
        <v>277</v>
      </c>
      <c r="H919" s="69">
        <f>IF(I919=0,0,I919-(E919-1))</f>
        <v>491</v>
      </c>
      <c r="I919" s="70">
        <f>IF(E919=0,0,I914)</f>
        <v>492</v>
      </c>
      <c r="J919" s="71" t="s">
        <v>278</v>
      </c>
      <c r="K919" s="32"/>
      <c r="L919" s="233"/>
      <c r="M919" s="277"/>
      <c r="N919" s="277"/>
      <c r="O919" s="277"/>
      <c r="P919" s="277"/>
      <c r="Q919" s="277"/>
      <c r="R919" s="277"/>
      <c r="S919" s="277"/>
      <c r="T919" s="277"/>
      <c r="U919" s="278"/>
      <c r="V919" s="103"/>
      <c r="W919" s="72"/>
      <c r="X919" s="72"/>
      <c r="Y919" s="72"/>
      <c r="Z919" s="45">
        <v>9</v>
      </c>
      <c r="AA919" s="46">
        <v>97</v>
      </c>
      <c r="AB919" s="46">
        <v>108</v>
      </c>
      <c r="AC919" s="72">
        <f t="shared" ref="AC919:AC943" si="383">IF(B919&lt;&gt;"FST",1,0)</f>
        <v>1</v>
      </c>
      <c r="AD919" s="72">
        <f t="shared" ref="AD919:AD943" si="384">IF(C919&lt;&gt;"FST",1,0)</f>
        <v>0</v>
      </c>
      <c r="AE919" s="109" t="str">
        <f t="shared" ref="AE919:AE943" si="385">CONCATENATE(H919,"-",I919)</f>
        <v>491-492</v>
      </c>
      <c r="AF919" s="109" t="str">
        <f t="shared" ref="AF919:AF943" si="386">IF(C919="Field SPL","N","Y")</f>
        <v>Y</v>
      </c>
      <c r="AG919" s="109" t="str">
        <f t="shared" ref="AG919:AG943" si="387">IF(OR(E$909="RPX",E$909="SS"),"A","B")</f>
        <v>B</v>
      </c>
      <c r="AH919" s="109">
        <v>2</v>
      </c>
      <c r="AI919" s="109" t="str">
        <f>IF(E909="SS",COUNTIFS(C919:C943,"TCF",E919:E943,"2"),"")</f>
        <v/>
      </c>
      <c r="AJ919" s="109" t="str">
        <f>IF(E909="RPX",COUNTIFS(C919:C943,"TCF",E919:E943,"2"),"")</f>
        <v/>
      </c>
      <c r="AK919" s="109" t="str">
        <f>IF(E909="RPX-T",COUNTIFS(C919:C943,"TCF",E919:E943,"2"),"")</f>
        <v/>
      </c>
      <c r="AL919" s="109">
        <f>IF(E909="EUC",COUNTIFS(C919:C943,"TCF",E919:E943,"2"),"")</f>
        <v>0</v>
      </c>
      <c r="AM919" s="109">
        <f t="shared" ref="AM919:AM943" si="388">VALUE(IF(C919="FST","0",IF(C919="REV T","1",IF(C919="DBL REV",".5","0"))))</f>
        <v>0</v>
      </c>
      <c r="AN919" s="109">
        <f t="shared" ref="AN919:AN943" si="389">VALUE(IF(C919="FST","0",IF(C919="REV T","0",IF(C919="DBL REV",".5","0"))))</f>
        <v>0</v>
      </c>
      <c r="AO919" s="109" t="str">
        <f t="shared" ref="AO919:AO943" si="390">IF(C919="TPL REV","Y","")</f>
        <v/>
      </c>
      <c r="AQ919" s="109" t="str">
        <f t="shared" ref="AQ919:AQ943" si="391">IF(C919="QD REV","Y","")</f>
        <v/>
      </c>
      <c r="BA919" s="229">
        <f>MOD(E919,12)</f>
        <v>2</v>
      </c>
    </row>
    <row r="920" spans="1:53" ht="15.75" thickBot="1" x14ac:dyDescent="0.3">
      <c r="A920" s="88"/>
      <c r="B920" s="66" t="s">
        <v>279</v>
      </c>
      <c r="C920" s="67" t="s">
        <v>484</v>
      </c>
      <c r="D920" s="102" t="s">
        <v>778</v>
      </c>
      <c r="E920" s="32">
        <v>2</v>
      </c>
      <c r="F920" s="32" t="s">
        <v>488</v>
      </c>
      <c r="G920" s="68" t="s">
        <v>277</v>
      </c>
      <c r="H920" s="69">
        <f t="shared" ref="H920:H943" si="392">IF(E920=0,0,I920-(E920-1))</f>
        <v>489</v>
      </c>
      <c r="I920" s="70">
        <f t="shared" ref="I920:I943" si="393">IF(E920=0,0,H919-1)</f>
        <v>490</v>
      </c>
      <c r="J920" s="73" t="str">
        <f>IF(C920="","--",IF(AND(C920&lt;&gt;"FST",C920&lt;&gt;"TCF",BA919&lt;&gt;0),BA919,"--"))</f>
        <v>--</v>
      </c>
      <c r="K920" s="32"/>
      <c r="L920" s="233"/>
      <c r="M920" s="277"/>
      <c r="N920" s="277"/>
      <c r="O920" s="277"/>
      <c r="P920" s="277"/>
      <c r="Q920" s="277"/>
      <c r="R920" s="277"/>
      <c r="S920" s="277"/>
      <c r="T920" s="277"/>
      <c r="U920" s="278"/>
      <c r="V920" s="103"/>
      <c r="W920" s="72"/>
      <c r="X920" s="72"/>
      <c r="Y920" s="72"/>
      <c r="Z920" s="45">
        <v>10</v>
      </c>
      <c r="AA920" s="46">
        <v>109</v>
      </c>
      <c r="AB920" s="46">
        <v>120</v>
      </c>
      <c r="AC920" s="72">
        <f t="shared" si="383"/>
        <v>1</v>
      </c>
      <c r="AD920" s="72">
        <f t="shared" si="384"/>
        <v>0</v>
      </c>
      <c r="AE920" s="109" t="str">
        <f t="shared" si="385"/>
        <v>489-490</v>
      </c>
      <c r="AF920" s="109" t="str">
        <f t="shared" si="386"/>
        <v>Y</v>
      </c>
      <c r="AG920" s="109" t="str">
        <f t="shared" si="387"/>
        <v>B</v>
      </c>
      <c r="AH920" s="109">
        <v>4</v>
      </c>
      <c r="AI920" s="109" t="str">
        <f>IF(E909="SS",COUNTIFS(C919:C943,"TCF",E919:E943,"4"),"")</f>
        <v/>
      </c>
      <c r="AJ920" s="109" t="str">
        <f>IF(E909="RPX",COUNTIFS(C919:C943,"TCF",E919:E943,"4"),"")</f>
        <v/>
      </c>
      <c r="AK920" s="109" t="str">
        <f>IF(E909="RPX-T",COUNTIFS(C919:C943,"TCF",E919:E943,"4"),"")</f>
        <v/>
      </c>
      <c r="AL920" s="109">
        <f>IF(E909="EUC",COUNTIFS(C919:C943,"TCF",E919:E943,"4"),"")</f>
        <v>0</v>
      </c>
      <c r="AM920" s="109">
        <f t="shared" si="388"/>
        <v>0</v>
      </c>
      <c r="AN920" s="109">
        <f t="shared" si="389"/>
        <v>0</v>
      </c>
      <c r="AO920" s="109" t="str">
        <f t="shared" si="390"/>
        <v/>
      </c>
      <c r="AQ920" s="109" t="str">
        <f t="shared" si="391"/>
        <v/>
      </c>
      <c r="BA920" s="229">
        <f>MOD(SUM(E919:E920),12)</f>
        <v>4</v>
      </c>
    </row>
    <row r="921" spans="1:53" ht="15.75" thickBot="1" x14ac:dyDescent="0.3">
      <c r="A921" s="88"/>
      <c r="B921" s="74" t="s">
        <v>280</v>
      </c>
      <c r="C921" s="67" t="s">
        <v>484</v>
      </c>
      <c r="D921" s="102" t="s">
        <v>779</v>
      </c>
      <c r="E921" s="32">
        <v>8</v>
      </c>
      <c r="F921" s="32" t="s">
        <v>488</v>
      </c>
      <c r="G921" s="75" t="s">
        <v>277</v>
      </c>
      <c r="H921" s="69">
        <f t="shared" si="392"/>
        <v>481</v>
      </c>
      <c r="I921" s="70">
        <f t="shared" si="393"/>
        <v>488</v>
      </c>
      <c r="J921" s="73" t="str">
        <f t="shared" ref="J921:J943" si="394">IF(C921="","--",IF(AND(C921&lt;&gt;"FST",C921&lt;&gt;"TCF",BA920&lt;&gt;0),BA920,"--"))</f>
        <v>--</v>
      </c>
      <c r="K921" s="32"/>
      <c r="L921" s="233"/>
      <c r="M921" s="277"/>
      <c r="N921" s="277"/>
      <c r="O921" s="277"/>
      <c r="P921" s="277"/>
      <c r="Q921" s="277"/>
      <c r="R921" s="277"/>
      <c r="S921" s="277"/>
      <c r="T921" s="277"/>
      <c r="U921" s="278"/>
      <c r="V921" s="103"/>
      <c r="W921" s="72"/>
      <c r="X921" s="72"/>
      <c r="Y921" s="72"/>
      <c r="Z921" s="45">
        <v>11</v>
      </c>
      <c r="AA921" s="46">
        <v>121</v>
      </c>
      <c r="AB921" s="46">
        <v>132</v>
      </c>
      <c r="AC921" s="72">
        <f t="shared" si="383"/>
        <v>1</v>
      </c>
      <c r="AD921" s="72">
        <f t="shared" si="384"/>
        <v>0</v>
      </c>
      <c r="AE921" s="109" t="str">
        <f t="shared" si="385"/>
        <v>481-488</v>
      </c>
      <c r="AF921" s="109" t="str">
        <f t="shared" si="386"/>
        <v>Y</v>
      </c>
      <c r="AG921" s="109" t="str">
        <f t="shared" si="387"/>
        <v>B</v>
      </c>
      <c r="AH921" s="109">
        <v>6</v>
      </c>
      <c r="AI921" s="109" t="str">
        <f>IF(E909="SS",COUNTIFS(C919:C943,"TCF",E919:E943,"6"),"")</f>
        <v/>
      </c>
      <c r="AJ921" s="109" t="str">
        <f>IF(E909="RPX",COUNTIFS(C919:C943,"TCF",E919:E943,"6"),"")</f>
        <v/>
      </c>
      <c r="AK921" s="109" t="str">
        <f>IF(E909="RPX-T",COUNTIFS(C919:C943,"TCF",E919:E943,"6"),"")</f>
        <v/>
      </c>
      <c r="AL921" s="109">
        <f>IF(E909="EUC",COUNTIFS(C919:C943,"TCF",E919:E943,"6"),"")</f>
        <v>0</v>
      </c>
      <c r="AM921" s="109">
        <f t="shared" si="388"/>
        <v>0</v>
      </c>
      <c r="AN921" s="109">
        <f t="shared" si="389"/>
        <v>0</v>
      </c>
      <c r="AO921" s="109" t="str">
        <f t="shared" si="390"/>
        <v/>
      </c>
      <c r="AQ921" s="109" t="str">
        <f t="shared" si="391"/>
        <v/>
      </c>
      <c r="BA921" s="229">
        <f>MOD(SUM(E919:E922),12)</f>
        <v>0</v>
      </c>
    </row>
    <row r="922" spans="1:53" ht="15.75" thickBot="1" x14ac:dyDescent="0.3">
      <c r="A922" s="88"/>
      <c r="B922" s="66" t="s">
        <v>281</v>
      </c>
      <c r="C922" s="67" t="s">
        <v>502</v>
      </c>
      <c r="D922" s="102"/>
      <c r="E922" s="32">
        <v>120</v>
      </c>
      <c r="F922" s="32"/>
      <c r="G922" s="68" t="s">
        <v>277</v>
      </c>
      <c r="H922" s="69">
        <f t="shared" si="392"/>
        <v>361</v>
      </c>
      <c r="I922" s="70">
        <f t="shared" si="393"/>
        <v>480</v>
      </c>
      <c r="J922" s="73" t="str">
        <f t="shared" si="394"/>
        <v>--</v>
      </c>
      <c r="K922" s="32"/>
      <c r="L922" s="233"/>
      <c r="M922" s="277" t="s">
        <v>433</v>
      </c>
      <c r="N922" s="277"/>
      <c r="O922" s="277"/>
      <c r="P922" s="277"/>
      <c r="Q922" s="277"/>
      <c r="R922" s="277"/>
      <c r="S922" s="277"/>
      <c r="T922" s="277"/>
      <c r="U922" s="278"/>
      <c r="V922" s="103"/>
      <c r="W922" s="72"/>
      <c r="X922" s="72"/>
      <c r="Y922" s="72"/>
      <c r="Z922" s="45">
        <v>12</v>
      </c>
      <c r="AA922" s="76">
        <v>133</v>
      </c>
      <c r="AB922" s="76">
        <v>144</v>
      </c>
      <c r="AC922" s="72">
        <f t="shared" si="383"/>
        <v>1</v>
      </c>
      <c r="AD922" s="72">
        <f t="shared" si="384"/>
        <v>1</v>
      </c>
      <c r="AE922" s="109" t="str">
        <f t="shared" si="385"/>
        <v>361-480</v>
      </c>
      <c r="AF922" s="109" t="str">
        <f t="shared" si="386"/>
        <v>N</v>
      </c>
      <c r="AG922" s="109" t="str">
        <f t="shared" si="387"/>
        <v>B</v>
      </c>
      <c r="AH922" s="109">
        <v>8</v>
      </c>
      <c r="AI922" s="109" t="str">
        <f>IF(E909="SS",COUNTIFS(C919:C943,"TCF",E919:E943,"8"),"")</f>
        <v/>
      </c>
      <c r="AJ922" s="109" t="str">
        <f>IF(E909="RPX",COUNTIFS(C919:C943,"TCF",E919:E943,"8"),"")</f>
        <v/>
      </c>
      <c r="AK922" s="109" t="str">
        <f>IF(E909="RPX-T",COUNTIFS(C919:C943,"TCF",E919:E943,"8"),"")</f>
        <v/>
      </c>
      <c r="AL922" s="109">
        <f>IF(E909="EUC",COUNTIFS(C919:C943,"TCF",E919:E943,"8"),"")</f>
        <v>0</v>
      </c>
      <c r="AM922" s="109">
        <f t="shared" si="388"/>
        <v>0</v>
      </c>
      <c r="AN922" s="109">
        <f t="shared" si="389"/>
        <v>0</v>
      </c>
      <c r="AO922" s="109" t="str">
        <f t="shared" si="390"/>
        <v/>
      </c>
      <c r="AQ922" s="109" t="str">
        <f t="shared" si="391"/>
        <v/>
      </c>
      <c r="BA922" s="229">
        <f>MOD(SUM(E919:E923),12)</f>
        <v>0</v>
      </c>
    </row>
    <row r="923" spans="1:53" ht="15.75" thickBot="1" x14ac:dyDescent="0.3">
      <c r="A923" s="88"/>
      <c r="B923" s="66" t="s">
        <v>282</v>
      </c>
      <c r="C923" s="67"/>
      <c r="D923" s="102"/>
      <c r="E923" s="32"/>
      <c r="F923" s="32"/>
      <c r="G923" s="68" t="s">
        <v>277</v>
      </c>
      <c r="H923" s="69">
        <f t="shared" si="392"/>
        <v>0</v>
      </c>
      <c r="I923" s="70">
        <f t="shared" si="393"/>
        <v>0</v>
      </c>
      <c r="J923" s="73" t="str">
        <f t="shared" si="394"/>
        <v>--</v>
      </c>
      <c r="K923" s="32"/>
      <c r="L923" s="233"/>
      <c r="M923" s="277"/>
      <c r="N923" s="277"/>
      <c r="O923" s="277"/>
      <c r="P923" s="277"/>
      <c r="Q923" s="277"/>
      <c r="R923" s="277"/>
      <c r="S923" s="277"/>
      <c r="T923" s="277"/>
      <c r="U923" s="278"/>
      <c r="V923" s="103"/>
      <c r="W923" s="72"/>
      <c r="X923" s="72"/>
      <c r="Y923" s="72"/>
      <c r="Z923" s="45">
        <v>13</v>
      </c>
      <c r="AA923" s="77">
        <f t="shared" ref="AA923:AA928" si="395">AB922+1</f>
        <v>145</v>
      </c>
      <c r="AB923" s="77">
        <f t="shared" ref="AB923:AB928" si="396">AB922+12</f>
        <v>156</v>
      </c>
      <c r="AC923" s="72">
        <f t="shared" si="383"/>
        <v>1</v>
      </c>
      <c r="AD923" s="72">
        <f t="shared" si="384"/>
        <v>1</v>
      </c>
      <c r="AE923" s="109" t="str">
        <f t="shared" si="385"/>
        <v>0-0</v>
      </c>
      <c r="AF923" s="109" t="str">
        <f t="shared" si="386"/>
        <v>Y</v>
      </c>
      <c r="AG923" s="109" t="str">
        <f t="shared" si="387"/>
        <v>B</v>
      </c>
      <c r="AH923" s="109">
        <v>12</v>
      </c>
      <c r="AI923" s="109" t="str">
        <f>IF(E909="SS",COUNTIFS(C919:C943,"TCF",E919:E943,"12"),"")</f>
        <v/>
      </c>
      <c r="AJ923" s="109" t="str">
        <f>IF(E909="RPX",COUNTIFS(C919:C943,"TCF",E919:E943,"12"),"")</f>
        <v/>
      </c>
      <c r="AK923" s="109" t="str">
        <f>IF(E909="RPX-T",COUNTIFS(C919:C943,"TCF",E919:E943,"12"),"")</f>
        <v/>
      </c>
      <c r="AL923" s="109">
        <f>IF(E909="EUC",COUNTIFS(C919:C943,"TCF",E919:E943,"12"),"")</f>
        <v>0</v>
      </c>
      <c r="AM923" s="109">
        <f t="shared" si="388"/>
        <v>0</v>
      </c>
      <c r="AN923" s="109">
        <f t="shared" si="389"/>
        <v>0</v>
      </c>
      <c r="AO923" s="109" t="str">
        <f t="shared" si="390"/>
        <v/>
      </c>
      <c r="AQ923" s="109" t="str">
        <f t="shared" si="391"/>
        <v/>
      </c>
      <c r="BA923" s="229">
        <f>MOD(SUM(E919:E924),12)</f>
        <v>0</v>
      </c>
    </row>
    <row r="924" spans="1:53" ht="15.75" thickBot="1" x14ac:dyDescent="0.3">
      <c r="A924" s="88"/>
      <c r="B924" s="66" t="s">
        <v>283</v>
      </c>
      <c r="C924" s="67"/>
      <c r="D924" s="102"/>
      <c r="E924" s="32"/>
      <c r="F924" s="32"/>
      <c r="G924" s="68" t="s">
        <v>277</v>
      </c>
      <c r="H924" s="69">
        <f t="shared" si="392"/>
        <v>0</v>
      </c>
      <c r="I924" s="70">
        <f t="shared" si="393"/>
        <v>0</v>
      </c>
      <c r="J924" s="73" t="str">
        <f t="shared" si="394"/>
        <v>--</v>
      </c>
      <c r="K924" s="32"/>
      <c r="L924" s="233"/>
      <c r="M924" s="277"/>
      <c r="N924" s="277"/>
      <c r="O924" s="277"/>
      <c r="P924" s="277"/>
      <c r="Q924" s="277"/>
      <c r="R924" s="277"/>
      <c r="S924" s="277"/>
      <c r="T924" s="277"/>
      <c r="U924" s="278"/>
      <c r="V924" s="103"/>
      <c r="W924" s="72"/>
      <c r="X924" s="72"/>
      <c r="Y924" s="72"/>
      <c r="Z924" s="45">
        <v>14</v>
      </c>
      <c r="AA924" s="77">
        <f t="shared" si="395"/>
        <v>157</v>
      </c>
      <c r="AB924" s="77">
        <f t="shared" si="396"/>
        <v>168</v>
      </c>
      <c r="AC924" s="72">
        <f t="shared" si="383"/>
        <v>1</v>
      </c>
      <c r="AD924" s="72">
        <f t="shared" si="384"/>
        <v>1</v>
      </c>
      <c r="AE924" s="109" t="str">
        <f t="shared" si="385"/>
        <v>0-0</v>
      </c>
      <c r="AF924" s="109" t="str">
        <f t="shared" si="386"/>
        <v>Y</v>
      </c>
      <c r="AG924" s="109" t="str">
        <f t="shared" si="387"/>
        <v>B</v>
      </c>
      <c r="AM924" s="109">
        <f t="shared" si="388"/>
        <v>0</v>
      </c>
      <c r="AN924" s="109">
        <f t="shared" si="389"/>
        <v>0</v>
      </c>
      <c r="AO924" s="109" t="str">
        <f t="shared" si="390"/>
        <v/>
      </c>
      <c r="AQ924" s="109" t="str">
        <f t="shared" si="391"/>
        <v/>
      </c>
      <c r="BA924" s="229">
        <f>MOD(SUM(E919:E925),12)</f>
        <v>0</v>
      </c>
    </row>
    <row r="925" spans="1:53" ht="15.75" thickBot="1" x14ac:dyDescent="0.3">
      <c r="A925" s="88"/>
      <c r="B925" s="66" t="s">
        <v>284</v>
      </c>
      <c r="C925" s="67"/>
      <c r="D925" s="102"/>
      <c r="E925" s="32"/>
      <c r="F925" s="32"/>
      <c r="G925" s="68" t="s">
        <v>277</v>
      </c>
      <c r="H925" s="69">
        <f t="shared" si="392"/>
        <v>0</v>
      </c>
      <c r="I925" s="70">
        <f t="shared" si="393"/>
        <v>0</v>
      </c>
      <c r="J925" s="73" t="str">
        <f t="shared" si="394"/>
        <v>--</v>
      </c>
      <c r="K925" s="32"/>
      <c r="L925" s="233"/>
      <c r="M925" s="277"/>
      <c r="N925" s="277"/>
      <c r="O925" s="277"/>
      <c r="P925" s="277"/>
      <c r="Q925" s="277"/>
      <c r="R925" s="277"/>
      <c r="S925" s="277"/>
      <c r="T925" s="277"/>
      <c r="U925" s="278"/>
      <c r="V925" s="103"/>
      <c r="W925" s="72"/>
      <c r="X925" s="72"/>
      <c r="Y925" s="72"/>
      <c r="Z925" s="45">
        <v>15</v>
      </c>
      <c r="AA925" s="77">
        <f t="shared" si="395"/>
        <v>169</v>
      </c>
      <c r="AB925" s="77">
        <f t="shared" si="396"/>
        <v>180</v>
      </c>
      <c r="AC925" s="72">
        <f t="shared" si="383"/>
        <v>1</v>
      </c>
      <c r="AD925" s="72">
        <f t="shared" si="384"/>
        <v>1</v>
      </c>
      <c r="AE925" s="109" t="str">
        <f t="shared" si="385"/>
        <v>0-0</v>
      </c>
      <c r="AF925" s="109" t="str">
        <f t="shared" si="386"/>
        <v>Y</v>
      </c>
      <c r="AG925" s="109" t="str">
        <f t="shared" si="387"/>
        <v>B</v>
      </c>
      <c r="AM925" s="109">
        <f t="shared" si="388"/>
        <v>0</v>
      </c>
      <c r="AN925" s="109">
        <f t="shared" si="389"/>
        <v>0</v>
      </c>
      <c r="AO925" s="109" t="str">
        <f t="shared" si="390"/>
        <v/>
      </c>
      <c r="AQ925" s="109" t="str">
        <f t="shared" si="391"/>
        <v/>
      </c>
      <c r="BA925" s="229">
        <f>MOD(SUM(E919:E926),12)</f>
        <v>0</v>
      </c>
    </row>
    <row r="926" spans="1:53" ht="15.75" thickBot="1" x14ac:dyDescent="0.3">
      <c r="A926" s="88"/>
      <c r="B926" s="66" t="s">
        <v>285</v>
      </c>
      <c r="C926" s="67"/>
      <c r="D926" s="102"/>
      <c r="E926" s="32"/>
      <c r="F926" s="32"/>
      <c r="G926" s="68" t="s">
        <v>277</v>
      </c>
      <c r="H926" s="69">
        <f t="shared" si="392"/>
        <v>0</v>
      </c>
      <c r="I926" s="70">
        <f t="shared" si="393"/>
        <v>0</v>
      </c>
      <c r="J926" s="73" t="str">
        <f t="shared" si="394"/>
        <v>--</v>
      </c>
      <c r="K926" s="32"/>
      <c r="L926" s="233"/>
      <c r="M926" s="277"/>
      <c r="N926" s="277"/>
      <c r="O926" s="277"/>
      <c r="P926" s="277"/>
      <c r="Q926" s="277"/>
      <c r="R926" s="277"/>
      <c r="S926" s="277"/>
      <c r="T926" s="277"/>
      <c r="U926" s="278"/>
      <c r="V926" s="103"/>
      <c r="W926" s="72"/>
      <c r="X926" s="72"/>
      <c r="Y926" s="72"/>
      <c r="Z926" s="45">
        <f>Z925+1</f>
        <v>16</v>
      </c>
      <c r="AA926" s="77">
        <f t="shared" si="395"/>
        <v>181</v>
      </c>
      <c r="AB926" s="77">
        <f t="shared" si="396"/>
        <v>192</v>
      </c>
      <c r="AC926" s="72">
        <f t="shared" si="383"/>
        <v>1</v>
      </c>
      <c r="AD926" s="72">
        <f t="shared" si="384"/>
        <v>1</v>
      </c>
      <c r="AE926" s="109" t="str">
        <f t="shared" si="385"/>
        <v>0-0</v>
      </c>
      <c r="AF926" s="109" t="str">
        <f t="shared" si="386"/>
        <v>Y</v>
      </c>
      <c r="AG926" s="109" t="str">
        <f t="shared" si="387"/>
        <v>B</v>
      </c>
      <c r="AM926" s="109">
        <f t="shared" si="388"/>
        <v>0</v>
      </c>
      <c r="AN926" s="109">
        <f t="shared" si="389"/>
        <v>0</v>
      </c>
      <c r="AO926" s="109" t="str">
        <f t="shared" si="390"/>
        <v/>
      </c>
      <c r="AQ926" s="109" t="str">
        <f t="shared" si="391"/>
        <v/>
      </c>
      <c r="BA926" s="229">
        <f>MOD(SUM(E919:E927),12)</f>
        <v>0</v>
      </c>
    </row>
    <row r="927" spans="1:53" ht="15.75" thickBot="1" x14ac:dyDescent="0.3">
      <c r="A927" s="88"/>
      <c r="B927" s="66" t="s">
        <v>286</v>
      </c>
      <c r="C927" s="67"/>
      <c r="D927" s="102"/>
      <c r="E927" s="32"/>
      <c r="F927" s="32"/>
      <c r="G927" s="68" t="s">
        <v>277</v>
      </c>
      <c r="H927" s="69">
        <f t="shared" si="392"/>
        <v>0</v>
      </c>
      <c r="I927" s="70">
        <f t="shared" si="393"/>
        <v>0</v>
      </c>
      <c r="J927" s="73" t="str">
        <f t="shared" si="394"/>
        <v>--</v>
      </c>
      <c r="K927" s="32"/>
      <c r="L927" s="233"/>
      <c r="M927" s="277"/>
      <c r="N927" s="277"/>
      <c r="O927" s="277"/>
      <c r="P927" s="277"/>
      <c r="Q927" s="277"/>
      <c r="R927" s="277"/>
      <c r="S927" s="277"/>
      <c r="T927" s="277"/>
      <c r="U927" s="278"/>
      <c r="V927" s="103"/>
      <c r="W927" s="72"/>
      <c r="X927" s="72"/>
      <c r="Y927" s="72"/>
      <c r="Z927" s="45">
        <f>Z926+1</f>
        <v>17</v>
      </c>
      <c r="AA927" s="77">
        <f t="shared" si="395"/>
        <v>193</v>
      </c>
      <c r="AB927" s="77">
        <f t="shared" si="396"/>
        <v>204</v>
      </c>
      <c r="AC927" s="72">
        <f t="shared" si="383"/>
        <v>1</v>
      </c>
      <c r="AD927" s="72">
        <f t="shared" si="384"/>
        <v>1</v>
      </c>
      <c r="AE927" s="109" t="str">
        <f t="shared" si="385"/>
        <v>0-0</v>
      </c>
      <c r="AF927" s="109" t="str">
        <f t="shared" si="386"/>
        <v>Y</v>
      </c>
      <c r="AG927" s="109" t="str">
        <f t="shared" si="387"/>
        <v>B</v>
      </c>
      <c r="AM927" s="109">
        <f t="shared" si="388"/>
        <v>0</v>
      </c>
      <c r="AN927" s="109">
        <f t="shared" si="389"/>
        <v>0</v>
      </c>
      <c r="AO927" s="109" t="str">
        <f t="shared" si="390"/>
        <v/>
      </c>
      <c r="AQ927" s="109" t="str">
        <f t="shared" si="391"/>
        <v/>
      </c>
      <c r="BA927" s="229">
        <f>MOD(SUM(E919:E928),12)</f>
        <v>0</v>
      </c>
    </row>
    <row r="928" spans="1:53" ht="15.75" thickBot="1" x14ac:dyDescent="0.3">
      <c r="A928" s="88"/>
      <c r="B928" s="66" t="s">
        <v>287</v>
      </c>
      <c r="C928" s="67"/>
      <c r="D928" s="102"/>
      <c r="E928" s="32"/>
      <c r="F928" s="32"/>
      <c r="G928" s="68" t="s">
        <v>277</v>
      </c>
      <c r="H928" s="69">
        <f t="shared" si="392"/>
        <v>0</v>
      </c>
      <c r="I928" s="70">
        <f t="shared" si="393"/>
        <v>0</v>
      </c>
      <c r="J928" s="73" t="str">
        <f t="shared" si="394"/>
        <v>--</v>
      </c>
      <c r="K928" s="32"/>
      <c r="L928" s="233"/>
      <c r="M928" s="277"/>
      <c r="N928" s="277"/>
      <c r="O928" s="277"/>
      <c r="P928" s="277"/>
      <c r="Q928" s="277"/>
      <c r="R928" s="277"/>
      <c r="S928" s="277"/>
      <c r="T928" s="277"/>
      <c r="U928" s="278"/>
      <c r="V928" s="103"/>
      <c r="W928" s="72"/>
      <c r="X928" s="72"/>
      <c r="Y928" s="72"/>
      <c r="Z928" s="45">
        <f>Z927+1</f>
        <v>18</v>
      </c>
      <c r="AA928" s="77">
        <f t="shared" si="395"/>
        <v>205</v>
      </c>
      <c r="AB928" s="77">
        <f t="shared" si="396"/>
        <v>216</v>
      </c>
      <c r="AC928" s="72">
        <f t="shared" si="383"/>
        <v>1</v>
      </c>
      <c r="AD928" s="72">
        <f t="shared" si="384"/>
        <v>1</v>
      </c>
      <c r="AE928" s="109" t="str">
        <f t="shared" si="385"/>
        <v>0-0</v>
      </c>
      <c r="AF928" s="109" t="str">
        <f t="shared" si="386"/>
        <v>Y</v>
      </c>
      <c r="AG928" s="109" t="str">
        <f t="shared" si="387"/>
        <v>B</v>
      </c>
      <c r="AM928" s="109">
        <f t="shared" si="388"/>
        <v>0</v>
      </c>
      <c r="AN928" s="109">
        <f t="shared" si="389"/>
        <v>0</v>
      </c>
      <c r="AO928" s="109" t="str">
        <f t="shared" si="390"/>
        <v/>
      </c>
      <c r="AQ928" s="109" t="str">
        <f t="shared" si="391"/>
        <v/>
      </c>
      <c r="BA928" s="229">
        <f>MOD(SUM(E919:E929),12)</f>
        <v>0</v>
      </c>
    </row>
    <row r="929" spans="1:53" ht="15.75" thickBot="1" x14ac:dyDescent="0.3">
      <c r="A929" s="88"/>
      <c r="B929" s="66" t="s">
        <v>288</v>
      </c>
      <c r="C929" s="67"/>
      <c r="D929" s="102"/>
      <c r="E929" s="32"/>
      <c r="F929" s="32"/>
      <c r="G929" s="68" t="s">
        <v>277</v>
      </c>
      <c r="H929" s="69">
        <f t="shared" si="392"/>
        <v>0</v>
      </c>
      <c r="I929" s="70">
        <f t="shared" si="393"/>
        <v>0</v>
      </c>
      <c r="J929" s="73" t="str">
        <f t="shared" si="394"/>
        <v>--</v>
      </c>
      <c r="K929" s="32"/>
      <c r="L929" s="233"/>
      <c r="M929" s="277"/>
      <c r="N929" s="277"/>
      <c r="O929" s="277"/>
      <c r="P929" s="277"/>
      <c r="Q929" s="277"/>
      <c r="R929" s="277"/>
      <c r="S929" s="277"/>
      <c r="T929" s="277"/>
      <c r="U929" s="278"/>
      <c r="V929" s="103"/>
      <c r="W929" s="84"/>
      <c r="X929" s="84"/>
      <c r="Y929" s="72"/>
      <c r="Z929" s="72"/>
      <c r="AA929" s="72"/>
      <c r="AB929" s="72"/>
      <c r="AC929" s="72">
        <f t="shared" si="383"/>
        <v>1</v>
      </c>
      <c r="AD929" s="72">
        <f t="shared" si="384"/>
        <v>1</v>
      </c>
      <c r="AE929" s="109" t="str">
        <f t="shared" si="385"/>
        <v>0-0</v>
      </c>
      <c r="AF929" s="109" t="str">
        <f t="shared" si="386"/>
        <v>Y</v>
      </c>
      <c r="AG929" s="109" t="str">
        <f t="shared" si="387"/>
        <v>B</v>
      </c>
      <c r="AM929" s="109">
        <f t="shared" si="388"/>
        <v>0</v>
      </c>
      <c r="AN929" s="109">
        <f t="shared" si="389"/>
        <v>0</v>
      </c>
      <c r="AO929" s="109" t="str">
        <f t="shared" si="390"/>
        <v/>
      </c>
      <c r="AQ929" s="109" t="str">
        <f t="shared" si="391"/>
        <v/>
      </c>
      <c r="BA929" s="229">
        <f>MOD(SUM(E919:E930),12)</f>
        <v>0</v>
      </c>
    </row>
    <row r="930" spans="1:53" ht="15.75" thickBot="1" x14ac:dyDescent="0.3">
      <c r="A930" s="88"/>
      <c r="B930" s="66" t="s">
        <v>289</v>
      </c>
      <c r="C930" s="67"/>
      <c r="D930" s="102"/>
      <c r="E930" s="32"/>
      <c r="F930" s="32"/>
      <c r="G930" s="68" t="s">
        <v>277</v>
      </c>
      <c r="H930" s="69">
        <f t="shared" si="392"/>
        <v>0</v>
      </c>
      <c r="I930" s="70">
        <f t="shared" si="393"/>
        <v>0</v>
      </c>
      <c r="J930" s="73" t="str">
        <f t="shared" si="394"/>
        <v>--</v>
      </c>
      <c r="K930" s="32"/>
      <c r="L930" s="233"/>
      <c r="M930" s="277"/>
      <c r="N930" s="277"/>
      <c r="O930" s="277"/>
      <c r="P930" s="277"/>
      <c r="Q930" s="277"/>
      <c r="R930" s="277"/>
      <c r="S930" s="277"/>
      <c r="T930" s="277"/>
      <c r="U930" s="278"/>
      <c r="V930" s="103"/>
      <c r="W930" s="84">
        <f>Y930+1</f>
        <v>133</v>
      </c>
      <c r="X930" s="84"/>
      <c r="Y930" s="78">
        <f>SUM(E919:E930)</f>
        <v>132</v>
      </c>
      <c r="Z930" s="72"/>
      <c r="AA930" s="72"/>
      <c r="AB930" s="72"/>
      <c r="AC930" s="72">
        <f t="shared" si="383"/>
        <v>1</v>
      </c>
      <c r="AD930" s="72">
        <f t="shared" si="384"/>
        <v>1</v>
      </c>
      <c r="AE930" s="109" t="str">
        <f t="shared" si="385"/>
        <v>0-0</v>
      </c>
      <c r="AF930" s="109" t="str">
        <f t="shared" si="386"/>
        <v>Y</v>
      </c>
      <c r="AG930" s="109" t="str">
        <f t="shared" si="387"/>
        <v>B</v>
      </c>
      <c r="AM930" s="109">
        <f t="shared" si="388"/>
        <v>0</v>
      </c>
      <c r="AN930" s="109">
        <f t="shared" si="389"/>
        <v>0</v>
      </c>
      <c r="AO930" s="109" t="str">
        <f t="shared" si="390"/>
        <v/>
      </c>
      <c r="AQ930" s="109" t="str">
        <f t="shared" si="391"/>
        <v/>
      </c>
      <c r="BA930" s="229">
        <f>MOD(SUM(E919:E931),12)</f>
        <v>0</v>
      </c>
    </row>
    <row r="931" spans="1:53" ht="15.75" thickBot="1" x14ac:dyDescent="0.3">
      <c r="A931" s="88"/>
      <c r="B931" s="66" t="s">
        <v>290</v>
      </c>
      <c r="C931" s="67"/>
      <c r="D931" s="102"/>
      <c r="E931" s="32"/>
      <c r="F931" s="32"/>
      <c r="G931" s="68" t="s">
        <v>277</v>
      </c>
      <c r="H931" s="69">
        <f t="shared" si="392"/>
        <v>0</v>
      </c>
      <c r="I931" s="70">
        <f t="shared" si="393"/>
        <v>0</v>
      </c>
      <c r="J931" s="73" t="str">
        <f t="shared" si="394"/>
        <v>--</v>
      </c>
      <c r="K931" s="32"/>
      <c r="L931" s="233"/>
      <c r="M931" s="277"/>
      <c r="N931" s="277"/>
      <c r="O931" s="277"/>
      <c r="P931" s="277"/>
      <c r="Q931" s="277"/>
      <c r="R931" s="277"/>
      <c r="S931" s="277"/>
      <c r="T931" s="277"/>
      <c r="U931" s="278"/>
      <c r="V931" s="103"/>
      <c r="W931" s="84">
        <f>Y931+1</f>
        <v>133</v>
      </c>
      <c r="X931" s="84"/>
      <c r="Y931" s="78">
        <f>SUM(E919:E931)</f>
        <v>132</v>
      </c>
      <c r="Z931" s="72" t="str">
        <f t="shared" ref="Z931:Z943" si="397">IF(OR(AND(E$8=216,C930="DBL REV",C931="DBL REV",Y930&lt;=144,Y931&gt;144),AND(E$8=216,C930="TPL REV",C931="TPL REV",Y930&lt;=144,Y931&gt;144),AND(E$8=216,C930="QD REV",C931="QD REV",Y930&lt;=144,Y931&gt;144)),"ERROR","")</f>
        <v/>
      </c>
      <c r="AA931" s="72"/>
      <c r="AB931" s="72"/>
      <c r="AC931" s="72">
        <f t="shared" si="383"/>
        <v>1</v>
      </c>
      <c r="AD931" s="72">
        <f t="shared" si="384"/>
        <v>1</v>
      </c>
      <c r="AE931" s="109" t="str">
        <f t="shared" si="385"/>
        <v>0-0</v>
      </c>
      <c r="AF931" s="109" t="str">
        <f t="shared" si="386"/>
        <v>Y</v>
      </c>
      <c r="AG931" s="109" t="str">
        <f t="shared" si="387"/>
        <v>B</v>
      </c>
      <c r="AM931" s="109">
        <f t="shared" si="388"/>
        <v>0</v>
      </c>
      <c r="AN931" s="109">
        <f t="shared" si="389"/>
        <v>0</v>
      </c>
      <c r="AO931" s="109" t="str">
        <f t="shared" si="390"/>
        <v/>
      </c>
      <c r="AQ931" s="109" t="str">
        <f t="shared" si="391"/>
        <v/>
      </c>
      <c r="BA931" s="229">
        <f>MOD(SUM(E919:E932),12)</f>
        <v>0</v>
      </c>
    </row>
    <row r="932" spans="1:53" ht="15.75" thickBot="1" x14ac:dyDescent="0.3">
      <c r="A932" s="88"/>
      <c r="B932" s="66" t="s">
        <v>291</v>
      </c>
      <c r="C932" s="67"/>
      <c r="D932" s="102"/>
      <c r="E932" s="32"/>
      <c r="F932" s="32"/>
      <c r="G932" s="68" t="s">
        <v>277</v>
      </c>
      <c r="H932" s="69">
        <f t="shared" si="392"/>
        <v>0</v>
      </c>
      <c r="I932" s="70">
        <f t="shared" si="393"/>
        <v>0</v>
      </c>
      <c r="J932" s="73" t="str">
        <f t="shared" si="394"/>
        <v>--</v>
      </c>
      <c r="K932" s="32"/>
      <c r="L932" s="233"/>
      <c r="M932" s="277"/>
      <c r="N932" s="277"/>
      <c r="O932" s="277"/>
      <c r="P932" s="277"/>
      <c r="Q932" s="277"/>
      <c r="R932" s="277"/>
      <c r="S932" s="277"/>
      <c r="T932" s="277"/>
      <c r="U932" s="278"/>
      <c r="V932" s="103"/>
      <c r="W932" s="84">
        <f>Y932+1</f>
        <v>133</v>
      </c>
      <c r="X932" s="84"/>
      <c r="Y932" s="78">
        <f>SUM(E919:E932)</f>
        <v>132</v>
      </c>
      <c r="Z932" s="72" t="str">
        <f t="shared" si="397"/>
        <v/>
      </c>
      <c r="AA932" s="72"/>
      <c r="AB932" s="72"/>
      <c r="AC932" s="72">
        <f t="shared" si="383"/>
        <v>1</v>
      </c>
      <c r="AD932" s="72">
        <f t="shared" si="384"/>
        <v>1</v>
      </c>
      <c r="AE932" s="109" t="str">
        <f t="shared" si="385"/>
        <v>0-0</v>
      </c>
      <c r="AF932" s="109" t="str">
        <f t="shared" si="386"/>
        <v>Y</v>
      </c>
      <c r="AG932" s="109" t="str">
        <f t="shared" si="387"/>
        <v>B</v>
      </c>
      <c r="AM932" s="109">
        <f t="shared" si="388"/>
        <v>0</v>
      </c>
      <c r="AN932" s="109">
        <f t="shared" si="389"/>
        <v>0</v>
      </c>
      <c r="AO932" s="109" t="str">
        <f t="shared" si="390"/>
        <v/>
      </c>
      <c r="AQ932" s="109" t="str">
        <f t="shared" si="391"/>
        <v/>
      </c>
      <c r="BA932" s="229">
        <f>MOD(SUM(E919:E933),12)</f>
        <v>0</v>
      </c>
    </row>
    <row r="933" spans="1:53" ht="15.75" thickBot="1" x14ac:dyDescent="0.3">
      <c r="A933" s="88"/>
      <c r="B933" s="66" t="s">
        <v>292</v>
      </c>
      <c r="C933" s="67"/>
      <c r="D933" s="102"/>
      <c r="E933" s="32"/>
      <c r="F933" s="32"/>
      <c r="G933" s="68" t="s">
        <v>277</v>
      </c>
      <c r="H933" s="69">
        <f t="shared" si="392"/>
        <v>0</v>
      </c>
      <c r="I933" s="70">
        <f t="shared" si="393"/>
        <v>0</v>
      </c>
      <c r="J933" s="73" t="str">
        <f t="shared" si="394"/>
        <v>--</v>
      </c>
      <c r="K933" s="32"/>
      <c r="L933" s="233"/>
      <c r="M933" s="277"/>
      <c r="N933" s="277"/>
      <c r="O933" s="277"/>
      <c r="P933" s="277"/>
      <c r="Q933" s="277"/>
      <c r="R933" s="277"/>
      <c r="S933" s="277"/>
      <c r="T933" s="277"/>
      <c r="U933" s="278"/>
      <c r="V933" s="103"/>
      <c r="W933" s="84">
        <f>Y933+1</f>
        <v>133</v>
      </c>
      <c r="X933" s="84"/>
      <c r="Y933" s="78">
        <f>SUM(E919:E933)</f>
        <v>132</v>
      </c>
      <c r="Z933" s="72" t="str">
        <f t="shared" si="397"/>
        <v/>
      </c>
      <c r="AA933" s="72" t="str">
        <f t="shared" ref="AA933:AA945" si="398">IF(AND(C931&lt;&gt;"Field SPL",W930&lt;=144,Y931&gt;144),"ERROR","")</f>
        <v/>
      </c>
      <c r="AB933" s="72"/>
      <c r="AC933" s="72">
        <f t="shared" si="383"/>
        <v>1</v>
      </c>
      <c r="AD933" s="72">
        <f t="shared" si="384"/>
        <v>1</v>
      </c>
      <c r="AE933" s="109" t="str">
        <f t="shared" si="385"/>
        <v>0-0</v>
      </c>
      <c r="AF933" s="109" t="str">
        <f t="shared" si="386"/>
        <v>Y</v>
      </c>
      <c r="AG933" s="109" t="str">
        <f t="shared" si="387"/>
        <v>B</v>
      </c>
      <c r="AM933" s="109">
        <f t="shared" si="388"/>
        <v>0</v>
      </c>
      <c r="AN933" s="109">
        <f t="shared" si="389"/>
        <v>0</v>
      </c>
      <c r="AO933" s="109" t="str">
        <f t="shared" si="390"/>
        <v/>
      </c>
      <c r="AQ933" s="109" t="str">
        <f t="shared" si="391"/>
        <v/>
      </c>
      <c r="BA933" s="229">
        <f>MOD(SUM(E919:E934),12)</f>
        <v>0</v>
      </c>
    </row>
    <row r="934" spans="1:53" ht="15.75" thickBot="1" x14ac:dyDescent="0.3">
      <c r="A934" s="88"/>
      <c r="B934" s="66" t="s">
        <v>293</v>
      </c>
      <c r="C934" s="67"/>
      <c r="D934" s="102"/>
      <c r="E934" s="32"/>
      <c r="F934" s="32"/>
      <c r="G934" s="68" t="s">
        <v>277</v>
      </c>
      <c r="H934" s="69">
        <f t="shared" si="392"/>
        <v>0</v>
      </c>
      <c r="I934" s="70">
        <f t="shared" si="393"/>
        <v>0</v>
      </c>
      <c r="J934" s="73" t="str">
        <f t="shared" si="394"/>
        <v>--</v>
      </c>
      <c r="K934" s="32"/>
      <c r="L934" s="233"/>
      <c r="M934" s="277"/>
      <c r="N934" s="277"/>
      <c r="O934" s="277"/>
      <c r="P934" s="277"/>
      <c r="Q934" s="277"/>
      <c r="R934" s="277"/>
      <c r="S934" s="277"/>
      <c r="T934" s="277"/>
      <c r="U934" s="278"/>
      <c r="V934" s="103"/>
      <c r="W934" s="84">
        <f t="shared" ref="W934:W942" si="399">Y934+1</f>
        <v>133</v>
      </c>
      <c r="X934" s="84"/>
      <c r="Y934" s="78">
        <f>SUM(E919:E934)</f>
        <v>132</v>
      </c>
      <c r="Z934" s="72" t="str">
        <f t="shared" si="397"/>
        <v/>
      </c>
      <c r="AA934" s="72" t="str">
        <f t="shared" si="398"/>
        <v/>
      </c>
      <c r="AB934" s="72"/>
      <c r="AC934" s="72">
        <f t="shared" si="383"/>
        <v>1</v>
      </c>
      <c r="AD934" s="72">
        <f t="shared" si="384"/>
        <v>1</v>
      </c>
      <c r="AE934" s="109" t="str">
        <f t="shared" si="385"/>
        <v>0-0</v>
      </c>
      <c r="AF934" s="109" t="str">
        <f t="shared" si="386"/>
        <v>Y</v>
      </c>
      <c r="AG934" s="109" t="str">
        <f t="shared" si="387"/>
        <v>B</v>
      </c>
      <c r="AM934" s="109">
        <f t="shared" si="388"/>
        <v>0</v>
      </c>
      <c r="AN934" s="109">
        <f t="shared" si="389"/>
        <v>0</v>
      </c>
      <c r="AO934" s="109" t="str">
        <f t="shared" si="390"/>
        <v/>
      </c>
      <c r="AQ934" s="109" t="str">
        <f t="shared" si="391"/>
        <v/>
      </c>
      <c r="BA934" s="229">
        <f>MOD(SUM(E919:E935),12)</f>
        <v>0</v>
      </c>
    </row>
    <row r="935" spans="1:53" ht="15.75" thickBot="1" x14ac:dyDescent="0.3">
      <c r="A935" s="88"/>
      <c r="B935" s="66" t="s">
        <v>294</v>
      </c>
      <c r="C935" s="67"/>
      <c r="D935" s="102"/>
      <c r="E935" s="32"/>
      <c r="F935" s="32"/>
      <c r="G935" s="68" t="s">
        <v>277</v>
      </c>
      <c r="H935" s="69">
        <f t="shared" si="392"/>
        <v>0</v>
      </c>
      <c r="I935" s="70">
        <f t="shared" si="393"/>
        <v>0</v>
      </c>
      <c r="J935" s="73" t="str">
        <f t="shared" si="394"/>
        <v>--</v>
      </c>
      <c r="K935" s="32"/>
      <c r="L935" s="233"/>
      <c r="M935" s="277"/>
      <c r="N935" s="277"/>
      <c r="O935" s="277"/>
      <c r="P935" s="277"/>
      <c r="Q935" s="277"/>
      <c r="R935" s="277"/>
      <c r="S935" s="277"/>
      <c r="T935" s="277"/>
      <c r="U935" s="278"/>
      <c r="V935" s="103"/>
      <c r="W935" s="84">
        <f t="shared" si="399"/>
        <v>133</v>
      </c>
      <c r="X935" s="84"/>
      <c r="Y935" s="78">
        <f>SUM(E919:E935)</f>
        <v>132</v>
      </c>
      <c r="Z935" s="72" t="str">
        <f t="shared" si="397"/>
        <v/>
      </c>
      <c r="AA935" s="72" t="str">
        <f t="shared" si="398"/>
        <v/>
      </c>
      <c r="AB935" s="72"/>
      <c r="AC935" s="72">
        <f t="shared" si="383"/>
        <v>1</v>
      </c>
      <c r="AD935" s="72">
        <f t="shared" si="384"/>
        <v>1</v>
      </c>
      <c r="AE935" s="109" t="str">
        <f t="shared" si="385"/>
        <v>0-0</v>
      </c>
      <c r="AF935" s="109" t="str">
        <f t="shared" si="386"/>
        <v>Y</v>
      </c>
      <c r="AG935" s="109" t="str">
        <f t="shared" si="387"/>
        <v>B</v>
      </c>
      <c r="AM935" s="109">
        <f t="shared" si="388"/>
        <v>0</v>
      </c>
      <c r="AN935" s="109">
        <f t="shared" si="389"/>
        <v>0</v>
      </c>
      <c r="AO935" s="109" t="str">
        <f t="shared" si="390"/>
        <v/>
      </c>
      <c r="AQ935" s="109" t="str">
        <f t="shared" si="391"/>
        <v/>
      </c>
      <c r="BA935" s="229">
        <f>MOD(SUM(E919:E936),12)</f>
        <v>0</v>
      </c>
    </row>
    <row r="936" spans="1:53" ht="15.75" thickBot="1" x14ac:dyDescent="0.3">
      <c r="A936" s="88"/>
      <c r="B936" s="66" t="s">
        <v>295</v>
      </c>
      <c r="C936" s="67"/>
      <c r="D936" s="102"/>
      <c r="E936" s="32"/>
      <c r="F936" s="32"/>
      <c r="G936" s="68" t="s">
        <v>277</v>
      </c>
      <c r="H936" s="69">
        <f t="shared" si="392"/>
        <v>0</v>
      </c>
      <c r="I936" s="70">
        <f t="shared" si="393"/>
        <v>0</v>
      </c>
      <c r="J936" s="73" t="str">
        <f t="shared" si="394"/>
        <v>--</v>
      </c>
      <c r="K936" s="32"/>
      <c r="L936" s="233"/>
      <c r="M936" s="277"/>
      <c r="N936" s="277"/>
      <c r="O936" s="277"/>
      <c r="P936" s="277"/>
      <c r="Q936" s="277"/>
      <c r="R936" s="277"/>
      <c r="S936" s="277"/>
      <c r="T936" s="277"/>
      <c r="U936" s="278"/>
      <c r="V936" s="103"/>
      <c r="W936" s="84">
        <f t="shared" si="399"/>
        <v>133</v>
      </c>
      <c r="X936" s="84"/>
      <c r="Y936" s="78">
        <f>SUM(E919:E936)</f>
        <v>132</v>
      </c>
      <c r="Z936" s="72" t="str">
        <f t="shared" si="397"/>
        <v/>
      </c>
      <c r="AA936" s="72" t="str">
        <f t="shared" si="398"/>
        <v/>
      </c>
      <c r="AB936" s="72"/>
      <c r="AC936" s="72">
        <f t="shared" si="383"/>
        <v>1</v>
      </c>
      <c r="AD936" s="72">
        <f t="shared" si="384"/>
        <v>1</v>
      </c>
      <c r="AE936" s="109" t="str">
        <f t="shared" si="385"/>
        <v>0-0</v>
      </c>
      <c r="AF936" s="109" t="str">
        <f t="shared" si="386"/>
        <v>Y</v>
      </c>
      <c r="AG936" s="109" t="str">
        <f t="shared" si="387"/>
        <v>B</v>
      </c>
      <c r="AM936" s="109">
        <f t="shared" si="388"/>
        <v>0</v>
      </c>
      <c r="AN936" s="109">
        <f t="shared" si="389"/>
        <v>0</v>
      </c>
      <c r="AO936" s="109" t="str">
        <f t="shared" si="390"/>
        <v/>
      </c>
      <c r="AQ936" s="109" t="str">
        <f t="shared" si="391"/>
        <v/>
      </c>
      <c r="BA936" s="229">
        <f>MOD(SUM(E919:E937),12)</f>
        <v>0</v>
      </c>
    </row>
    <row r="937" spans="1:53" ht="15.75" thickBot="1" x14ac:dyDescent="0.3">
      <c r="A937" s="88"/>
      <c r="B937" s="66" t="s">
        <v>296</v>
      </c>
      <c r="C937" s="67"/>
      <c r="D937" s="102"/>
      <c r="E937" s="32"/>
      <c r="F937" s="32"/>
      <c r="G937" s="68" t="s">
        <v>277</v>
      </c>
      <c r="H937" s="69">
        <f t="shared" si="392"/>
        <v>0</v>
      </c>
      <c r="I937" s="70">
        <f t="shared" si="393"/>
        <v>0</v>
      </c>
      <c r="J937" s="73" t="str">
        <f t="shared" si="394"/>
        <v>--</v>
      </c>
      <c r="K937" s="32"/>
      <c r="L937" s="233"/>
      <c r="M937" s="277"/>
      <c r="N937" s="277"/>
      <c r="O937" s="277"/>
      <c r="P937" s="277"/>
      <c r="Q937" s="277"/>
      <c r="R937" s="277"/>
      <c r="S937" s="277"/>
      <c r="T937" s="277"/>
      <c r="U937" s="278"/>
      <c r="V937" s="103"/>
      <c r="W937" s="84">
        <f t="shared" si="399"/>
        <v>133</v>
      </c>
      <c r="X937" s="84"/>
      <c r="Y937" s="78">
        <f>SUM(E919:E937)</f>
        <v>132</v>
      </c>
      <c r="Z937" s="72" t="str">
        <f t="shared" si="397"/>
        <v/>
      </c>
      <c r="AA937" s="72" t="str">
        <f t="shared" si="398"/>
        <v/>
      </c>
      <c r="AB937" s="72"/>
      <c r="AC937" s="72">
        <f t="shared" si="383"/>
        <v>1</v>
      </c>
      <c r="AD937" s="72">
        <f t="shared" si="384"/>
        <v>1</v>
      </c>
      <c r="AE937" s="109" t="str">
        <f t="shared" si="385"/>
        <v>0-0</v>
      </c>
      <c r="AF937" s="109" t="str">
        <f t="shared" si="386"/>
        <v>Y</v>
      </c>
      <c r="AG937" s="109" t="str">
        <f t="shared" si="387"/>
        <v>B</v>
      </c>
      <c r="AM937" s="109">
        <f t="shared" si="388"/>
        <v>0</v>
      </c>
      <c r="AN937" s="109">
        <f t="shared" si="389"/>
        <v>0</v>
      </c>
      <c r="AO937" s="109" t="str">
        <f t="shared" si="390"/>
        <v/>
      </c>
      <c r="AQ937" s="109" t="str">
        <f t="shared" si="391"/>
        <v/>
      </c>
      <c r="BA937" s="229">
        <f>MOD(SUM(E919:E938),12)</f>
        <v>0</v>
      </c>
    </row>
    <row r="938" spans="1:53" ht="15.75" thickBot="1" x14ac:dyDescent="0.3">
      <c r="A938" s="88"/>
      <c r="B938" s="66" t="s">
        <v>297</v>
      </c>
      <c r="C938" s="67"/>
      <c r="D938" s="102"/>
      <c r="E938" s="32"/>
      <c r="F938" s="32"/>
      <c r="G938" s="68" t="s">
        <v>277</v>
      </c>
      <c r="H938" s="69">
        <f t="shared" si="392"/>
        <v>0</v>
      </c>
      <c r="I938" s="70">
        <f t="shared" si="393"/>
        <v>0</v>
      </c>
      <c r="J938" s="73" t="str">
        <f t="shared" si="394"/>
        <v>--</v>
      </c>
      <c r="K938" s="32"/>
      <c r="L938" s="233"/>
      <c r="M938" s="277"/>
      <c r="N938" s="277"/>
      <c r="O938" s="277"/>
      <c r="P938" s="277"/>
      <c r="Q938" s="277"/>
      <c r="R938" s="277"/>
      <c r="S938" s="277"/>
      <c r="T938" s="277"/>
      <c r="U938" s="278"/>
      <c r="V938" s="103"/>
      <c r="W938" s="84">
        <f t="shared" si="399"/>
        <v>133</v>
      </c>
      <c r="X938" s="84"/>
      <c r="Y938" s="78">
        <f>SUM(E919:E938)</f>
        <v>132</v>
      </c>
      <c r="Z938" s="72" t="str">
        <f t="shared" si="397"/>
        <v/>
      </c>
      <c r="AA938" s="72" t="str">
        <f t="shared" si="398"/>
        <v/>
      </c>
      <c r="AB938" s="72"/>
      <c r="AC938" s="72">
        <f t="shared" si="383"/>
        <v>1</v>
      </c>
      <c r="AD938" s="72">
        <f t="shared" si="384"/>
        <v>1</v>
      </c>
      <c r="AE938" s="109" t="str">
        <f t="shared" si="385"/>
        <v>0-0</v>
      </c>
      <c r="AF938" s="109" t="str">
        <f t="shared" si="386"/>
        <v>Y</v>
      </c>
      <c r="AG938" s="109" t="str">
        <f t="shared" si="387"/>
        <v>B</v>
      </c>
      <c r="AM938" s="109">
        <f t="shared" si="388"/>
        <v>0</v>
      </c>
      <c r="AN938" s="109">
        <f t="shared" si="389"/>
        <v>0</v>
      </c>
      <c r="AO938" s="109" t="str">
        <f t="shared" si="390"/>
        <v/>
      </c>
      <c r="AQ938" s="109" t="str">
        <f t="shared" si="391"/>
        <v/>
      </c>
      <c r="BA938" s="229">
        <f>MOD(SUM(E919:E939),12)</f>
        <v>0</v>
      </c>
    </row>
    <row r="939" spans="1:53" ht="15.75" thickBot="1" x14ac:dyDescent="0.3">
      <c r="A939" s="88"/>
      <c r="B939" s="66" t="s">
        <v>298</v>
      </c>
      <c r="C939" s="67"/>
      <c r="D939" s="102"/>
      <c r="E939" s="32"/>
      <c r="F939" s="32"/>
      <c r="G939" s="68" t="s">
        <v>277</v>
      </c>
      <c r="H939" s="69">
        <f t="shared" si="392"/>
        <v>0</v>
      </c>
      <c r="I939" s="70">
        <f t="shared" si="393"/>
        <v>0</v>
      </c>
      <c r="J939" s="73" t="str">
        <f t="shared" si="394"/>
        <v>--</v>
      </c>
      <c r="K939" s="32"/>
      <c r="L939" s="233"/>
      <c r="M939" s="277"/>
      <c r="N939" s="277"/>
      <c r="O939" s="277"/>
      <c r="P939" s="277"/>
      <c r="Q939" s="277"/>
      <c r="R939" s="277"/>
      <c r="S939" s="277"/>
      <c r="T939" s="277"/>
      <c r="U939" s="278"/>
      <c r="V939" s="103"/>
      <c r="W939" s="84">
        <f t="shared" si="399"/>
        <v>133</v>
      </c>
      <c r="X939" s="84"/>
      <c r="Y939" s="78">
        <f>SUM(E919:E939)</f>
        <v>132</v>
      </c>
      <c r="Z939" s="72" t="str">
        <f t="shared" si="397"/>
        <v/>
      </c>
      <c r="AA939" s="72" t="str">
        <f t="shared" si="398"/>
        <v/>
      </c>
      <c r="AB939" s="72"/>
      <c r="AC939" s="72">
        <f t="shared" si="383"/>
        <v>1</v>
      </c>
      <c r="AD939" s="72">
        <f t="shared" si="384"/>
        <v>1</v>
      </c>
      <c r="AE939" s="109" t="str">
        <f t="shared" si="385"/>
        <v>0-0</v>
      </c>
      <c r="AF939" s="109" t="str">
        <f t="shared" si="386"/>
        <v>Y</v>
      </c>
      <c r="AG939" s="109" t="str">
        <f t="shared" si="387"/>
        <v>B</v>
      </c>
      <c r="AM939" s="109">
        <f t="shared" si="388"/>
        <v>0</v>
      </c>
      <c r="AN939" s="109">
        <f t="shared" si="389"/>
        <v>0</v>
      </c>
      <c r="AO939" s="109" t="str">
        <f t="shared" si="390"/>
        <v/>
      </c>
      <c r="AQ939" s="109" t="str">
        <f t="shared" si="391"/>
        <v/>
      </c>
      <c r="BA939" s="229">
        <f>MOD(SUM(E919:E940),12)</f>
        <v>0</v>
      </c>
    </row>
    <row r="940" spans="1:53" ht="15.75" thickBot="1" x14ac:dyDescent="0.3">
      <c r="A940" s="88"/>
      <c r="B940" s="66" t="s">
        <v>299</v>
      </c>
      <c r="C940" s="67"/>
      <c r="D940" s="102"/>
      <c r="E940" s="32"/>
      <c r="F940" s="32"/>
      <c r="G940" s="68" t="s">
        <v>277</v>
      </c>
      <c r="H940" s="69">
        <f t="shared" si="392"/>
        <v>0</v>
      </c>
      <c r="I940" s="70">
        <f t="shared" si="393"/>
        <v>0</v>
      </c>
      <c r="J940" s="73" t="str">
        <f t="shared" si="394"/>
        <v>--</v>
      </c>
      <c r="K940" s="32"/>
      <c r="L940" s="233"/>
      <c r="M940" s="277"/>
      <c r="N940" s="277"/>
      <c r="O940" s="277"/>
      <c r="P940" s="277"/>
      <c r="Q940" s="277"/>
      <c r="R940" s="277"/>
      <c r="S940" s="277"/>
      <c r="T940" s="277"/>
      <c r="U940" s="278"/>
      <c r="V940" s="103"/>
      <c r="W940" s="84">
        <f t="shared" si="399"/>
        <v>133</v>
      </c>
      <c r="X940" s="84"/>
      <c r="Y940" s="78">
        <f>SUM(E919:E940)</f>
        <v>132</v>
      </c>
      <c r="Z940" s="72" t="str">
        <f t="shared" si="397"/>
        <v/>
      </c>
      <c r="AA940" s="72" t="str">
        <f t="shared" si="398"/>
        <v/>
      </c>
      <c r="AB940" s="72"/>
      <c r="AC940" s="72">
        <f t="shared" si="383"/>
        <v>1</v>
      </c>
      <c r="AD940" s="72">
        <f t="shared" si="384"/>
        <v>1</v>
      </c>
      <c r="AE940" s="109" t="str">
        <f t="shared" si="385"/>
        <v>0-0</v>
      </c>
      <c r="AF940" s="109" t="str">
        <f t="shared" si="386"/>
        <v>Y</v>
      </c>
      <c r="AG940" s="109" t="str">
        <f t="shared" si="387"/>
        <v>B</v>
      </c>
      <c r="AM940" s="109">
        <f t="shared" si="388"/>
        <v>0</v>
      </c>
      <c r="AN940" s="109">
        <f t="shared" si="389"/>
        <v>0</v>
      </c>
      <c r="AO940" s="109" t="str">
        <f t="shared" si="390"/>
        <v/>
      </c>
      <c r="AQ940" s="109" t="str">
        <f t="shared" si="391"/>
        <v/>
      </c>
      <c r="BA940" s="229">
        <f>MOD(SUM(E919:E941),12)</f>
        <v>0</v>
      </c>
    </row>
    <row r="941" spans="1:53" ht="15.75" thickBot="1" x14ac:dyDescent="0.3">
      <c r="A941" s="88"/>
      <c r="B941" s="66" t="s">
        <v>300</v>
      </c>
      <c r="C941" s="67"/>
      <c r="D941" s="102"/>
      <c r="E941" s="32"/>
      <c r="F941" s="32"/>
      <c r="G941" s="68" t="s">
        <v>277</v>
      </c>
      <c r="H941" s="69">
        <f t="shared" si="392"/>
        <v>0</v>
      </c>
      <c r="I941" s="70">
        <f t="shared" si="393"/>
        <v>0</v>
      </c>
      <c r="J941" s="73" t="str">
        <f t="shared" si="394"/>
        <v>--</v>
      </c>
      <c r="K941" s="32"/>
      <c r="L941" s="233"/>
      <c r="M941" s="277"/>
      <c r="N941" s="277"/>
      <c r="O941" s="277"/>
      <c r="P941" s="277"/>
      <c r="Q941" s="277"/>
      <c r="R941" s="277"/>
      <c r="S941" s="277"/>
      <c r="T941" s="277"/>
      <c r="U941" s="278"/>
      <c r="V941" s="103"/>
      <c r="W941" s="84">
        <f t="shared" si="399"/>
        <v>133</v>
      </c>
      <c r="X941" s="84"/>
      <c r="Y941" s="78">
        <f>SUM(E919:E941)</f>
        <v>132</v>
      </c>
      <c r="Z941" s="72" t="str">
        <f t="shared" si="397"/>
        <v/>
      </c>
      <c r="AA941" s="72" t="str">
        <f t="shared" si="398"/>
        <v/>
      </c>
      <c r="AB941" s="72"/>
      <c r="AC941" s="72">
        <f t="shared" si="383"/>
        <v>1</v>
      </c>
      <c r="AD941" s="72">
        <f t="shared" si="384"/>
        <v>1</v>
      </c>
      <c r="AE941" s="109" t="str">
        <f t="shared" si="385"/>
        <v>0-0</v>
      </c>
      <c r="AF941" s="109" t="str">
        <f t="shared" si="386"/>
        <v>Y</v>
      </c>
      <c r="AG941" s="109" t="str">
        <f t="shared" si="387"/>
        <v>B</v>
      </c>
      <c r="AM941" s="109">
        <f t="shared" si="388"/>
        <v>0</v>
      </c>
      <c r="AN941" s="109">
        <f t="shared" si="389"/>
        <v>0</v>
      </c>
      <c r="AO941" s="109" t="str">
        <f t="shared" si="390"/>
        <v/>
      </c>
      <c r="AQ941" s="109" t="str">
        <f t="shared" si="391"/>
        <v/>
      </c>
      <c r="BA941" s="229">
        <f>MOD(SUM(E919:E942),12)</f>
        <v>0</v>
      </c>
    </row>
    <row r="942" spans="1:53" ht="15.75" thickBot="1" x14ac:dyDescent="0.3">
      <c r="A942" s="88"/>
      <c r="B942" s="66" t="s">
        <v>301</v>
      </c>
      <c r="C942" s="67"/>
      <c r="D942" s="102"/>
      <c r="E942" s="32"/>
      <c r="F942" s="32"/>
      <c r="G942" s="68" t="s">
        <v>277</v>
      </c>
      <c r="H942" s="69">
        <f t="shared" si="392"/>
        <v>0</v>
      </c>
      <c r="I942" s="70">
        <f t="shared" si="393"/>
        <v>0</v>
      </c>
      <c r="J942" s="73" t="str">
        <f t="shared" si="394"/>
        <v>--</v>
      </c>
      <c r="K942" s="32"/>
      <c r="L942" s="233"/>
      <c r="M942" s="277"/>
      <c r="N942" s="277"/>
      <c r="O942" s="277"/>
      <c r="P942" s="277"/>
      <c r="Q942" s="277"/>
      <c r="R942" s="277"/>
      <c r="S942" s="277"/>
      <c r="T942" s="277"/>
      <c r="U942" s="278"/>
      <c r="V942" s="103"/>
      <c r="W942" s="84">
        <f t="shared" si="399"/>
        <v>133</v>
      </c>
      <c r="X942" s="84"/>
      <c r="Y942" s="78">
        <f>SUM(E919:E942)</f>
        <v>132</v>
      </c>
      <c r="Z942" s="72" t="str">
        <f t="shared" si="397"/>
        <v/>
      </c>
      <c r="AA942" s="72" t="str">
        <f t="shared" si="398"/>
        <v/>
      </c>
      <c r="AB942" s="72"/>
      <c r="AC942" s="72">
        <f t="shared" si="383"/>
        <v>1</v>
      </c>
      <c r="AD942" s="72">
        <f t="shared" si="384"/>
        <v>1</v>
      </c>
      <c r="AE942" s="109" t="str">
        <f t="shared" si="385"/>
        <v>0-0</v>
      </c>
      <c r="AF942" s="109" t="str">
        <f t="shared" si="386"/>
        <v>Y</v>
      </c>
      <c r="AG942" s="109" t="str">
        <f t="shared" si="387"/>
        <v>B</v>
      </c>
      <c r="AM942" s="109">
        <f t="shared" si="388"/>
        <v>0</v>
      </c>
      <c r="AN942" s="109">
        <f t="shared" si="389"/>
        <v>0</v>
      </c>
      <c r="AO942" s="109" t="str">
        <f t="shared" si="390"/>
        <v/>
      </c>
      <c r="AQ942" s="109" t="str">
        <f t="shared" si="391"/>
        <v/>
      </c>
      <c r="BA942" s="229">
        <f>MOD(SUM(E919:E943),12)</f>
        <v>0</v>
      </c>
    </row>
    <row r="943" spans="1:53" ht="15.75" thickBot="1" x14ac:dyDescent="0.3">
      <c r="A943" s="88"/>
      <c r="B943" s="66" t="s">
        <v>302</v>
      </c>
      <c r="C943" s="67"/>
      <c r="D943" s="102"/>
      <c r="E943" s="32"/>
      <c r="F943" s="32"/>
      <c r="G943" s="68" t="s">
        <v>277</v>
      </c>
      <c r="H943" s="69">
        <f t="shared" si="392"/>
        <v>0</v>
      </c>
      <c r="I943" s="70">
        <f t="shared" si="393"/>
        <v>0</v>
      </c>
      <c r="J943" s="73" t="str">
        <f t="shared" si="394"/>
        <v>--</v>
      </c>
      <c r="K943" s="32"/>
      <c r="L943" s="234"/>
      <c r="M943" s="277"/>
      <c r="N943" s="277"/>
      <c r="O943" s="277"/>
      <c r="P943" s="277"/>
      <c r="Q943" s="277"/>
      <c r="R943" s="277"/>
      <c r="S943" s="277"/>
      <c r="T943" s="277"/>
      <c r="U943" s="278"/>
      <c r="V943" s="103"/>
      <c r="W943" s="72"/>
      <c r="X943" s="72"/>
      <c r="Y943" s="78">
        <f>SUM(E919:E943)</f>
        <v>132</v>
      </c>
      <c r="Z943" s="72" t="str">
        <f t="shared" si="397"/>
        <v/>
      </c>
      <c r="AA943" s="72" t="str">
        <f t="shared" si="398"/>
        <v/>
      </c>
      <c r="AB943" s="72"/>
      <c r="AC943" s="72">
        <f t="shared" si="383"/>
        <v>1</v>
      </c>
      <c r="AD943" s="72">
        <f t="shared" si="384"/>
        <v>1</v>
      </c>
      <c r="AE943" s="109" t="str">
        <f t="shared" si="385"/>
        <v>0-0</v>
      </c>
      <c r="AF943" s="109" t="str">
        <f t="shared" si="386"/>
        <v>Y</v>
      </c>
      <c r="AG943" s="109" t="str">
        <f t="shared" si="387"/>
        <v>B</v>
      </c>
      <c r="AM943" s="109">
        <f t="shared" si="388"/>
        <v>0</v>
      </c>
      <c r="AN943" s="109">
        <f t="shared" si="389"/>
        <v>0</v>
      </c>
      <c r="AO943" s="109" t="str">
        <f t="shared" si="390"/>
        <v/>
      </c>
      <c r="AQ943" s="109" t="str">
        <f t="shared" si="391"/>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98"/>
        <v/>
      </c>
      <c r="AB944" s="72"/>
      <c r="AC944" s="72">
        <f>SUM(AC919:AC943)</f>
        <v>25</v>
      </c>
      <c r="AD944" s="72">
        <f>SUM(AD919:AD943)</f>
        <v>22</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98"/>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312" t="s">
        <v>222</v>
      </c>
      <c r="C949" s="313"/>
      <c r="D949" s="314" t="s">
        <v>223</v>
      </c>
      <c r="E949" s="305"/>
      <c r="F949" s="88"/>
      <c r="G949" s="315" t="s">
        <v>224</v>
      </c>
      <c r="H949" s="316"/>
      <c r="I949" s="28">
        <f>SUM(E960:E984)</f>
        <v>12</v>
      </c>
      <c r="J949" s="317" t="s">
        <v>225</v>
      </c>
      <c r="K949" s="318"/>
      <c r="L949" s="305"/>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5" t="s">
        <v>226</v>
      </c>
      <c r="AA949" s="296"/>
      <c r="AB949" s="297"/>
      <c r="AC949" s="25"/>
      <c r="AD949" s="25"/>
      <c r="AH949" s="109">
        <v>2</v>
      </c>
      <c r="AI949" s="109" t="str">
        <f>IF($E950="SS",COUNTIFS($C960:$C984,"FST",$E960:$E984,"2"),"0")</f>
        <v>0</v>
      </c>
      <c r="AJ949" s="109" t="str">
        <f>IF($E950="RPX",COUNTIFS($C960:$C984,"FST",$E960:$E984,"2"),"0")</f>
        <v>0</v>
      </c>
      <c r="AK949" s="109">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1</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EUC</v>
      </c>
      <c r="F950" s="88"/>
      <c r="G950" s="304" t="s">
        <v>230</v>
      </c>
      <c r="H950" s="305"/>
      <c r="I950" s="33">
        <f>E951-I949</f>
        <v>12</v>
      </c>
      <c r="J950" s="289" t="s">
        <v>231</v>
      </c>
      <c r="K950" s="290"/>
      <c r="L950" s="34">
        <f>I954</f>
        <v>457</v>
      </c>
      <c r="M950" s="196">
        <v>4</v>
      </c>
      <c r="N950" s="35">
        <f>SUM(AI950,AI961)</f>
        <v>0</v>
      </c>
      <c r="O950" s="35">
        <v>0</v>
      </c>
      <c r="P950" s="35">
        <f>SUM(AJ950,AJ961)</f>
        <v>0</v>
      </c>
      <c r="Q950" s="35">
        <v>0</v>
      </c>
      <c r="R950" s="35">
        <f>COUNTIFS($E960:$E984,"4",$F960:$F984,"Pole",$C960:$C984,"FST")</f>
        <v>0</v>
      </c>
      <c r="S950" s="35">
        <f>SUM(AL950,AK961)</f>
        <v>0</v>
      </c>
      <c r="T950" s="35">
        <v>0</v>
      </c>
      <c r="U950" s="35">
        <f>SUM(AK950,AL961)</f>
        <v>1</v>
      </c>
      <c r="V950" s="35">
        <v>0</v>
      </c>
      <c r="W950" s="34">
        <f>COUNTIFS($E960:$E984,"4",$F960:$F984,"HH",$C960:$C984,"FST")</f>
        <v>1</v>
      </c>
      <c r="X950" s="35">
        <f>COUNTIFS($E960:$E984,"4",$F960:$F984,"Ped",$C960:$C984,"FST")</f>
        <v>0</v>
      </c>
      <c r="Y950" s="25"/>
      <c r="Z950" s="298" t="s">
        <v>232</v>
      </c>
      <c r="AA950" s="300" t="s">
        <v>233</v>
      </c>
      <c r="AB950" s="301"/>
      <c r="AC950" s="25"/>
      <c r="AD950" s="25"/>
      <c r="AH950" s="109">
        <v>4</v>
      </c>
      <c r="AI950" s="109" t="str">
        <f>IF($E950="SS",COUNTIFS($C960:$C984,"FST",$E960:$E984,"4"),"0")</f>
        <v>0</v>
      </c>
      <c r="AJ950" s="109" t="str">
        <f>IF($E950="RPX",COUNTIFS($C960:$C984,"FST",$E960:$E984,"4"),"0")</f>
        <v>0</v>
      </c>
      <c r="AK950" s="109">
        <f>IF($E950="EUC",COUNTIFS($C960:$C984,"FST",$E960:$E984,"4"),"0")</f>
        <v>1</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v>24</v>
      </c>
      <c r="F951" s="88"/>
      <c r="G951" s="291" t="s">
        <v>237</v>
      </c>
      <c r="H951" s="292"/>
      <c r="I951" s="35">
        <f>IF(E951=0,0,12-(MOD(I949,12)))</f>
        <v>12</v>
      </c>
      <c r="J951" s="289" t="s">
        <v>238</v>
      </c>
      <c r="K951" s="290"/>
      <c r="L951" s="39">
        <f>I955-I949</f>
        <v>456</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299"/>
      <c r="AA951" s="302"/>
      <c r="AB951" s="303"/>
      <c r="AC951" s="25"/>
      <c r="AD951" s="25"/>
      <c r="AH951" s="109">
        <v>6</v>
      </c>
      <c r="AI951" s="109" t="str">
        <f>IF($E950="SS",COUNTIFS($C960:$C984,"FST",$E960:$E984,"6"),"0")</f>
        <v>0</v>
      </c>
      <c r="AJ951" s="109" t="str">
        <f>IF($E950="RPX",COUNTIFS($C960:$C984,"FST",$E960:$E984,"6"),"0")</f>
        <v>0</v>
      </c>
      <c r="AK951" s="109">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v>12</v>
      </c>
      <c r="F952" s="88"/>
      <c r="G952" s="321" t="s">
        <v>242</v>
      </c>
      <c r="H952" s="43" t="s">
        <v>243</v>
      </c>
      <c r="I952" s="35">
        <f>IF(E952&lt;&gt;0,1,0)</f>
        <v>1</v>
      </c>
      <c r="J952" s="291" t="s">
        <v>244</v>
      </c>
      <c r="K952" s="292"/>
      <c r="L952" s="44">
        <f>'Cable Calculator'!DO3</f>
        <v>757</v>
      </c>
      <c r="M952" s="196">
        <v>8</v>
      </c>
      <c r="N952" s="35">
        <f>SUM(AI952,AI963)</f>
        <v>0</v>
      </c>
      <c r="O952" s="35">
        <v>0</v>
      </c>
      <c r="P952" s="35">
        <f>SUM(AJ952,AJ963)</f>
        <v>0</v>
      </c>
      <c r="Q952" s="35">
        <v>0</v>
      </c>
      <c r="R952" s="35">
        <f>COUNTIFS($E960:$E984,"8",$F960:$F984,"Pole",$C960:$C984,"FST")</f>
        <v>0</v>
      </c>
      <c r="S952" s="35">
        <f>SUM(AL952,AK963)</f>
        <v>0</v>
      </c>
      <c r="T952" s="35">
        <v>0</v>
      </c>
      <c r="U952" s="35">
        <f>SUM(AK952,AL963)</f>
        <v>1</v>
      </c>
      <c r="V952" s="35">
        <v>0</v>
      </c>
      <c r="W952" s="34">
        <f>COUNTIFS($E960:$E984,"8",$F960:$F984,"HH",$C960:$C984,"FST")</f>
        <v>1</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f>IF($E950="EUC",COUNTIFS($C960:$C984,"FST",$E960:$E984,"8"),"0")</f>
        <v>1</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v>457</v>
      </c>
      <c r="F953" s="88"/>
      <c r="G953" s="322"/>
      <c r="H953" s="47" t="s">
        <v>248</v>
      </c>
      <c r="I953" s="35">
        <f>IF(E952&lt;&gt;0,E952,0)</f>
        <v>12</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f>IF($E950="EUC",SUM(AK953,AL964,AM985,AO985,AQ985),"0")</f>
        <v>0</v>
      </c>
      <c r="V953" s="35">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2</v>
      </c>
      <c r="F954" s="88"/>
      <c r="G954" s="321" t="s">
        <v>251</v>
      </c>
      <c r="H954" s="51" t="s">
        <v>252</v>
      </c>
      <c r="I954" s="112">
        <f>E953</f>
        <v>457</v>
      </c>
      <c r="J954" s="323" t="s">
        <v>253</v>
      </c>
      <c r="K954" s="324"/>
      <c r="L954" s="325"/>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Y</v>
      </c>
      <c r="F955" s="88"/>
      <c r="G955" s="322"/>
      <c r="H955" s="47" t="s">
        <v>257</v>
      </c>
      <c r="I955" s="35">
        <f>IF(E953="","0",IF(AND(E950="EUC",E951=432), I954+(203-E952),IF(E953=0,0,(E953+(E951-E952)-1))))</f>
        <v>468</v>
      </c>
      <c r="J955" s="285" t="str">
        <f>IFERROR(IF(OR(E950="EUC",E950="SS"),"---",IF(OR(P949,S949),"NO 2F Tethers for RPX!",IF(OR(P951,S951),"NO 6F Tethers for RPX!","---"))),"---")</f>
        <v>---</v>
      </c>
      <c r="K955" s="286"/>
      <c r="L955" s="287"/>
      <c r="M955" s="285" t="str">
        <f>IF(E952&gt;60,"Dead Count &gt;60: Consider Downsize","---")</f>
        <v>---</v>
      </c>
      <c r="N955" s="286"/>
      <c r="O955" s="286"/>
      <c r="P955" s="286"/>
      <c r="Q955" s="286"/>
      <c r="R955" s="286"/>
      <c r="S955" s="286"/>
      <c r="T955" s="286"/>
      <c r="U955" s="287"/>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12</v>
      </c>
      <c r="D956" s="31" t="s">
        <v>259</v>
      </c>
      <c r="E956" s="101" t="str">
        <f>IF(AS950="Y","DBL",IF(AS951="Y","TRPL",IF(AS952="Y","QUAD","")))</f>
        <v/>
      </c>
      <c r="F956" s="88"/>
      <c r="G956" s="192"/>
      <c r="H956" s="57"/>
      <c r="I956" s="192"/>
      <c r="J956" s="285"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86"/>
      <c r="L956" s="287"/>
      <c r="M956" s="285" t="str">
        <f>IF(AND(OR(E950="SS",E950="RPX",E950="EUC",E950="RPX-T"),(OR(C960="",C960="Field SPL"))),"Cannot have FlexNap cables without tethers","---")</f>
        <v>---</v>
      </c>
      <c r="N956" s="286"/>
      <c r="O956" s="286"/>
      <c r="P956" s="286"/>
      <c r="Q956" s="286"/>
      <c r="R956" s="286"/>
      <c r="S956" s="286"/>
      <c r="T956" s="286"/>
      <c r="U956" s="287"/>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85" t="str">
        <f>IF(AND(OR(E950="RPX", E950="RPX-T", E950="SS"),E951=216),"NO 216 For RPX, RPX-T, OR SS CABLE","---")</f>
        <v>---</v>
      </c>
      <c r="K957" s="286"/>
      <c r="L957" s="287"/>
      <c r="M957" s="285" t="str" cm="1">
        <f t="array" ref="M957">IF(AND(E950="",OR(C960:C984="FST",C960:C984="REV T",C960:C984="DBL REV",C960:C984="TPL REV", C960:C984="QD REV")),"Non-FlexNap cables cannot have tethers","---")</f>
        <v>---</v>
      </c>
      <c r="N957" s="286"/>
      <c r="O957" s="286"/>
      <c r="P957" s="286"/>
      <c r="Q957" s="286"/>
      <c r="R957" s="286"/>
      <c r="S957" s="286"/>
      <c r="T957" s="286"/>
      <c r="U957" s="287"/>
      <c r="V957" s="25"/>
      <c r="W957" s="58"/>
      <c r="X957" s="58"/>
      <c r="Y957" s="25"/>
      <c r="Z957" s="45">
        <v>6</v>
      </c>
      <c r="AA957" s="65">
        <v>61</v>
      </c>
      <c r="AB957" s="65">
        <v>72</v>
      </c>
      <c r="AC957" s="25"/>
      <c r="AD957" s="25"/>
      <c r="BA957" s="226"/>
    </row>
    <row r="958" spans="1:53" ht="15.75" customHeight="1" thickBot="1" x14ac:dyDescent="0.3">
      <c r="A958" s="88"/>
      <c r="B958" s="321" t="s">
        <v>260</v>
      </c>
      <c r="C958" s="293" t="s">
        <v>261</v>
      </c>
      <c r="D958" s="293" t="s">
        <v>262</v>
      </c>
      <c r="E958" s="306" t="s">
        <v>263</v>
      </c>
      <c r="F958" s="293" t="s">
        <v>264</v>
      </c>
      <c r="G958" s="308" t="s">
        <v>265</v>
      </c>
      <c r="H958" s="308" t="s">
        <v>266</v>
      </c>
      <c r="I958" s="308" t="s">
        <v>267</v>
      </c>
      <c r="J958" s="310" t="s">
        <v>268</v>
      </c>
      <c r="K958" s="293" t="s">
        <v>269</v>
      </c>
      <c r="L958" s="279" t="s">
        <v>270</v>
      </c>
      <c r="M958" s="281" t="s">
        <v>271</v>
      </c>
      <c r="N958" s="281"/>
      <c r="O958" s="281"/>
      <c r="P958" s="281"/>
      <c r="Q958" s="281"/>
      <c r="R958" s="281"/>
      <c r="S958" s="281"/>
      <c r="T958" s="281"/>
      <c r="U958" s="282"/>
      <c r="V958" s="107"/>
      <c r="W958" s="72"/>
      <c r="X958" s="72"/>
      <c r="Y958" s="72"/>
      <c r="Z958" s="45">
        <v>7</v>
      </c>
      <c r="AA958" s="65">
        <v>73</v>
      </c>
      <c r="AB958" s="65">
        <v>84</v>
      </c>
      <c r="AC958" s="25"/>
      <c r="AD958" s="25"/>
      <c r="BA958" s="228"/>
    </row>
    <row r="959" spans="1:53" ht="15.75" thickBot="1" x14ac:dyDescent="0.3">
      <c r="A959" s="88"/>
      <c r="B959" s="322"/>
      <c r="C959" s="294"/>
      <c r="D959" s="294"/>
      <c r="E959" s="307"/>
      <c r="F959" s="294"/>
      <c r="G959" s="309"/>
      <c r="H959" s="309"/>
      <c r="I959" s="309"/>
      <c r="J959" s="311"/>
      <c r="K959" s="294"/>
      <c r="L959" s="280"/>
      <c r="M959" s="283"/>
      <c r="N959" s="283"/>
      <c r="O959" s="283"/>
      <c r="P959" s="283"/>
      <c r="Q959" s="283"/>
      <c r="R959" s="283"/>
      <c r="S959" s="283"/>
      <c r="T959" s="283"/>
      <c r="U959" s="284"/>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t="s">
        <v>484</v>
      </c>
      <c r="D960" s="102" t="s">
        <v>788</v>
      </c>
      <c r="E960" s="32">
        <v>4</v>
      </c>
      <c r="F960" s="32" t="s">
        <v>488</v>
      </c>
      <c r="G960" s="68" t="s">
        <v>277</v>
      </c>
      <c r="H960" s="69">
        <f>IF(I960=0,0,I960-(E960-1))</f>
        <v>465</v>
      </c>
      <c r="I960" s="70">
        <f>IF(E960=0,0,I955)</f>
        <v>468</v>
      </c>
      <c r="J960" s="71" t="s">
        <v>278</v>
      </c>
      <c r="K960" s="32"/>
      <c r="L960" s="233"/>
      <c r="M960" s="277"/>
      <c r="N960" s="277"/>
      <c r="O960" s="277"/>
      <c r="P960" s="277"/>
      <c r="Q960" s="277"/>
      <c r="R960" s="277"/>
      <c r="S960" s="277"/>
      <c r="T960" s="277"/>
      <c r="U960" s="278"/>
      <c r="V960" s="103"/>
      <c r="W960" s="72"/>
      <c r="X960" s="72"/>
      <c r="Y960" s="72"/>
      <c r="Z960" s="45">
        <v>9</v>
      </c>
      <c r="AA960" s="46">
        <v>97</v>
      </c>
      <c r="AB960" s="46">
        <v>108</v>
      </c>
      <c r="AC960" s="72">
        <f t="shared" ref="AC960:AC984" si="400">IF(B960&lt;&gt;"FST",1,0)</f>
        <v>1</v>
      </c>
      <c r="AD960" s="72">
        <f t="shared" ref="AD960:AD984" si="401">IF(C960&lt;&gt;"FST",1,0)</f>
        <v>0</v>
      </c>
      <c r="AE960" s="109" t="str">
        <f t="shared" ref="AE960:AE984" si="402">CONCATENATE(H960,"-",I960)</f>
        <v>465-468</v>
      </c>
      <c r="AF960" s="109" t="str">
        <f t="shared" ref="AF960:AF984" si="403">IF(C960="Field SPL","N","Y")</f>
        <v>Y</v>
      </c>
      <c r="AG960" s="109" t="str">
        <f t="shared" ref="AG960:AG984" si="404">IF(OR(E$950="RPX",E$950="SS"),"A","B")</f>
        <v>B</v>
      </c>
      <c r="AH960" s="109">
        <v>2</v>
      </c>
      <c r="AI960" s="109" t="str">
        <f>IF(E950="SS",COUNTIFS(C960:C984,"TCF",E960:E984,"2"),"")</f>
        <v/>
      </c>
      <c r="AJ960" s="109" t="str">
        <f>IF(E950="RPX",COUNTIFS(C960:C984,"TCF",E960:E984,"2"),"")</f>
        <v/>
      </c>
      <c r="AK960" s="109" t="str">
        <f>IF(E950="RPX-T",COUNTIFS(C960:C984,"TCF",E960:E984,"2"),"")</f>
        <v/>
      </c>
      <c r="AL960" s="109">
        <f>IF(E950="EUC",COUNTIFS(C960:C984,"TCF",E960:E984,"2"),"")</f>
        <v>0</v>
      </c>
      <c r="AM960" s="109">
        <f t="shared" ref="AM960:AM984" si="405">VALUE(IF(C960="FST","0",IF(C960="REV T","1",IF(C960="DBL REV",".5","0"))))</f>
        <v>0</v>
      </c>
      <c r="AN960" s="109">
        <f t="shared" ref="AN960:AN984" si="406">VALUE(IF(C960="FST","0",IF(C960="REV T","0",IF(C960="DBL REV",".5","0"))))</f>
        <v>0</v>
      </c>
      <c r="AO960" s="109" t="str">
        <f t="shared" ref="AO960:AO984" si="407">IF(C960="TPL REV","Y","")</f>
        <v/>
      </c>
      <c r="AQ960" s="109" t="str">
        <f t="shared" ref="AQ960:AQ984" si="408">IF(C960="QD REV","Y","")</f>
        <v/>
      </c>
      <c r="BA960" s="229">
        <f>MOD(E960,12)</f>
        <v>4</v>
      </c>
    </row>
    <row r="961" spans="1:53" ht="15.75" thickBot="1" x14ac:dyDescent="0.3">
      <c r="A961" s="88"/>
      <c r="B961" s="66" t="s">
        <v>279</v>
      </c>
      <c r="C961" s="67" t="s">
        <v>484</v>
      </c>
      <c r="D961" s="102" t="s">
        <v>814</v>
      </c>
      <c r="E961" s="32">
        <v>8</v>
      </c>
      <c r="F961" s="32" t="s">
        <v>488</v>
      </c>
      <c r="G961" s="68" t="s">
        <v>277</v>
      </c>
      <c r="H961" s="69">
        <f t="shared" ref="H961:H984" si="409">IF(E961=0,0,I961-(E961-1))</f>
        <v>457</v>
      </c>
      <c r="I961" s="70">
        <f t="shared" ref="I961:I984" si="410">IF(E961=0,0,H960-1)</f>
        <v>464</v>
      </c>
      <c r="J961" s="73" t="str">
        <f>IF(C961="","--",IF(AND(C961&lt;&gt;"FST",C961&lt;&gt;"TCF",BA960&lt;&gt;0),BA960,"--"))</f>
        <v>--</v>
      </c>
      <c r="K961" s="32"/>
      <c r="L961" s="233"/>
      <c r="M961" s="277"/>
      <c r="N961" s="277"/>
      <c r="O961" s="277"/>
      <c r="P961" s="277"/>
      <c r="Q961" s="277"/>
      <c r="R961" s="277"/>
      <c r="S961" s="277"/>
      <c r="T961" s="277"/>
      <c r="U961" s="278"/>
      <c r="V961" s="103"/>
      <c r="W961" s="72"/>
      <c r="X961" s="72"/>
      <c r="Y961" s="72"/>
      <c r="Z961" s="45">
        <v>10</v>
      </c>
      <c r="AA961" s="46">
        <v>109</v>
      </c>
      <c r="AB961" s="46">
        <v>120</v>
      </c>
      <c r="AC961" s="72">
        <f t="shared" si="400"/>
        <v>1</v>
      </c>
      <c r="AD961" s="72">
        <f t="shared" si="401"/>
        <v>0</v>
      </c>
      <c r="AE961" s="109" t="str">
        <f t="shared" si="402"/>
        <v>457-464</v>
      </c>
      <c r="AF961" s="109" t="str">
        <f t="shared" si="403"/>
        <v>Y</v>
      </c>
      <c r="AG961" s="109" t="str">
        <f t="shared" si="404"/>
        <v>B</v>
      </c>
      <c r="AH961" s="109">
        <v>4</v>
      </c>
      <c r="AI961" s="109" t="str">
        <f>IF(E950="SS",COUNTIFS(C960:C984,"TCF",E960:E984,"4"),"")</f>
        <v/>
      </c>
      <c r="AJ961" s="109" t="str">
        <f>IF(E950="RPX",COUNTIFS(C960:C984,"TCF",E960:E984,"4"),"")</f>
        <v/>
      </c>
      <c r="AK961" s="109" t="str">
        <f>IF(E950="RPX-T",COUNTIFS(C960:C984,"TCF",E960:E984,"4"),"")</f>
        <v/>
      </c>
      <c r="AL961" s="109">
        <f>IF(E950="EUC",COUNTIFS(C960:C984,"TCF",E960:E984,"4"),"")</f>
        <v>0</v>
      </c>
      <c r="AM961" s="109">
        <f t="shared" si="405"/>
        <v>0</v>
      </c>
      <c r="AN961" s="109">
        <f t="shared" si="406"/>
        <v>0</v>
      </c>
      <c r="AO961" s="109" t="str">
        <f t="shared" si="407"/>
        <v/>
      </c>
      <c r="AQ961" s="109" t="str">
        <f t="shared" si="408"/>
        <v/>
      </c>
      <c r="BA961" s="229">
        <f>MOD(SUM(E960:E961),12)</f>
        <v>0</v>
      </c>
    </row>
    <row r="962" spans="1:53" ht="15.75" thickBot="1" x14ac:dyDescent="0.3">
      <c r="A962" s="88"/>
      <c r="B962" s="74" t="s">
        <v>280</v>
      </c>
      <c r="C962" s="67"/>
      <c r="D962" s="102"/>
      <c r="E962" s="32"/>
      <c r="F962" s="32"/>
      <c r="G962" s="75" t="s">
        <v>277</v>
      </c>
      <c r="H962" s="69">
        <f t="shared" si="409"/>
        <v>0</v>
      </c>
      <c r="I962" s="70">
        <f t="shared" si="410"/>
        <v>0</v>
      </c>
      <c r="J962" s="73" t="str">
        <f t="shared" ref="J962:J984" si="411">IF(C962="","--",IF(AND(C962&lt;&gt;"FST",C962&lt;&gt;"TCF",BA961&lt;&gt;0),BA961,"--"))</f>
        <v>--</v>
      </c>
      <c r="K962" s="32"/>
      <c r="L962" s="233"/>
      <c r="M962" s="277"/>
      <c r="N962" s="277"/>
      <c r="O962" s="277"/>
      <c r="P962" s="277"/>
      <c r="Q962" s="277"/>
      <c r="R962" s="277"/>
      <c r="S962" s="277"/>
      <c r="T962" s="277"/>
      <c r="U962" s="278"/>
      <c r="V962" s="103"/>
      <c r="W962" s="72"/>
      <c r="X962" s="72"/>
      <c r="Y962" s="72"/>
      <c r="Z962" s="45">
        <v>11</v>
      </c>
      <c r="AA962" s="46">
        <v>121</v>
      </c>
      <c r="AB962" s="46">
        <v>132</v>
      </c>
      <c r="AC962" s="72">
        <f t="shared" si="400"/>
        <v>1</v>
      </c>
      <c r="AD962" s="72">
        <f t="shared" si="401"/>
        <v>1</v>
      </c>
      <c r="AE962" s="109" t="str">
        <f t="shared" si="402"/>
        <v>0-0</v>
      </c>
      <c r="AF962" s="109" t="str">
        <f t="shared" si="403"/>
        <v>Y</v>
      </c>
      <c r="AG962" s="109" t="str">
        <f t="shared" si="404"/>
        <v>B</v>
      </c>
      <c r="AH962" s="109">
        <v>6</v>
      </c>
      <c r="AI962" s="109" t="str">
        <f>IF(E950="SS",COUNTIFS(C960:C984,"TCF",E960:E984,"6"),"")</f>
        <v/>
      </c>
      <c r="AJ962" s="109" t="str">
        <f>IF(E950="RPX",COUNTIFS(C960:C984,"TCF",E960:E984,"6"),"")</f>
        <v/>
      </c>
      <c r="AK962" s="109" t="str">
        <f>IF(E950="RPX-T",COUNTIFS(C960:C984,"TCF",E960:E984,"6"),"")</f>
        <v/>
      </c>
      <c r="AL962" s="109">
        <f>IF(E950="EUC",COUNTIFS(C960:C984,"TCF",E960:E984,"6"),"")</f>
        <v>0</v>
      </c>
      <c r="AM962" s="109">
        <f t="shared" si="405"/>
        <v>0</v>
      </c>
      <c r="AN962" s="109">
        <f t="shared" si="406"/>
        <v>0</v>
      </c>
      <c r="AO962" s="109" t="str">
        <f t="shared" si="407"/>
        <v/>
      </c>
      <c r="AQ962" s="109" t="str">
        <f t="shared" si="408"/>
        <v/>
      </c>
      <c r="BA962" s="229">
        <f>MOD(SUM(E960:E963),12)</f>
        <v>0</v>
      </c>
    </row>
    <row r="963" spans="1:53" ht="15.75" thickBot="1" x14ac:dyDescent="0.3">
      <c r="A963" s="88"/>
      <c r="B963" s="66" t="s">
        <v>281</v>
      </c>
      <c r="C963" s="67"/>
      <c r="D963" s="102"/>
      <c r="E963" s="32"/>
      <c r="F963" s="32"/>
      <c r="G963" s="68" t="s">
        <v>277</v>
      </c>
      <c r="H963" s="69">
        <f t="shared" si="409"/>
        <v>0</v>
      </c>
      <c r="I963" s="70">
        <f t="shared" si="410"/>
        <v>0</v>
      </c>
      <c r="J963" s="73" t="str">
        <f t="shared" si="411"/>
        <v>--</v>
      </c>
      <c r="K963" s="32"/>
      <c r="L963" s="233"/>
      <c r="M963" s="277"/>
      <c r="N963" s="277"/>
      <c r="O963" s="277"/>
      <c r="P963" s="277"/>
      <c r="Q963" s="277"/>
      <c r="R963" s="277"/>
      <c r="S963" s="277"/>
      <c r="T963" s="277"/>
      <c r="U963" s="278"/>
      <c r="V963" s="103"/>
      <c r="W963" s="72"/>
      <c r="X963" s="72"/>
      <c r="Y963" s="72"/>
      <c r="Z963" s="45">
        <v>12</v>
      </c>
      <c r="AA963" s="76">
        <v>133</v>
      </c>
      <c r="AB963" s="76">
        <v>144</v>
      </c>
      <c r="AC963" s="72">
        <f t="shared" si="400"/>
        <v>1</v>
      </c>
      <c r="AD963" s="72">
        <f t="shared" si="401"/>
        <v>1</v>
      </c>
      <c r="AE963" s="109" t="str">
        <f t="shared" si="402"/>
        <v>0-0</v>
      </c>
      <c r="AF963" s="109" t="str">
        <f t="shared" si="403"/>
        <v>Y</v>
      </c>
      <c r="AG963" s="109" t="str">
        <f t="shared" si="404"/>
        <v>B</v>
      </c>
      <c r="AH963" s="109">
        <v>8</v>
      </c>
      <c r="AI963" s="109" t="str">
        <f>IF(E950="SS",COUNTIFS(C960:C984,"TCF",E960:E984,"8"),"")</f>
        <v/>
      </c>
      <c r="AJ963" s="109" t="str">
        <f>IF(E950="RPX",COUNTIFS(C960:C984,"TCF",E960:E984,"8"),"")</f>
        <v/>
      </c>
      <c r="AK963" s="109" t="str">
        <f>IF(E950="RPX-T",COUNTIFS(C960:C984,"TCF",E960:E984,"8"),"")</f>
        <v/>
      </c>
      <c r="AL963" s="109">
        <f>IF(E950="EUC",COUNTIFS(C960:C984,"TCF",E960:E984,"8"),"")</f>
        <v>0</v>
      </c>
      <c r="AM963" s="109">
        <f t="shared" si="405"/>
        <v>0</v>
      </c>
      <c r="AN963" s="109">
        <f t="shared" si="406"/>
        <v>0</v>
      </c>
      <c r="AO963" s="109" t="str">
        <f t="shared" si="407"/>
        <v/>
      </c>
      <c r="AQ963" s="109" t="str">
        <f t="shared" si="408"/>
        <v/>
      </c>
      <c r="BA963" s="229">
        <f>MOD(SUM(E960:E964),12)</f>
        <v>0</v>
      </c>
    </row>
    <row r="964" spans="1:53" ht="15.75" thickBot="1" x14ac:dyDescent="0.3">
      <c r="A964" s="88"/>
      <c r="B964" s="66" t="s">
        <v>282</v>
      </c>
      <c r="C964" s="67"/>
      <c r="D964" s="102"/>
      <c r="E964" s="32"/>
      <c r="F964" s="32"/>
      <c r="G964" s="68" t="s">
        <v>277</v>
      </c>
      <c r="H964" s="69">
        <f t="shared" si="409"/>
        <v>0</v>
      </c>
      <c r="I964" s="70">
        <f t="shared" si="410"/>
        <v>0</v>
      </c>
      <c r="J964" s="73" t="str">
        <f t="shared" si="411"/>
        <v>--</v>
      </c>
      <c r="K964" s="32"/>
      <c r="L964" s="233"/>
      <c r="M964" s="277"/>
      <c r="N964" s="277"/>
      <c r="O964" s="277"/>
      <c r="P964" s="277"/>
      <c r="Q964" s="277"/>
      <c r="R964" s="277"/>
      <c r="S964" s="277"/>
      <c r="T964" s="277"/>
      <c r="U964" s="278"/>
      <c r="V964" s="103"/>
      <c r="W964" s="72"/>
      <c r="X964" s="72"/>
      <c r="Y964" s="72"/>
      <c r="Z964" s="45">
        <v>13</v>
      </c>
      <c r="AA964" s="77">
        <f t="shared" ref="AA964:AA969" si="412">AB963+1</f>
        <v>145</v>
      </c>
      <c r="AB964" s="77">
        <f t="shared" ref="AB964:AB969" si="413">AB963+12</f>
        <v>156</v>
      </c>
      <c r="AC964" s="72">
        <f t="shared" si="400"/>
        <v>1</v>
      </c>
      <c r="AD964" s="72">
        <f t="shared" si="401"/>
        <v>1</v>
      </c>
      <c r="AE964" s="109" t="str">
        <f t="shared" si="402"/>
        <v>0-0</v>
      </c>
      <c r="AF964" s="109" t="str">
        <f t="shared" si="403"/>
        <v>Y</v>
      </c>
      <c r="AG964" s="109" t="str">
        <f t="shared" si="404"/>
        <v>B</v>
      </c>
      <c r="AH964" s="109">
        <v>12</v>
      </c>
      <c r="AI964" s="109" t="str">
        <f>IF(E950="SS",COUNTIFS(C960:C984,"TCF",E960:E984,"12"),"")</f>
        <v/>
      </c>
      <c r="AJ964" s="109" t="str">
        <f>IF(E950="RPX",COUNTIFS(C960:C984,"TCF",E960:E984,"12"),"")</f>
        <v/>
      </c>
      <c r="AK964" s="109" t="str">
        <f>IF(E950="RPX-T",COUNTIFS(C960:C984,"TCF",E960:E984,"12"),"")</f>
        <v/>
      </c>
      <c r="AL964" s="109">
        <f>IF(E950="EUC",COUNTIFS(C960:C984,"TCF",E960:E984,"12"),"")</f>
        <v>0</v>
      </c>
      <c r="AM964" s="109">
        <f t="shared" si="405"/>
        <v>0</v>
      </c>
      <c r="AN964" s="109">
        <f t="shared" si="406"/>
        <v>0</v>
      </c>
      <c r="AO964" s="109" t="str">
        <f t="shared" si="407"/>
        <v/>
      </c>
      <c r="AQ964" s="109" t="str">
        <f t="shared" si="408"/>
        <v/>
      </c>
      <c r="BA964" s="229">
        <f>MOD(SUM(E960:E965),12)</f>
        <v>0</v>
      </c>
    </row>
    <row r="965" spans="1:53" ht="15.75" thickBot="1" x14ac:dyDescent="0.3">
      <c r="A965" s="88"/>
      <c r="B965" s="66" t="s">
        <v>283</v>
      </c>
      <c r="C965" s="67"/>
      <c r="D965" s="102"/>
      <c r="E965" s="32"/>
      <c r="F965" s="32"/>
      <c r="G965" s="68" t="s">
        <v>277</v>
      </c>
      <c r="H965" s="69">
        <f t="shared" si="409"/>
        <v>0</v>
      </c>
      <c r="I965" s="70">
        <f t="shared" si="410"/>
        <v>0</v>
      </c>
      <c r="J965" s="73" t="str">
        <f t="shared" si="411"/>
        <v>--</v>
      </c>
      <c r="K965" s="32"/>
      <c r="L965" s="233"/>
      <c r="M965" s="277"/>
      <c r="N965" s="277"/>
      <c r="O965" s="277"/>
      <c r="P965" s="277"/>
      <c r="Q965" s="277"/>
      <c r="R965" s="277"/>
      <c r="S965" s="277"/>
      <c r="T965" s="277"/>
      <c r="U965" s="278"/>
      <c r="V965" s="103"/>
      <c r="W965" s="72"/>
      <c r="X965" s="72"/>
      <c r="Y965" s="72"/>
      <c r="Z965" s="45">
        <v>14</v>
      </c>
      <c r="AA965" s="77">
        <f t="shared" si="412"/>
        <v>157</v>
      </c>
      <c r="AB965" s="77">
        <f t="shared" si="413"/>
        <v>168</v>
      </c>
      <c r="AC965" s="72">
        <f t="shared" si="400"/>
        <v>1</v>
      </c>
      <c r="AD965" s="72">
        <f t="shared" si="401"/>
        <v>1</v>
      </c>
      <c r="AE965" s="109" t="str">
        <f t="shared" si="402"/>
        <v>0-0</v>
      </c>
      <c r="AF965" s="109" t="str">
        <f t="shared" si="403"/>
        <v>Y</v>
      </c>
      <c r="AG965" s="109" t="str">
        <f t="shared" si="404"/>
        <v>B</v>
      </c>
      <c r="AM965" s="109">
        <f t="shared" si="405"/>
        <v>0</v>
      </c>
      <c r="AN965" s="109">
        <f t="shared" si="406"/>
        <v>0</v>
      </c>
      <c r="AO965" s="109" t="str">
        <f t="shared" si="407"/>
        <v/>
      </c>
      <c r="AQ965" s="109" t="str">
        <f t="shared" si="408"/>
        <v/>
      </c>
      <c r="BA965" s="229">
        <f>MOD(SUM(E960:E966),12)</f>
        <v>0</v>
      </c>
    </row>
    <row r="966" spans="1:53" ht="15.75" thickBot="1" x14ac:dyDescent="0.3">
      <c r="A966" s="88"/>
      <c r="B966" s="66" t="s">
        <v>284</v>
      </c>
      <c r="C966" s="67"/>
      <c r="D966" s="102"/>
      <c r="E966" s="32"/>
      <c r="F966" s="32"/>
      <c r="G966" s="68" t="s">
        <v>277</v>
      </c>
      <c r="H966" s="69">
        <f t="shared" si="409"/>
        <v>0</v>
      </c>
      <c r="I966" s="70">
        <f t="shared" si="410"/>
        <v>0</v>
      </c>
      <c r="J966" s="73" t="str">
        <f t="shared" si="411"/>
        <v>--</v>
      </c>
      <c r="K966" s="32"/>
      <c r="L966" s="233"/>
      <c r="M966" s="277"/>
      <c r="N966" s="277"/>
      <c r="O966" s="277"/>
      <c r="P966" s="277"/>
      <c r="Q966" s="277"/>
      <c r="R966" s="277"/>
      <c r="S966" s="277"/>
      <c r="T966" s="277"/>
      <c r="U966" s="278"/>
      <c r="V966" s="103"/>
      <c r="W966" s="72"/>
      <c r="X966" s="72"/>
      <c r="Y966" s="72"/>
      <c r="Z966" s="45">
        <v>15</v>
      </c>
      <c r="AA966" s="77">
        <f t="shared" si="412"/>
        <v>169</v>
      </c>
      <c r="AB966" s="77">
        <f t="shared" si="413"/>
        <v>180</v>
      </c>
      <c r="AC966" s="72">
        <f t="shared" si="400"/>
        <v>1</v>
      </c>
      <c r="AD966" s="72">
        <f t="shared" si="401"/>
        <v>1</v>
      </c>
      <c r="AE966" s="109" t="str">
        <f t="shared" si="402"/>
        <v>0-0</v>
      </c>
      <c r="AF966" s="109" t="str">
        <f t="shared" si="403"/>
        <v>Y</v>
      </c>
      <c r="AG966" s="109" t="str">
        <f t="shared" si="404"/>
        <v>B</v>
      </c>
      <c r="AM966" s="109">
        <f t="shared" si="405"/>
        <v>0</v>
      </c>
      <c r="AN966" s="109">
        <f t="shared" si="406"/>
        <v>0</v>
      </c>
      <c r="AO966" s="109" t="str">
        <f t="shared" si="407"/>
        <v/>
      </c>
      <c r="AQ966" s="109" t="str">
        <f t="shared" si="408"/>
        <v/>
      </c>
      <c r="BA966" s="229">
        <f>MOD(SUM(E960:E967),12)</f>
        <v>0</v>
      </c>
    </row>
    <row r="967" spans="1:53" ht="15.75" thickBot="1" x14ac:dyDescent="0.3">
      <c r="A967" s="88"/>
      <c r="B967" s="66" t="s">
        <v>285</v>
      </c>
      <c r="C967" s="67"/>
      <c r="D967" s="102"/>
      <c r="E967" s="32"/>
      <c r="F967" s="32"/>
      <c r="G967" s="68" t="s">
        <v>277</v>
      </c>
      <c r="H967" s="69">
        <f t="shared" si="409"/>
        <v>0</v>
      </c>
      <c r="I967" s="70">
        <f t="shared" si="410"/>
        <v>0</v>
      </c>
      <c r="J967" s="73" t="str">
        <f t="shared" si="411"/>
        <v>--</v>
      </c>
      <c r="K967" s="32"/>
      <c r="L967" s="233"/>
      <c r="M967" s="277"/>
      <c r="N967" s="277"/>
      <c r="O967" s="277"/>
      <c r="P967" s="277"/>
      <c r="Q967" s="277"/>
      <c r="R967" s="277"/>
      <c r="S967" s="277"/>
      <c r="T967" s="277"/>
      <c r="U967" s="278"/>
      <c r="V967" s="103"/>
      <c r="W967" s="72"/>
      <c r="X967" s="72"/>
      <c r="Y967" s="72"/>
      <c r="Z967" s="45">
        <f>Z966+1</f>
        <v>16</v>
      </c>
      <c r="AA967" s="77">
        <f t="shared" si="412"/>
        <v>181</v>
      </c>
      <c r="AB967" s="77">
        <f t="shared" si="413"/>
        <v>192</v>
      </c>
      <c r="AC967" s="72">
        <f t="shared" si="400"/>
        <v>1</v>
      </c>
      <c r="AD967" s="72">
        <f t="shared" si="401"/>
        <v>1</v>
      </c>
      <c r="AE967" s="109" t="str">
        <f t="shared" si="402"/>
        <v>0-0</v>
      </c>
      <c r="AF967" s="109" t="str">
        <f t="shared" si="403"/>
        <v>Y</v>
      </c>
      <c r="AG967" s="109" t="str">
        <f t="shared" si="404"/>
        <v>B</v>
      </c>
      <c r="AM967" s="109">
        <f t="shared" si="405"/>
        <v>0</v>
      </c>
      <c r="AN967" s="109">
        <f t="shared" si="406"/>
        <v>0</v>
      </c>
      <c r="AO967" s="109" t="str">
        <f t="shared" si="407"/>
        <v/>
      </c>
      <c r="AQ967" s="109" t="str">
        <f t="shared" si="408"/>
        <v/>
      </c>
      <c r="BA967" s="229">
        <f>MOD(SUM(E960:E968),12)</f>
        <v>0</v>
      </c>
    </row>
    <row r="968" spans="1:53" ht="15.75" thickBot="1" x14ac:dyDescent="0.3">
      <c r="A968" s="88"/>
      <c r="B968" s="66" t="s">
        <v>286</v>
      </c>
      <c r="C968" s="67"/>
      <c r="D968" s="102"/>
      <c r="E968" s="32"/>
      <c r="F968" s="32"/>
      <c r="G968" s="68" t="s">
        <v>277</v>
      </c>
      <c r="H968" s="69">
        <f t="shared" si="409"/>
        <v>0</v>
      </c>
      <c r="I968" s="70">
        <f t="shared" si="410"/>
        <v>0</v>
      </c>
      <c r="J968" s="73" t="str">
        <f t="shared" si="411"/>
        <v>--</v>
      </c>
      <c r="K968" s="32"/>
      <c r="L968" s="233"/>
      <c r="M968" s="277"/>
      <c r="N968" s="277"/>
      <c r="O968" s="277"/>
      <c r="P968" s="277"/>
      <c r="Q968" s="277"/>
      <c r="R968" s="277"/>
      <c r="S968" s="277"/>
      <c r="T968" s="277"/>
      <c r="U968" s="278"/>
      <c r="V968" s="103"/>
      <c r="W968" s="72"/>
      <c r="X968" s="72"/>
      <c r="Y968" s="72"/>
      <c r="Z968" s="45">
        <f>Z967+1</f>
        <v>17</v>
      </c>
      <c r="AA968" s="77">
        <f t="shared" si="412"/>
        <v>193</v>
      </c>
      <c r="AB968" s="77">
        <f t="shared" si="413"/>
        <v>204</v>
      </c>
      <c r="AC968" s="72">
        <f t="shared" si="400"/>
        <v>1</v>
      </c>
      <c r="AD968" s="72">
        <f t="shared" si="401"/>
        <v>1</v>
      </c>
      <c r="AE968" s="109" t="str">
        <f t="shared" si="402"/>
        <v>0-0</v>
      </c>
      <c r="AF968" s="109" t="str">
        <f t="shared" si="403"/>
        <v>Y</v>
      </c>
      <c r="AG968" s="109" t="str">
        <f t="shared" si="404"/>
        <v>B</v>
      </c>
      <c r="AM968" s="109">
        <f t="shared" si="405"/>
        <v>0</v>
      </c>
      <c r="AN968" s="109">
        <f t="shared" si="406"/>
        <v>0</v>
      </c>
      <c r="AO968" s="109" t="str">
        <f t="shared" si="407"/>
        <v/>
      </c>
      <c r="AQ968" s="109" t="str">
        <f t="shared" si="408"/>
        <v/>
      </c>
      <c r="BA968" s="229">
        <f>MOD(SUM(E960:E969),12)</f>
        <v>0</v>
      </c>
    </row>
    <row r="969" spans="1:53" ht="15.75" thickBot="1" x14ac:dyDescent="0.3">
      <c r="A969" s="88"/>
      <c r="B969" s="66" t="s">
        <v>287</v>
      </c>
      <c r="C969" s="67"/>
      <c r="D969" s="102"/>
      <c r="E969" s="32"/>
      <c r="F969" s="32"/>
      <c r="G969" s="68" t="s">
        <v>277</v>
      </c>
      <c r="H969" s="69">
        <f t="shared" si="409"/>
        <v>0</v>
      </c>
      <c r="I969" s="70">
        <f t="shared" si="410"/>
        <v>0</v>
      </c>
      <c r="J969" s="73" t="str">
        <f t="shared" si="411"/>
        <v>--</v>
      </c>
      <c r="K969" s="32"/>
      <c r="L969" s="233"/>
      <c r="M969" s="277"/>
      <c r="N969" s="277"/>
      <c r="O969" s="277"/>
      <c r="P969" s="277"/>
      <c r="Q969" s="277"/>
      <c r="R969" s="277"/>
      <c r="S969" s="277"/>
      <c r="T969" s="277"/>
      <c r="U969" s="278"/>
      <c r="V969" s="103"/>
      <c r="W969" s="72"/>
      <c r="X969" s="72"/>
      <c r="Y969" s="72"/>
      <c r="Z969" s="45">
        <f>Z968+1</f>
        <v>18</v>
      </c>
      <c r="AA969" s="77">
        <f t="shared" si="412"/>
        <v>205</v>
      </c>
      <c r="AB969" s="77">
        <f t="shared" si="413"/>
        <v>216</v>
      </c>
      <c r="AC969" s="72">
        <f t="shared" si="400"/>
        <v>1</v>
      </c>
      <c r="AD969" s="72">
        <f t="shared" si="401"/>
        <v>1</v>
      </c>
      <c r="AE969" s="109" t="str">
        <f t="shared" si="402"/>
        <v>0-0</v>
      </c>
      <c r="AF969" s="109" t="str">
        <f t="shared" si="403"/>
        <v>Y</v>
      </c>
      <c r="AG969" s="109" t="str">
        <f t="shared" si="404"/>
        <v>B</v>
      </c>
      <c r="AM969" s="109">
        <f t="shared" si="405"/>
        <v>0</v>
      </c>
      <c r="AN969" s="109">
        <f t="shared" si="406"/>
        <v>0</v>
      </c>
      <c r="AO969" s="109" t="str">
        <f t="shared" si="407"/>
        <v/>
      </c>
      <c r="AQ969" s="109" t="str">
        <f t="shared" si="408"/>
        <v/>
      </c>
      <c r="BA969" s="229">
        <f>MOD(SUM(E960:E970),12)</f>
        <v>0</v>
      </c>
    </row>
    <row r="970" spans="1:53" ht="15.75" thickBot="1" x14ac:dyDescent="0.3">
      <c r="A970" s="88"/>
      <c r="B970" s="66" t="s">
        <v>288</v>
      </c>
      <c r="C970" s="67"/>
      <c r="D970" s="102"/>
      <c r="E970" s="32"/>
      <c r="F970" s="32"/>
      <c r="G970" s="68" t="s">
        <v>277</v>
      </c>
      <c r="H970" s="69">
        <f t="shared" si="409"/>
        <v>0</v>
      </c>
      <c r="I970" s="70">
        <f t="shared" si="410"/>
        <v>0</v>
      </c>
      <c r="J970" s="73" t="str">
        <f t="shared" si="411"/>
        <v>--</v>
      </c>
      <c r="K970" s="32"/>
      <c r="L970" s="233"/>
      <c r="M970" s="277"/>
      <c r="N970" s="277"/>
      <c r="O970" s="277"/>
      <c r="P970" s="277"/>
      <c r="Q970" s="277"/>
      <c r="R970" s="277"/>
      <c r="S970" s="277"/>
      <c r="T970" s="277"/>
      <c r="U970" s="278"/>
      <c r="V970" s="103"/>
      <c r="W970" s="84"/>
      <c r="X970" s="84"/>
      <c r="Y970" s="72"/>
      <c r="Z970" s="72"/>
      <c r="AA970" s="72"/>
      <c r="AB970" s="72"/>
      <c r="AC970" s="72">
        <f t="shared" si="400"/>
        <v>1</v>
      </c>
      <c r="AD970" s="72">
        <f t="shared" si="401"/>
        <v>1</v>
      </c>
      <c r="AE970" s="109" t="str">
        <f t="shared" si="402"/>
        <v>0-0</v>
      </c>
      <c r="AF970" s="109" t="str">
        <f t="shared" si="403"/>
        <v>Y</v>
      </c>
      <c r="AG970" s="109" t="str">
        <f t="shared" si="404"/>
        <v>B</v>
      </c>
      <c r="AM970" s="109">
        <f t="shared" si="405"/>
        <v>0</v>
      </c>
      <c r="AN970" s="109">
        <f t="shared" si="406"/>
        <v>0</v>
      </c>
      <c r="AO970" s="109" t="str">
        <f t="shared" si="407"/>
        <v/>
      </c>
      <c r="AQ970" s="109" t="str">
        <f t="shared" si="408"/>
        <v/>
      </c>
      <c r="BA970" s="229">
        <f>MOD(SUM(E960:E971),12)</f>
        <v>0</v>
      </c>
    </row>
    <row r="971" spans="1:53" ht="15.75" thickBot="1" x14ac:dyDescent="0.3">
      <c r="A971" s="88"/>
      <c r="B971" s="66" t="s">
        <v>289</v>
      </c>
      <c r="C971" s="67"/>
      <c r="D971" s="102"/>
      <c r="E971" s="32"/>
      <c r="F971" s="32"/>
      <c r="G971" s="68" t="s">
        <v>277</v>
      </c>
      <c r="H971" s="69">
        <f t="shared" si="409"/>
        <v>0</v>
      </c>
      <c r="I971" s="70">
        <f t="shared" si="410"/>
        <v>0</v>
      </c>
      <c r="J971" s="73" t="str">
        <f t="shared" si="411"/>
        <v>--</v>
      </c>
      <c r="K971" s="32"/>
      <c r="L971" s="233"/>
      <c r="M971" s="277"/>
      <c r="N971" s="277"/>
      <c r="O971" s="277"/>
      <c r="P971" s="277"/>
      <c r="Q971" s="277"/>
      <c r="R971" s="277"/>
      <c r="S971" s="277"/>
      <c r="T971" s="277"/>
      <c r="U971" s="278"/>
      <c r="V971" s="103"/>
      <c r="W971" s="84">
        <f>Y971+1</f>
        <v>13</v>
      </c>
      <c r="X971" s="84"/>
      <c r="Y971" s="78">
        <f>SUM(E960:E971)</f>
        <v>12</v>
      </c>
      <c r="Z971" s="72"/>
      <c r="AA971" s="72"/>
      <c r="AB971" s="72"/>
      <c r="AC971" s="72">
        <f t="shared" si="400"/>
        <v>1</v>
      </c>
      <c r="AD971" s="72">
        <f t="shared" si="401"/>
        <v>1</v>
      </c>
      <c r="AE971" s="109" t="str">
        <f t="shared" si="402"/>
        <v>0-0</v>
      </c>
      <c r="AF971" s="109" t="str">
        <f t="shared" si="403"/>
        <v>Y</v>
      </c>
      <c r="AG971" s="109" t="str">
        <f t="shared" si="404"/>
        <v>B</v>
      </c>
      <c r="AM971" s="109">
        <f t="shared" si="405"/>
        <v>0</v>
      </c>
      <c r="AN971" s="109">
        <f t="shared" si="406"/>
        <v>0</v>
      </c>
      <c r="AO971" s="109" t="str">
        <f t="shared" si="407"/>
        <v/>
      </c>
      <c r="AQ971" s="109" t="str">
        <f t="shared" si="408"/>
        <v/>
      </c>
      <c r="BA971" s="229">
        <f>MOD(SUM(E960:E972),12)</f>
        <v>0</v>
      </c>
    </row>
    <row r="972" spans="1:53" ht="15.75" thickBot="1" x14ac:dyDescent="0.3">
      <c r="A972" s="88"/>
      <c r="B972" s="66" t="s">
        <v>290</v>
      </c>
      <c r="C972" s="67"/>
      <c r="D972" s="102"/>
      <c r="E972" s="32"/>
      <c r="F972" s="32"/>
      <c r="G972" s="68" t="s">
        <v>277</v>
      </c>
      <c r="H972" s="69">
        <f t="shared" si="409"/>
        <v>0</v>
      </c>
      <c r="I972" s="70">
        <f t="shared" si="410"/>
        <v>0</v>
      </c>
      <c r="J972" s="73" t="str">
        <f t="shared" si="411"/>
        <v>--</v>
      </c>
      <c r="K972" s="32"/>
      <c r="L972" s="233"/>
      <c r="M972" s="277"/>
      <c r="N972" s="277"/>
      <c r="O972" s="277"/>
      <c r="P972" s="277"/>
      <c r="Q972" s="277"/>
      <c r="R972" s="277"/>
      <c r="S972" s="277"/>
      <c r="T972" s="277"/>
      <c r="U972" s="278"/>
      <c r="V972" s="103"/>
      <c r="W972" s="84">
        <f>Y972+1</f>
        <v>13</v>
      </c>
      <c r="X972" s="84"/>
      <c r="Y972" s="78">
        <f>SUM(E960:E972)</f>
        <v>12</v>
      </c>
      <c r="Z972" s="72" t="str">
        <f t="shared" ref="Z972:Z984" si="414">IF(OR(AND(E$8=216,C971="DBL REV",C972="DBL REV",Y971&lt;=144,Y972&gt;144),AND(E$8=216,C971="TPL REV",C972="TPL REV",Y971&lt;=144,Y972&gt;144),AND(E$8=216,C971="QD REV",C972="QD REV",Y971&lt;=144,Y972&gt;144)),"ERROR","")</f>
        <v/>
      </c>
      <c r="AA972" s="72"/>
      <c r="AB972" s="72"/>
      <c r="AC972" s="72">
        <f t="shared" si="400"/>
        <v>1</v>
      </c>
      <c r="AD972" s="72">
        <f t="shared" si="401"/>
        <v>1</v>
      </c>
      <c r="AE972" s="109" t="str">
        <f t="shared" si="402"/>
        <v>0-0</v>
      </c>
      <c r="AF972" s="109" t="str">
        <f t="shared" si="403"/>
        <v>Y</v>
      </c>
      <c r="AG972" s="109" t="str">
        <f t="shared" si="404"/>
        <v>B</v>
      </c>
      <c r="AM972" s="109">
        <f t="shared" si="405"/>
        <v>0</v>
      </c>
      <c r="AN972" s="109">
        <f t="shared" si="406"/>
        <v>0</v>
      </c>
      <c r="AO972" s="109" t="str">
        <f t="shared" si="407"/>
        <v/>
      </c>
      <c r="AQ972" s="109" t="str">
        <f t="shared" si="408"/>
        <v/>
      </c>
      <c r="BA972" s="229">
        <f>MOD(SUM(E960:E973),12)</f>
        <v>0</v>
      </c>
    </row>
    <row r="973" spans="1:53" ht="15.75" thickBot="1" x14ac:dyDescent="0.3">
      <c r="A973" s="88"/>
      <c r="B973" s="66" t="s">
        <v>291</v>
      </c>
      <c r="C973" s="67"/>
      <c r="D973" s="102"/>
      <c r="E973" s="32"/>
      <c r="F973" s="32"/>
      <c r="G973" s="68" t="s">
        <v>277</v>
      </c>
      <c r="H973" s="69">
        <f t="shared" si="409"/>
        <v>0</v>
      </c>
      <c r="I973" s="70">
        <f t="shared" si="410"/>
        <v>0</v>
      </c>
      <c r="J973" s="73" t="str">
        <f t="shared" si="411"/>
        <v>--</v>
      </c>
      <c r="K973" s="32"/>
      <c r="L973" s="233"/>
      <c r="M973" s="277"/>
      <c r="N973" s="277"/>
      <c r="O973" s="277"/>
      <c r="P973" s="277"/>
      <c r="Q973" s="277"/>
      <c r="R973" s="277"/>
      <c r="S973" s="277"/>
      <c r="T973" s="277"/>
      <c r="U973" s="278"/>
      <c r="V973" s="103"/>
      <c r="W973" s="84">
        <f>Y973+1</f>
        <v>13</v>
      </c>
      <c r="X973" s="84"/>
      <c r="Y973" s="78">
        <f>SUM(E960:E973)</f>
        <v>12</v>
      </c>
      <c r="Z973" s="72" t="str">
        <f t="shared" si="414"/>
        <v/>
      </c>
      <c r="AA973" s="72"/>
      <c r="AB973" s="72"/>
      <c r="AC973" s="72">
        <f t="shared" si="400"/>
        <v>1</v>
      </c>
      <c r="AD973" s="72">
        <f t="shared" si="401"/>
        <v>1</v>
      </c>
      <c r="AE973" s="109" t="str">
        <f t="shared" si="402"/>
        <v>0-0</v>
      </c>
      <c r="AF973" s="109" t="str">
        <f t="shared" si="403"/>
        <v>Y</v>
      </c>
      <c r="AG973" s="109" t="str">
        <f t="shared" si="404"/>
        <v>B</v>
      </c>
      <c r="AM973" s="109">
        <f t="shared" si="405"/>
        <v>0</v>
      </c>
      <c r="AN973" s="109">
        <f t="shared" si="406"/>
        <v>0</v>
      </c>
      <c r="AO973" s="109" t="str">
        <f t="shared" si="407"/>
        <v/>
      </c>
      <c r="AQ973" s="109" t="str">
        <f t="shared" si="408"/>
        <v/>
      </c>
      <c r="BA973" s="229">
        <f>MOD(SUM(E960:E974),12)</f>
        <v>0</v>
      </c>
    </row>
    <row r="974" spans="1:53" ht="15.75" thickBot="1" x14ac:dyDescent="0.3">
      <c r="A974" s="88"/>
      <c r="B974" s="66" t="s">
        <v>292</v>
      </c>
      <c r="C974" s="67"/>
      <c r="D974" s="102"/>
      <c r="E974" s="32"/>
      <c r="F974" s="32"/>
      <c r="G974" s="68" t="s">
        <v>277</v>
      </c>
      <c r="H974" s="69">
        <f t="shared" si="409"/>
        <v>0</v>
      </c>
      <c r="I974" s="70">
        <f t="shared" si="410"/>
        <v>0</v>
      </c>
      <c r="J974" s="73" t="str">
        <f t="shared" si="411"/>
        <v>--</v>
      </c>
      <c r="K974" s="32"/>
      <c r="L974" s="233"/>
      <c r="M974" s="277"/>
      <c r="N974" s="277"/>
      <c r="O974" s="277"/>
      <c r="P974" s="277"/>
      <c r="Q974" s="277"/>
      <c r="R974" s="277"/>
      <c r="S974" s="277"/>
      <c r="T974" s="277"/>
      <c r="U974" s="278"/>
      <c r="V974" s="103"/>
      <c r="W974" s="84">
        <f>Y974+1</f>
        <v>13</v>
      </c>
      <c r="X974" s="84"/>
      <c r="Y974" s="78">
        <f>SUM(E960:E974)</f>
        <v>12</v>
      </c>
      <c r="Z974" s="72" t="str">
        <f t="shared" si="414"/>
        <v/>
      </c>
      <c r="AA974" s="72" t="str">
        <f t="shared" ref="AA974:AA986" si="415">IF(AND(C972&lt;&gt;"Field SPL",W971&lt;=144,Y972&gt;144),"ERROR","")</f>
        <v/>
      </c>
      <c r="AB974" s="72"/>
      <c r="AC974" s="72">
        <f t="shared" si="400"/>
        <v>1</v>
      </c>
      <c r="AD974" s="72">
        <f t="shared" si="401"/>
        <v>1</v>
      </c>
      <c r="AE974" s="109" t="str">
        <f t="shared" si="402"/>
        <v>0-0</v>
      </c>
      <c r="AF974" s="109" t="str">
        <f t="shared" si="403"/>
        <v>Y</v>
      </c>
      <c r="AG974" s="109" t="str">
        <f t="shared" si="404"/>
        <v>B</v>
      </c>
      <c r="AM974" s="109">
        <f t="shared" si="405"/>
        <v>0</v>
      </c>
      <c r="AN974" s="109">
        <f t="shared" si="406"/>
        <v>0</v>
      </c>
      <c r="AO974" s="109" t="str">
        <f t="shared" si="407"/>
        <v/>
      </c>
      <c r="AQ974" s="109" t="str">
        <f t="shared" si="408"/>
        <v/>
      </c>
      <c r="BA974" s="229">
        <f>MOD(SUM(E960:E975),12)</f>
        <v>0</v>
      </c>
    </row>
    <row r="975" spans="1:53" ht="15.75" thickBot="1" x14ac:dyDescent="0.3">
      <c r="A975" s="88"/>
      <c r="B975" s="66" t="s">
        <v>293</v>
      </c>
      <c r="C975" s="67"/>
      <c r="D975" s="102"/>
      <c r="E975" s="32"/>
      <c r="F975" s="32"/>
      <c r="G975" s="68" t="s">
        <v>277</v>
      </c>
      <c r="H975" s="69">
        <f t="shared" si="409"/>
        <v>0</v>
      </c>
      <c r="I975" s="70">
        <f t="shared" si="410"/>
        <v>0</v>
      </c>
      <c r="J975" s="73" t="str">
        <f t="shared" si="411"/>
        <v>--</v>
      </c>
      <c r="K975" s="32"/>
      <c r="L975" s="233"/>
      <c r="M975" s="277"/>
      <c r="N975" s="277"/>
      <c r="O975" s="277"/>
      <c r="P975" s="277"/>
      <c r="Q975" s="277"/>
      <c r="R975" s="277"/>
      <c r="S975" s="277"/>
      <c r="T975" s="277"/>
      <c r="U975" s="278"/>
      <c r="V975" s="103"/>
      <c r="W975" s="84">
        <f t="shared" ref="W975:W983" si="416">Y975+1</f>
        <v>13</v>
      </c>
      <c r="X975" s="84"/>
      <c r="Y975" s="78">
        <f>SUM(E960:E975)</f>
        <v>12</v>
      </c>
      <c r="Z975" s="72" t="str">
        <f t="shared" si="414"/>
        <v/>
      </c>
      <c r="AA975" s="72" t="str">
        <f t="shared" si="415"/>
        <v/>
      </c>
      <c r="AB975" s="72"/>
      <c r="AC975" s="72">
        <f t="shared" si="400"/>
        <v>1</v>
      </c>
      <c r="AD975" s="72">
        <f t="shared" si="401"/>
        <v>1</v>
      </c>
      <c r="AE975" s="109" t="str">
        <f t="shared" si="402"/>
        <v>0-0</v>
      </c>
      <c r="AF975" s="109" t="str">
        <f t="shared" si="403"/>
        <v>Y</v>
      </c>
      <c r="AG975" s="109" t="str">
        <f t="shared" si="404"/>
        <v>B</v>
      </c>
      <c r="AM975" s="109">
        <f t="shared" si="405"/>
        <v>0</v>
      </c>
      <c r="AN975" s="109">
        <f t="shared" si="406"/>
        <v>0</v>
      </c>
      <c r="AO975" s="109" t="str">
        <f t="shared" si="407"/>
        <v/>
      </c>
      <c r="AQ975" s="109" t="str">
        <f t="shared" si="408"/>
        <v/>
      </c>
      <c r="BA975" s="229">
        <f>MOD(SUM(E960:E976),12)</f>
        <v>0</v>
      </c>
    </row>
    <row r="976" spans="1:53" ht="15.75" thickBot="1" x14ac:dyDescent="0.3">
      <c r="A976" s="88"/>
      <c r="B976" s="66" t="s">
        <v>294</v>
      </c>
      <c r="C976" s="67"/>
      <c r="D976" s="102"/>
      <c r="E976" s="32"/>
      <c r="F976" s="32"/>
      <c r="G976" s="68" t="s">
        <v>277</v>
      </c>
      <c r="H976" s="69">
        <f t="shared" si="409"/>
        <v>0</v>
      </c>
      <c r="I976" s="70">
        <f t="shared" si="410"/>
        <v>0</v>
      </c>
      <c r="J976" s="73" t="str">
        <f t="shared" si="411"/>
        <v>--</v>
      </c>
      <c r="K976" s="32"/>
      <c r="L976" s="233"/>
      <c r="M976" s="277"/>
      <c r="N976" s="277"/>
      <c r="O976" s="277"/>
      <c r="P976" s="277"/>
      <c r="Q976" s="277"/>
      <c r="R976" s="277"/>
      <c r="S976" s="277"/>
      <c r="T976" s="277"/>
      <c r="U976" s="278"/>
      <c r="V976" s="103"/>
      <c r="W976" s="84">
        <f t="shared" si="416"/>
        <v>13</v>
      </c>
      <c r="X976" s="84"/>
      <c r="Y976" s="78">
        <f>SUM(E960:E976)</f>
        <v>12</v>
      </c>
      <c r="Z976" s="72" t="str">
        <f t="shared" si="414"/>
        <v/>
      </c>
      <c r="AA976" s="72" t="str">
        <f t="shared" si="415"/>
        <v/>
      </c>
      <c r="AB976" s="72"/>
      <c r="AC976" s="72">
        <f t="shared" si="400"/>
        <v>1</v>
      </c>
      <c r="AD976" s="72">
        <f t="shared" si="401"/>
        <v>1</v>
      </c>
      <c r="AE976" s="109" t="str">
        <f t="shared" si="402"/>
        <v>0-0</v>
      </c>
      <c r="AF976" s="109" t="str">
        <f t="shared" si="403"/>
        <v>Y</v>
      </c>
      <c r="AG976" s="109" t="str">
        <f t="shared" si="404"/>
        <v>B</v>
      </c>
      <c r="AM976" s="109">
        <f t="shared" si="405"/>
        <v>0</v>
      </c>
      <c r="AN976" s="109">
        <f t="shared" si="406"/>
        <v>0</v>
      </c>
      <c r="AO976" s="109" t="str">
        <f t="shared" si="407"/>
        <v/>
      </c>
      <c r="AQ976" s="109" t="str">
        <f t="shared" si="408"/>
        <v/>
      </c>
      <c r="BA976" s="229">
        <f>MOD(SUM(E960:E977),12)</f>
        <v>0</v>
      </c>
    </row>
    <row r="977" spans="1:53" ht="15.75" thickBot="1" x14ac:dyDescent="0.3">
      <c r="A977" s="88"/>
      <c r="B977" s="66" t="s">
        <v>295</v>
      </c>
      <c r="C977" s="67"/>
      <c r="D977" s="102"/>
      <c r="E977" s="32"/>
      <c r="F977" s="32"/>
      <c r="G977" s="68" t="s">
        <v>277</v>
      </c>
      <c r="H977" s="69">
        <f t="shared" si="409"/>
        <v>0</v>
      </c>
      <c r="I977" s="70">
        <f t="shared" si="410"/>
        <v>0</v>
      </c>
      <c r="J977" s="73" t="str">
        <f t="shared" si="411"/>
        <v>--</v>
      </c>
      <c r="K977" s="32"/>
      <c r="L977" s="233"/>
      <c r="M977" s="277"/>
      <c r="N977" s="277"/>
      <c r="O977" s="277"/>
      <c r="P977" s="277"/>
      <c r="Q977" s="277"/>
      <c r="R977" s="277"/>
      <c r="S977" s="277"/>
      <c r="T977" s="277"/>
      <c r="U977" s="278"/>
      <c r="V977" s="103"/>
      <c r="W977" s="84">
        <f t="shared" si="416"/>
        <v>13</v>
      </c>
      <c r="X977" s="84"/>
      <c r="Y977" s="78">
        <f>SUM(E960:E977)</f>
        <v>12</v>
      </c>
      <c r="Z977" s="72" t="str">
        <f t="shared" si="414"/>
        <v/>
      </c>
      <c r="AA977" s="72" t="str">
        <f t="shared" si="415"/>
        <v/>
      </c>
      <c r="AB977" s="72"/>
      <c r="AC977" s="72">
        <f t="shared" si="400"/>
        <v>1</v>
      </c>
      <c r="AD977" s="72">
        <f t="shared" si="401"/>
        <v>1</v>
      </c>
      <c r="AE977" s="109" t="str">
        <f t="shared" si="402"/>
        <v>0-0</v>
      </c>
      <c r="AF977" s="109" t="str">
        <f t="shared" si="403"/>
        <v>Y</v>
      </c>
      <c r="AG977" s="109" t="str">
        <f t="shared" si="404"/>
        <v>B</v>
      </c>
      <c r="AM977" s="109">
        <f t="shared" si="405"/>
        <v>0</v>
      </c>
      <c r="AN977" s="109">
        <f t="shared" si="406"/>
        <v>0</v>
      </c>
      <c r="AO977" s="109" t="str">
        <f t="shared" si="407"/>
        <v/>
      </c>
      <c r="AQ977" s="109" t="str">
        <f t="shared" si="408"/>
        <v/>
      </c>
      <c r="BA977" s="229">
        <f>MOD(SUM(E960:E978),12)</f>
        <v>0</v>
      </c>
    </row>
    <row r="978" spans="1:53" ht="15.75" thickBot="1" x14ac:dyDescent="0.3">
      <c r="A978" s="88"/>
      <c r="B978" s="66" t="s">
        <v>296</v>
      </c>
      <c r="C978" s="67"/>
      <c r="D978" s="102"/>
      <c r="E978" s="32"/>
      <c r="F978" s="32"/>
      <c r="G978" s="68" t="s">
        <v>277</v>
      </c>
      <c r="H978" s="69">
        <f t="shared" si="409"/>
        <v>0</v>
      </c>
      <c r="I978" s="70">
        <f t="shared" si="410"/>
        <v>0</v>
      </c>
      <c r="J978" s="73" t="str">
        <f t="shared" si="411"/>
        <v>--</v>
      </c>
      <c r="K978" s="32"/>
      <c r="L978" s="233"/>
      <c r="M978" s="277"/>
      <c r="N978" s="277"/>
      <c r="O978" s="277"/>
      <c r="P978" s="277"/>
      <c r="Q978" s="277"/>
      <c r="R978" s="277"/>
      <c r="S978" s="277"/>
      <c r="T978" s="277"/>
      <c r="U978" s="278"/>
      <c r="V978" s="103"/>
      <c r="W978" s="84">
        <f t="shared" si="416"/>
        <v>13</v>
      </c>
      <c r="X978" s="84"/>
      <c r="Y978" s="78">
        <f>SUM(E960:E978)</f>
        <v>12</v>
      </c>
      <c r="Z978" s="72" t="str">
        <f t="shared" si="414"/>
        <v/>
      </c>
      <c r="AA978" s="72" t="str">
        <f t="shared" si="415"/>
        <v/>
      </c>
      <c r="AB978" s="72"/>
      <c r="AC978" s="72">
        <f t="shared" si="400"/>
        <v>1</v>
      </c>
      <c r="AD978" s="72">
        <f t="shared" si="401"/>
        <v>1</v>
      </c>
      <c r="AE978" s="109" t="str">
        <f t="shared" si="402"/>
        <v>0-0</v>
      </c>
      <c r="AF978" s="109" t="str">
        <f t="shared" si="403"/>
        <v>Y</v>
      </c>
      <c r="AG978" s="109" t="str">
        <f t="shared" si="404"/>
        <v>B</v>
      </c>
      <c r="AM978" s="109">
        <f t="shared" si="405"/>
        <v>0</v>
      </c>
      <c r="AN978" s="109">
        <f t="shared" si="406"/>
        <v>0</v>
      </c>
      <c r="AO978" s="109" t="str">
        <f t="shared" si="407"/>
        <v/>
      </c>
      <c r="AQ978" s="109" t="str">
        <f t="shared" si="408"/>
        <v/>
      </c>
      <c r="BA978" s="229">
        <f>MOD(SUM(E960:E979),12)</f>
        <v>0</v>
      </c>
    </row>
    <row r="979" spans="1:53" ht="15.75" thickBot="1" x14ac:dyDescent="0.3">
      <c r="A979" s="88"/>
      <c r="B979" s="66" t="s">
        <v>297</v>
      </c>
      <c r="C979" s="67"/>
      <c r="D979" s="102"/>
      <c r="E979" s="32"/>
      <c r="F979" s="32"/>
      <c r="G979" s="68" t="s">
        <v>277</v>
      </c>
      <c r="H979" s="69">
        <f t="shared" si="409"/>
        <v>0</v>
      </c>
      <c r="I979" s="70">
        <f t="shared" si="410"/>
        <v>0</v>
      </c>
      <c r="J979" s="73" t="str">
        <f t="shared" si="411"/>
        <v>--</v>
      </c>
      <c r="K979" s="32"/>
      <c r="L979" s="233"/>
      <c r="M979" s="277"/>
      <c r="N979" s="277"/>
      <c r="O979" s="277"/>
      <c r="P979" s="277"/>
      <c r="Q979" s="277"/>
      <c r="R979" s="277"/>
      <c r="S979" s="277"/>
      <c r="T979" s="277"/>
      <c r="U979" s="278"/>
      <c r="V979" s="103"/>
      <c r="W979" s="84">
        <f t="shared" si="416"/>
        <v>13</v>
      </c>
      <c r="X979" s="84"/>
      <c r="Y979" s="78">
        <f>SUM(E960:E979)</f>
        <v>12</v>
      </c>
      <c r="Z979" s="72" t="str">
        <f t="shared" si="414"/>
        <v/>
      </c>
      <c r="AA979" s="72" t="str">
        <f t="shared" si="415"/>
        <v/>
      </c>
      <c r="AB979" s="72"/>
      <c r="AC979" s="72">
        <f t="shared" si="400"/>
        <v>1</v>
      </c>
      <c r="AD979" s="72">
        <f t="shared" si="401"/>
        <v>1</v>
      </c>
      <c r="AE979" s="109" t="str">
        <f t="shared" si="402"/>
        <v>0-0</v>
      </c>
      <c r="AF979" s="109" t="str">
        <f t="shared" si="403"/>
        <v>Y</v>
      </c>
      <c r="AG979" s="109" t="str">
        <f t="shared" si="404"/>
        <v>B</v>
      </c>
      <c r="AM979" s="109">
        <f t="shared" si="405"/>
        <v>0</v>
      </c>
      <c r="AN979" s="109">
        <f t="shared" si="406"/>
        <v>0</v>
      </c>
      <c r="AO979" s="109" t="str">
        <f t="shared" si="407"/>
        <v/>
      </c>
      <c r="AQ979" s="109" t="str">
        <f t="shared" si="408"/>
        <v/>
      </c>
      <c r="BA979" s="229">
        <f>MOD(SUM(E960:E980),12)</f>
        <v>0</v>
      </c>
    </row>
    <row r="980" spans="1:53" ht="15.75" thickBot="1" x14ac:dyDescent="0.3">
      <c r="A980" s="88"/>
      <c r="B980" s="66" t="s">
        <v>298</v>
      </c>
      <c r="C980" s="67"/>
      <c r="D980" s="102"/>
      <c r="E980" s="32"/>
      <c r="F980" s="32"/>
      <c r="G980" s="68" t="s">
        <v>277</v>
      </c>
      <c r="H980" s="69">
        <f t="shared" si="409"/>
        <v>0</v>
      </c>
      <c r="I980" s="70">
        <f t="shared" si="410"/>
        <v>0</v>
      </c>
      <c r="J980" s="73" t="str">
        <f t="shared" si="411"/>
        <v>--</v>
      </c>
      <c r="K980" s="32"/>
      <c r="L980" s="233"/>
      <c r="M980" s="277"/>
      <c r="N980" s="277"/>
      <c r="O980" s="277"/>
      <c r="P980" s="277"/>
      <c r="Q980" s="277"/>
      <c r="R980" s="277"/>
      <c r="S980" s="277"/>
      <c r="T980" s="277"/>
      <c r="U980" s="278"/>
      <c r="V980" s="103"/>
      <c r="W980" s="84">
        <f t="shared" si="416"/>
        <v>13</v>
      </c>
      <c r="X980" s="84"/>
      <c r="Y980" s="78">
        <f>SUM(E960:E980)</f>
        <v>12</v>
      </c>
      <c r="Z980" s="72" t="str">
        <f t="shared" si="414"/>
        <v/>
      </c>
      <c r="AA980" s="72" t="str">
        <f t="shared" si="415"/>
        <v/>
      </c>
      <c r="AB980" s="72"/>
      <c r="AC980" s="72">
        <f t="shared" si="400"/>
        <v>1</v>
      </c>
      <c r="AD980" s="72">
        <f t="shared" si="401"/>
        <v>1</v>
      </c>
      <c r="AE980" s="109" t="str">
        <f t="shared" si="402"/>
        <v>0-0</v>
      </c>
      <c r="AF980" s="109" t="str">
        <f t="shared" si="403"/>
        <v>Y</v>
      </c>
      <c r="AG980" s="109" t="str">
        <f t="shared" si="404"/>
        <v>B</v>
      </c>
      <c r="AM980" s="109">
        <f t="shared" si="405"/>
        <v>0</v>
      </c>
      <c r="AN980" s="109">
        <f t="shared" si="406"/>
        <v>0</v>
      </c>
      <c r="AO980" s="109" t="str">
        <f t="shared" si="407"/>
        <v/>
      </c>
      <c r="AQ980" s="109" t="str">
        <f t="shared" si="408"/>
        <v/>
      </c>
      <c r="BA980" s="229">
        <f>MOD(SUM(E960:E981),12)</f>
        <v>0</v>
      </c>
    </row>
    <row r="981" spans="1:53" ht="15.75" thickBot="1" x14ac:dyDescent="0.3">
      <c r="A981" s="88"/>
      <c r="B981" s="66" t="s">
        <v>299</v>
      </c>
      <c r="C981" s="67"/>
      <c r="D981" s="102"/>
      <c r="E981" s="32"/>
      <c r="F981" s="32"/>
      <c r="G981" s="68" t="s">
        <v>277</v>
      </c>
      <c r="H981" s="69">
        <f t="shared" si="409"/>
        <v>0</v>
      </c>
      <c r="I981" s="70">
        <f t="shared" si="410"/>
        <v>0</v>
      </c>
      <c r="J981" s="73" t="str">
        <f t="shared" si="411"/>
        <v>--</v>
      </c>
      <c r="K981" s="32"/>
      <c r="L981" s="233"/>
      <c r="M981" s="277"/>
      <c r="N981" s="277"/>
      <c r="O981" s="277"/>
      <c r="P981" s="277"/>
      <c r="Q981" s="277"/>
      <c r="R981" s="277"/>
      <c r="S981" s="277"/>
      <c r="T981" s="277"/>
      <c r="U981" s="278"/>
      <c r="V981" s="103"/>
      <c r="W981" s="84">
        <f t="shared" si="416"/>
        <v>13</v>
      </c>
      <c r="X981" s="84"/>
      <c r="Y981" s="78">
        <f>SUM(E960:E981)</f>
        <v>12</v>
      </c>
      <c r="Z981" s="72" t="str">
        <f t="shared" si="414"/>
        <v/>
      </c>
      <c r="AA981" s="72" t="str">
        <f t="shared" si="415"/>
        <v/>
      </c>
      <c r="AB981" s="72"/>
      <c r="AC981" s="72">
        <f t="shared" si="400"/>
        <v>1</v>
      </c>
      <c r="AD981" s="72">
        <f t="shared" si="401"/>
        <v>1</v>
      </c>
      <c r="AE981" s="109" t="str">
        <f t="shared" si="402"/>
        <v>0-0</v>
      </c>
      <c r="AF981" s="109" t="str">
        <f t="shared" si="403"/>
        <v>Y</v>
      </c>
      <c r="AG981" s="109" t="str">
        <f t="shared" si="404"/>
        <v>B</v>
      </c>
      <c r="AM981" s="109">
        <f t="shared" si="405"/>
        <v>0</v>
      </c>
      <c r="AN981" s="109">
        <f t="shared" si="406"/>
        <v>0</v>
      </c>
      <c r="AO981" s="109" t="str">
        <f t="shared" si="407"/>
        <v/>
      </c>
      <c r="AQ981" s="109" t="str">
        <f t="shared" si="408"/>
        <v/>
      </c>
      <c r="BA981" s="229">
        <f>MOD(SUM(E960:E982),12)</f>
        <v>0</v>
      </c>
    </row>
    <row r="982" spans="1:53" ht="15.75" thickBot="1" x14ac:dyDescent="0.3">
      <c r="A982" s="88"/>
      <c r="B982" s="66" t="s">
        <v>300</v>
      </c>
      <c r="C982" s="67"/>
      <c r="D982" s="102"/>
      <c r="E982" s="32"/>
      <c r="F982" s="32"/>
      <c r="G982" s="68" t="s">
        <v>277</v>
      </c>
      <c r="H982" s="69">
        <f t="shared" si="409"/>
        <v>0</v>
      </c>
      <c r="I982" s="70">
        <f t="shared" si="410"/>
        <v>0</v>
      </c>
      <c r="J982" s="73" t="str">
        <f t="shared" si="411"/>
        <v>--</v>
      </c>
      <c r="K982" s="32"/>
      <c r="L982" s="233"/>
      <c r="M982" s="277"/>
      <c r="N982" s="277"/>
      <c r="O982" s="277"/>
      <c r="P982" s="277"/>
      <c r="Q982" s="277"/>
      <c r="R982" s="277"/>
      <c r="S982" s="277"/>
      <c r="T982" s="277"/>
      <c r="U982" s="278"/>
      <c r="V982" s="103"/>
      <c r="W982" s="84">
        <f t="shared" si="416"/>
        <v>13</v>
      </c>
      <c r="X982" s="84"/>
      <c r="Y982" s="78">
        <f>SUM(E960:E982)</f>
        <v>12</v>
      </c>
      <c r="Z982" s="72" t="str">
        <f t="shared" si="414"/>
        <v/>
      </c>
      <c r="AA982" s="72" t="str">
        <f t="shared" si="415"/>
        <v/>
      </c>
      <c r="AB982" s="72"/>
      <c r="AC982" s="72">
        <f t="shared" si="400"/>
        <v>1</v>
      </c>
      <c r="AD982" s="72">
        <f t="shared" si="401"/>
        <v>1</v>
      </c>
      <c r="AE982" s="109" t="str">
        <f t="shared" si="402"/>
        <v>0-0</v>
      </c>
      <c r="AF982" s="109" t="str">
        <f t="shared" si="403"/>
        <v>Y</v>
      </c>
      <c r="AG982" s="109" t="str">
        <f t="shared" si="404"/>
        <v>B</v>
      </c>
      <c r="AM982" s="109">
        <f t="shared" si="405"/>
        <v>0</v>
      </c>
      <c r="AN982" s="109">
        <f t="shared" si="406"/>
        <v>0</v>
      </c>
      <c r="AO982" s="109" t="str">
        <f t="shared" si="407"/>
        <v/>
      </c>
      <c r="AQ982" s="109" t="str">
        <f t="shared" si="408"/>
        <v/>
      </c>
      <c r="BA982" s="229">
        <f>MOD(SUM(E960:E983),12)</f>
        <v>0</v>
      </c>
    </row>
    <row r="983" spans="1:53" ht="15.75" thickBot="1" x14ac:dyDescent="0.3">
      <c r="A983" s="88"/>
      <c r="B983" s="66" t="s">
        <v>301</v>
      </c>
      <c r="C983" s="67"/>
      <c r="D983" s="102"/>
      <c r="E983" s="32"/>
      <c r="F983" s="32"/>
      <c r="G983" s="68" t="s">
        <v>277</v>
      </c>
      <c r="H983" s="69">
        <f t="shared" si="409"/>
        <v>0</v>
      </c>
      <c r="I983" s="70">
        <f t="shared" si="410"/>
        <v>0</v>
      </c>
      <c r="J983" s="73" t="str">
        <f t="shared" si="411"/>
        <v>--</v>
      </c>
      <c r="K983" s="32"/>
      <c r="L983" s="233"/>
      <c r="M983" s="277"/>
      <c r="N983" s="277"/>
      <c r="O983" s="277"/>
      <c r="P983" s="277"/>
      <c r="Q983" s="277"/>
      <c r="R983" s="277"/>
      <c r="S983" s="277"/>
      <c r="T983" s="277"/>
      <c r="U983" s="278"/>
      <c r="V983" s="103"/>
      <c r="W983" s="84">
        <f t="shared" si="416"/>
        <v>13</v>
      </c>
      <c r="X983" s="84"/>
      <c r="Y983" s="78">
        <f>SUM(E960:E983)</f>
        <v>12</v>
      </c>
      <c r="Z983" s="72" t="str">
        <f t="shared" si="414"/>
        <v/>
      </c>
      <c r="AA983" s="72" t="str">
        <f t="shared" si="415"/>
        <v/>
      </c>
      <c r="AB983" s="72"/>
      <c r="AC983" s="72">
        <f t="shared" si="400"/>
        <v>1</v>
      </c>
      <c r="AD983" s="72">
        <f t="shared" si="401"/>
        <v>1</v>
      </c>
      <c r="AE983" s="109" t="str">
        <f t="shared" si="402"/>
        <v>0-0</v>
      </c>
      <c r="AF983" s="109" t="str">
        <f t="shared" si="403"/>
        <v>Y</v>
      </c>
      <c r="AG983" s="109" t="str">
        <f t="shared" si="404"/>
        <v>B</v>
      </c>
      <c r="AM983" s="109">
        <f t="shared" si="405"/>
        <v>0</v>
      </c>
      <c r="AN983" s="109">
        <f t="shared" si="406"/>
        <v>0</v>
      </c>
      <c r="AO983" s="109" t="str">
        <f t="shared" si="407"/>
        <v/>
      </c>
      <c r="AQ983" s="109" t="str">
        <f t="shared" si="408"/>
        <v/>
      </c>
      <c r="BA983" s="229">
        <f>MOD(SUM(E960:E984),12)</f>
        <v>0</v>
      </c>
    </row>
    <row r="984" spans="1:53" ht="15.75" thickBot="1" x14ac:dyDescent="0.3">
      <c r="A984" s="88"/>
      <c r="B984" s="66" t="s">
        <v>302</v>
      </c>
      <c r="C984" s="67"/>
      <c r="D984" s="102"/>
      <c r="E984" s="32"/>
      <c r="F984" s="32"/>
      <c r="G984" s="68" t="s">
        <v>277</v>
      </c>
      <c r="H984" s="69">
        <f t="shared" si="409"/>
        <v>0</v>
      </c>
      <c r="I984" s="70">
        <f t="shared" si="410"/>
        <v>0</v>
      </c>
      <c r="J984" s="73" t="str">
        <f t="shared" si="411"/>
        <v>--</v>
      </c>
      <c r="K984" s="32"/>
      <c r="L984" s="234"/>
      <c r="M984" s="277"/>
      <c r="N984" s="277"/>
      <c r="O984" s="277"/>
      <c r="P984" s="277"/>
      <c r="Q984" s="277"/>
      <c r="R984" s="277"/>
      <c r="S984" s="277"/>
      <c r="T984" s="277"/>
      <c r="U984" s="278"/>
      <c r="V984" s="103"/>
      <c r="W984" s="72"/>
      <c r="X984" s="72"/>
      <c r="Y984" s="78">
        <f>SUM(E960:E984)</f>
        <v>12</v>
      </c>
      <c r="Z984" s="72" t="str">
        <f t="shared" si="414"/>
        <v/>
      </c>
      <c r="AA984" s="72" t="str">
        <f t="shared" si="415"/>
        <v/>
      </c>
      <c r="AB984" s="72"/>
      <c r="AC984" s="72">
        <f t="shared" si="400"/>
        <v>1</v>
      </c>
      <c r="AD984" s="72">
        <f t="shared" si="401"/>
        <v>1</v>
      </c>
      <c r="AE984" s="109" t="str">
        <f t="shared" si="402"/>
        <v>0-0</v>
      </c>
      <c r="AF984" s="109" t="str">
        <f t="shared" si="403"/>
        <v>Y</v>
      </c>
      <c r="AG984" s="109" t="str">
        <f t="shared" si="404"/>
        <v>B</v>
      </c>
      <c r="AM984" s="109">
        <f t="shared" si="405"/>
        <v>0</v>
      </c>
      <c r="AN984" s="109">
        <f t="shared" si="406"/>
        <v>0</v>
      </c>
      <c r="AO984" s="109" t="str">
        <f t="shared" si="407"/>
        <v/>
      </c>
      <c r="AQ984" s="109" t="str">
        <f t="shared" si="408"/>
        <v/>
      </c>
      <c r="BA984" s="228"/>
    </row>
    <row r="985" spans="1:53" ht="16.5" thickBot="1" x14ac:dyDescent="0.3">
      <c r="A985" s="88"/>
      <c r="B985" s="319" t="s">
        <v>351</v>
      </c>
      <c r="C985" s="320"/>
      <c r="D985" s="79"/>
      <c r="E985" s="80"/>
      <c r="F985" s="80"/>
      <c r="G985" s="81"/>
      <c r="H985" s="192"/>
      <c r="I985" s="192"/>
      <c r="J985" s="192"/>
      <c r="K985" s="82"/>
      <c r="L985" s="319" t="s">
        <v>306</v>
      </c>
      <c r="M985" s="330"/>
      <c r="N985" s="330"/>
      <c r="O985" s="330"/>
      <c r="P985" s="330"/>
      <c r="Q985" s="330"/>
      <c r="R985" s="330"/>
      <c r="S985" s="330"/>
      <c r="T985" s="330"/>
      <c r="U985" s="320"/>
      <c r="V985" s="104"/>
      <c r="W985" s="72"/>
      <c r="X985" s="72"/>
      <c r="Y985" s="72"/>
      <c r="Z985" s="72"/>
      <c r="AA985" s="72" t="str">
        <f t="shared" si="415"/>
        <v/>
      </c>
      <c r="AB985" s="72"/>
      <c r="AC985" s="72">
        <f>SUM(AC960:AC984)</f>
        <v>25</v>
      </c>
      <c r="AD985" s="72">
        <f>SUM(AD960:AD984)</f>
        <v>23</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319" t="s">
        <v>307</v>
      </c>
      <c r="C986" s="320"/>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15"/>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312" t="s">
        <v>222</v>
      </c>
      <c r="C990" s="313"/>
      <c r="D990" s="314" t="s">
        <v>223</v>
      </c>
      <c r="E990" s="305"/>
      <c r="F990" s="88"/>
      <c r="G990" s="315" t="s">
        <v>224</v>
      </c>
      <c r="H990" s="316"/>
      <c r="I990" s="28">
        <f>SUM(E1001:E1025)</f>
        <v>96</v>
      </c>
      <c r="J990" s="317" t="s">
        <v>225</v>
      </c>
      <c r="K990" s="318"/>
      <c r="L990" s="305"/>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5" t="s">
        <v>226</v>
      </c>
      <c r="AA990" s="296"/>
      <c r="AB990" s="297"/>
      <c r="AC990" s="25"/>
      <c r="AD990" s="25"/>
      <c r="AH990" s="109">
        <v>2</v>
      </c>
      <c r="AI990" s="109" t="str">
        <f>IF($E991="SS",COUNTIFS($C1001:$C1025,"FST",$E1001:$E1025,"2"),"0")</f>
        <v>0</v>
      </c>
      <c r="AJ990" s="109">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RPX</v>
      </c>
      <c r="F991" s="88"/>
      <c r="G991" s="304" t="s">
        <v>230</v>
      </c>
      <c r="H991" s="305"/>
      <c r="I991" s="33">
        <f>E992-I990</f>
        <v>48</v>
      </c>
      <c r="J991" s="289" t="s">
        <v>231</v>
      </c>
      <c r="K991" s="290"/>
      <c r="L991" s="34">
        <f>I995</f>
        <v>361</v>
      </c>
      <c r="M991" s="196">
        <v>4</v>
      </c>
      <c r="N991" s="35">
        <f>SUM(AI991,AI1002)</f>
        <v>0</v>
      </c>
      <c r="O991" s="35">
        <v>0</v>
      </c>
      <c r="P991" s="35">
        <f>SUM(AJ991,AJ1002)</f>
        <v>2</v>
      </c>
      <c r="Q991" s="35">
        <v>0</v>
      </c>
      <c r="R991" s="35">
        <f>COUNTIFS($E1001:$E1025,"4",$F1001:$F1025,"Pole",$C1001:$C1025,"FST")</f>
        <v>2</v>
      </c>
      <c r="S991" s="35">
        <f>SUM(AL991,AK1002)</f>
        <v>0</v>
      </c>
      <c r="T991" s="35">
        <v>0</v>
      </c>
      <c r="U991" s="35">
        <f>SUM(AK991,AL1002)</f>
        <v>0</v>
      </c>
      <c r="V991" s="35">
        <v>0</v>
      </c>
      <c r="W991" s="34">
        <f>COUNTIFS($E1001:$E1025,"4",$F1001:$F1025,"HH",$C1001:$C1025,"FST")</f>
        <v>0</v>
      </c>
      <c r="X991" s="35">
        <f>COUNTIFS($E1001:$E1025,"4",$F1001:$F1025,"Ped",$C1001:$C1025,"FST")</f>
        <v>0</v>
      </c>
      <c r="Y991" s="25"/>
      <c r="Z991" s="298" t="s">
        <v>232</v>
      </c>
      <c r="AA991" s="300" t="s">
        <v>233</v>
      </c>
      <c r="AB991" s="301"/>
      <c r="AC991" s="25"/>
      <c r="AD991" s="25"/>
      <c r="AH991" s="109">
        <v>4</v>
      </c>
      <c r="AI991" s="109" t="str">
        <f>IF($E991="SS",COUNTIFS($C1001:$C1025,"FST",$E1001:$E1025,"4"),"0")</f>
        <v>0</v>
      </c>
      <c r="AJ991" s="109">
        <f>IF($E991="RPX",COUNTIFS($C1001:$C1025,"FST",$E1001:$E1025,"4"),"0")</f>
        <v>2</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v>144</v>
      </c>
      <c r="F992" s="88"/>
      <c r="G992" s="291" t="s">
        <v>237</v>
      </c>
      <c r="H992" s="292"/>
      <c r="I992" s="35">
        <f>IF(E992=0,0,12-(MOD(I990,12)))</f>
        <v>12</v>
      </c>
      <c r="J992" s="289" t="s">
        <v>238</v>
      </c>
      <c r="K992" s="290"/>
      <c r="L992" s="39">
        <f>I996-I990</f>
        <v>360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299"/>
      <c r="AA992" s="302"/>
      <c r="AB992" s="303"/>
      <c r="AC992" s="25"/>
      <c r="AD992" s="25"/>
      <c r="AH992" s="109">
        <v>6</v>
      </c>
      <c r="AI992" s="109" t="str">
        <f>IF($E991="SS",COUNTIFS($C1001:$C1025,"FST",$E1001:$E1025,"6"),"0")</f>
        <v>0</v>
      </c>
      <c r="AJ992" s="109">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v>48</v>
      </c>
      <c r="F993" s="88"/>
      <c r="G993" s="321" t="s">
        <v>242</v>
      </c>
      <c r="H993" s="43" t="s">
        <v>243</v>
      </c>
      <c r="I993" s="35">
        <f>IF(E993&lt;&gt;0,1,0)</f>
        <v>1</v>
      </c>
      <c r="J993" s="291" t="s">
        <v>244</v>
      </c>
      <c r="K993" s="292"/>
      <c r="L993" s="44">
        <f>'Cable Calculator'!DT3</f>
        <v>2819</v>
      </c>
      <c r="M993" s="196">
        <v>8</v>
      </c>
      <c r="N993" s="35">
        <f>SUM(AI993,AI1004)</f>
        <v>0</v>
      </c>
      <c r="O993" s="35">
        <v>0</v>
      </c>
      <c r="P993" s="35">
        <f>SUM(AJ993,AJ1004)</f>
        <v>2</v>
      </c>
      <c r="Q993" s="35">
        <v>0</v>
      </c>
      <c r="R993" s="35">
        <f>COUNTIFS($E1001:$E1025,"8",$F1001:$F1025,"Pole",$C1001:$C1025,"FST")</f>
        <v>2</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f>IF($E991="RPX",COUNTIFS($C1001:$C1025,"FST",$E1001:$E1025,"8"),"0")</f>
        <v>2</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v>361</v>
      </c>
      <c r="F994" s="88"/>
      <c r="G994" s="322"/>
      <c r="H994" s="47" t="s">
        <v>248</v>
      </c>
      <c r="I994" s="35">
        <f>IF(E993&lt;&gt;0,E993,0)</f>
        <v>48</v>
      </c>
      <c r="J994" s="194"/>
      <c r="K994" s="195"/>
      <c r="L994" s="48"/>
      <c r="M994" s="196">
        <v>12</v>
      </c>
      <c r="N994" s="35" t="str">
        <f>IF($E991="SS",SUM(AI994,AJ1005,AM1026,AO1026,AQ1026),"0")</f>
        <v>0</v>
      </c>
      <c r="O994" s="35" t="str">
        <f>IF($E991="SS",SUM(AN1026,AP1026,AR1026),"0")</f>
        <v>0</v>
      </c>
      <c r="P994" s="35">
        <f>IF($E991="RPX",SUM(AJ994,AJ1005,AM1026,AO1026,AQ1026),"0")</f>
        <v>0</v>
      </c>
      <c r="Q994" s="35">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12</v>
      </c>
      <c r="F995" s="88"/>
      <c r="G995" s="321" t="s">
        <v>251</v>
      </c>
      <c r="H995" s="51" t="s">
        <v>252</v>
      </c>
      <c r="I995" s="112">
        <f>E994</f>
        <v>361</v>
      </c>
      <c r="J995" s="323" t="s">
        <v>253</v>
      </c>
      <c r="K995" s="324"/>
      <c r="L995" s="325"/>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N</v>
      </c>
      <c r="F996" s="88"/>
      <c r="G996" s="322"/>
      <c r="H996" s="47" t="s">
        <v>257</v>
      </c>
      <c r="I996" s="35">
        <f>IF(E994="","0",IF(AND(E991="EUC",E992=432), I995+(203-E993),IF(E994=0,0,(E994+(E992-E993)-1))))</f>
        <v>456</v>
      </c>
      <c r="J996" s="285" t="str">
        <f>IFERROR(IF(OR(E991="EUC",E991="SS"),"---",IF(OR(P990,S990),"NO 2F Tethers for RPX!",IF(OR(P992,S992),"NO 6F Tethers for RPX!","---"))),"---")</f>
        <v>---</v>
      </c>
      <c r="K996" s="286"/>
      <c r="L996" s="287"/>
      <c r="M996" s="285" t="str">
        <f>IF(E993&gt;60,"Dead Count &gt;60: Consider Downsize","---")</f>
        <v>---</v>
      </c>
      <c r="N996" s="286"/>
      <c r="O996" s="286"/>
      <c r="P996" s="286"/>
      <c r="Q996" s="286"/>
      <c r="R996" s="286"/>
      <c r="S996" s="286"/>
      <c r="T996" s="286"/>
      <c r="U996" s="287"/>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96</v>
      </c>
      <c r="D997" s="31" t="s">
        <v>259</v>
      </c>
      <c r="E997" s="101" t="str">
        <f>IF(AS991="Y","DBL",IF(AS992="Y","TRPL",IF(AS993="Y","QUAD","")))</f>
        <v/>
      </c>
      <c r="F997" s="88"/>
      <c r="G997" s="192"/>
      <c r="H997" s="57"/>
      <c r="I997" s="192"/>
      <c r="J997" s="285"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86"/>
      <c r="L997" s="287"/>
      <c r="M997" s="285" t="str">
        <f>IF(AND(OR(E991="SS",E991="RPX",E991="EUC",E991="RPX-T"),(OR(C1001="",C1001="Field SPL"))),"Cannot have FlexNap cables without tethers","---")</f>
        <v>---</v>
      </c>
      <c r="N997" s="286"/>
      <c r="O997" s="286"/>
      <c r="P997" s="286"/>
      <c r="Q997" s="286"/>
      <c r="R997" s="286"/>
      <c r="S997" s="286"/>
      <c r="T997" s="286"/>
      <c r="U997" s="287"/>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85" t="str">
        <f>IF(AND(OR(E991="RPX", E991="RPX-T", E991="SS"),E992=216),"NO 216 For RPX, RPX-T, OR SS CABLE","---")</f>
        <v>---</v>
      </c>
      <c r="K998" s="286"/>
      <c r="L998" s="287"/>
      <c r="M998" s="285" t="str" cm="1">
        <f t="array" ref="M998">IF(AND(E991="",OR(C1001:C1025="FST",C1001:C1025="REV T",C1001:C1025="DBL REV",C1001:C1025="TPL REV", C1001:C1025="QD REV")),"Non-FlexNap cables cannot have tethers","---")</f>
        <v>---</v>
      </c>
      <c r="N998" s="286"/>
      <c r="O998" s="286"/>
      <c r="P998" s="286"/>
      <c r="Q998" s="286"/>
      <c r="R998" s="286"/>
      <c r="S998" s="286"/>
      <c r="T998" s="286"/>
      <c r="U998" s="287"/>
      <c r="V998" s="25"/>
      <c r="W998" s="58"/>
      <c r="X998" s="58"/>
      <c r="Y998" s="25"/>
      <c r="Z998" s="45">
        <v>6</v>
      </c>
      <c r="AA998" s="65">
        <v>61</v>
      </c>
      <c r="AB998" s="65">
        <v>72</v>
      </c>
      <c r="AC998" s="25"/>
      <c r="AD998" s="25"/>
      <c r="BA998" s="226"/>
    </row>
    <row r="999" spans="1:53" ht="15.75" customHeight="1" thickBot="1" x14ac:dyDescent="0.3">
      <c r="A999" s="88"/>
      <c r="B999" s="321" t="s">
        <v>260</v>
      </c>
      <c r="C999" s="293" t="s">
        <v>261</v>
      </c>
      <c r="D999" s="293" t="s">
        <v>262</v>
      </c>
      <c r="E999" s="306" t="s">
        <v>263</v>
      </c>
      <c r="F999" s="293" t="s">
        <v>264</v>
      </c>
      <c r="G999" s="308" t="s">
        <v>265</v>
      </c>
      <c r="H999" s="308" t="s">
        <v>266</v>
      </c>
      <c r="I999" s="308" t="s">
        <v>267</v>
      </c>
      <c r="J999" s="310" t="s">
        <v>268</v>
      </c>
      <c r="K999" s="293" t="s">
        <v>269</v>
      </c>
      <c r="L999" s="279" t="s">
        <v>270</v>
      </c>
      <c r="M999" s="281" t="s">
        <v>271</v>
      </c>
      <c r="N999" s="281"/>
      <c r="O999" s="281"/>
      <c r="P999" s="281"/>
      <c r="Q999" s="281"/>
      <c r="R999" s="281"/>
      <c r="S999" s="281"/>
      <c r="T999" s="281"/>
      <c r="U999" s="282"/>
      <c r="V999" s="107"/>
      <c r="W999" s="72"/>
      <c r="X999" s="72"/>
      <c r="Y999" s="72"/>
      <c r="Z999" s="45">
        <v>7</v>
      </c>
      <c r="AA999" s="65">
        <v>73</v>
      </c>
      <c r="AB999" s="65">
        <v>84</v>
      </c>
      <c r="AC999" s="25"/>
      <c r="AD999" s="25"/>
      <c r="BA999" s="228"/>
    </row>
    <row r="1000" spans="1:53" ht="15.75" thickBot="1" x14ac:dyDescent="0.3">
      <c r="A1000" s="88"/>
      <c r="B1000" s="322"/>
      <c r="C1000" s="294"/>
      <c r="D1000" s="294"/>
      <c r="E1000" s="307"/>
      <c r="F1000" s="294"/>
      <c r="G1000" s="309"/>
      <c r="H1000" s="309"/>
      <c r="I1000" s="309"/>
      <c r="J1000" s="311"/>
      <c r="K1000" s="294"/>
      <c r="L1000" s="280"/>
      <c r="M1000" s="283"/>
      <c r="N1000" s="283"/>
      <c r="O1000" s="283"/>
      <c r="P1000" s="283"/>
      <c r="Q1000" s="283"/>
      <c r="R1000" s="283"/>
      <c r="S1000" s="283"/>
      <c r="T1000" s="283"/>
      <c r="U1000" s="284"/>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t="s">
        <v>484</v>
      </c>
      <c r="D1001" s="102" t="s">
        <v>801</v>
      </c>
      <c r="E1001" s="32">
        <v>4</v>
      </c>
      <c r="F1001" s="32" t="s">
        <v>483</v>
      </c>
      <c r="G1001" s="68" t="s">
        <v>277</v>
      </c>
      <c r="H1001" s="69">
        <f>IF(I1001=0,0,I1001-(E1001-1))</f>
        <v>453</v>
      </c>
      <c r="I1001" s="70">
        <f>IF(E1001=0,0,I996)</f>
        <v>456</v>
      </c>
      <c r="J1001" s="71" t="s">
        <v>278</v>
      </c>
      <c r="K1001" s="32"/>
      <c r="L1001" s="233"/>
      <c r="M1001" s="277"/>
      <c r="N1001" s="277"/>
      <c r="O1001" s="277"/>
      <c r="P1001" s="277"/>
      <c r="Q1001" s="277"/>
      <c r="R1001" s="277"/>
      <c r="S1001" s="277"/>
      <c r="T1001" s="277"/>
      <c r="U1001" s="278"/>
      <c r="V1001" s="103"/>
      <c r="W1001" s="72"/>
      <c r="X1001" s="72"/>
      <c r="Y1001" s="72"/>
      <c r="Z1001" s="45">
        <v>9</v>
      </c>
      <c r="AA1001" s="46">
        <v>97</v>
      </c>
      <c r="AB1001" s="46">
        <v>108</v>
      </c>
      <c r="AC1001" s="72">
        <f t="shared" ref="AC1001:AC1025" si="417">IF(B1001&lt;&gt;"FST",1,0)</f>
        <v>1</v>
      </c>
      <c r="AD1001" s="72">
        <f t="shared" ref="AD1001:AD1025" si="418">IF(C1001&lt;&gt;"FST",1,0)</f>
        <v>0</v>
      </c>
      <c r="AE1001" s="109" t="str">
        <f t="shared" ref="AE1001:AE1025" si="419">CONCATENATE(H1001,"-",I1001)</f>
        <v>453-456</v>
      </c>
      <c r="AF1001" s="109" t="str">
        <f t="shared" ref="AF1001:AF1025" si="420">IF(C1001="Field SPL","N","Y")</f>
        <v>Y</v>
      </c>
      <c r="AG1001" s="109" t="str">
        <f t="shared" ref="AG1001:AG1025" si="421">IF(OR(E$991="RPX",E$991="SS"),"A","B")</f>
        <v>A</v>
      </c>
      <c r="AH1001" s="109">
        <v>2</v>
      </c>
      <c r="AI1001" s="109" t="str">
        <f>IF(E991="SS",COUNTIFS(C1001:C1025,"TCF",E1001:E1025,"2"),"")</f>
        <v/>
      </c>
      <c r="AJ1001" s="109">
        <f>IF(E991="RPX",COUNTIFS(C1001:C1025,"TCF",E1001:E1025,"2"),"")</f>
        <v>0</v>
      </c>
      <c r="AK1001" s="109" t="str">
        <f>IF(E991="RPX-T",COUNTIFS(C1001:C1025,"TCF",E1001:E1025,"2"),"")</f>
        <v/>
      </c>
      <c r="AL1001" s="109" t="str">
        <f>IF(E991="EUC",COUNTIFS(C1001:C1025,"TCF",E1001:E1025,"2"),"")</f>
        <v/>
      </c>
      <c r="AM1001" s="109">
        <f t="shared" ref="AM1001:AM1025" si="422">VALUE(IF(C1001="FST","0",IF(C1001="REV T","1",IF(C1001="DBL REV",".5","0"))))</f>
        <v>0</v>
      </c>
      <c r="AN1001" s="109">
        <f t="shared" ref="AN1001:AN1025" si="423">VALUE(IF(C1001="FST","0",IF(C1001="REV T","0",IF(C1001="DBL REV",".5","0"))))</f>
        <v>0</v>
      </c>
      <c r="AO1001" s="109" t="str">
        <f t="shared" ref="AO1001:AO1025" si="424">IF(C1001="TPL REV","Y","")</f>
        <v/>
      </c>
      <c r="AQ1001" s="109" t="str">
        <f t="shared" ref="AQ1001:AQ1025" si="425">IF(C1001="QD REV","Y","")</f>
        <v/>
      </c>
      <c r="BA1001" s="229">
        <f>MOD(E1001,12)</f>
        <v>4</v>
      </c>
    </row>
    <row r="1002" spans="1:53" ht="15.75" thickBot="1" x14ac:dyDescent="0.3">
      <c r="A1002" s="88"/>
      <c r="B1002" s="66" t="s">
        <v>279</v>
      </c>
      <c r="C1002" s="67" t="s">
        <v>484</v>
      </c>
      <c r="D1002" s="102" t="s">
        <v>802</v>
      </c>
      <c r="E1002" s="32">
        <v>8</v>
      </c>
      <c r="F1002" s="32" t="s">
        <v>483</v>
      </c>
      <c r="G1002" s="68" t="s">
        <v>277</v>
      </c>
      <c r="H1002" s="69">
        <f t="shared" ref="H1002:H1025" si="426">IF(E1002=0,0,I1002-(E1002-1))</f>
        <v>445</v>
      </c>
      <c r="I1002" s="70">
        <f t="shared" ref="I1002:I1025" si="427">IF(E1002=0,0,H1001-1)</f>
        <v>452</v>
      </c>
      <c r="J1002" s="73" t="str">
        <f>IF(C1002="","--",IF(AND(C1002&lt;&gt;"FST",C1002&lt;&gt;"TCF",BA1001&lt;&gt;0),BA1001,"--"))</f>
        <v>--</v>
      </c>
      <c r="K1002" s="32"/>
      <c r="L1002" s="233"/>
      <c r="M1002" s="277"/>
      <c r="N1002" s="277"/>
      <c r="O1002" s="277"/>
      <c r="P1002" s="277"/>
      <c r="Q1002" s="277"/>
      <c r="R1002" s="277"/>
      <c r="S1002" s="277"/>
      <c r="T1002" s="277"/>
      <c r="U1002" s="278"/>
      <c r="V1002" s="103"/>
      <c r="W1002" s="72"/>
      <c r="X1002" s="72"/>
      <c r="Y1002" s="72"/>
      <c r="Z1002" s="45">
        <v>10</v>
      </c>
      <c r="AA1002" s="46">
        <v>109</v>
      </c>
      <c r="AB1002" s="46">
        <v>120</v>
      </c>
      <c r="AC1002" s="72">
        <f t="shared" si="417"/>
        <v>1</v>
      </c>
      <c r="AD1002" s="72">
        <f t="shared" si="418"/>
        <v>0</v>
      </c>
      <c r="AE1002" s="109" t="str">
        <f t="shared" si="419"/>
        <v>445-452</v>
      </c>
      <c r="AF1002" s="109" t="str">
        <f t="shared" si="420"/>
        <v>Y</v>
      </c>
      <c r="AG1002" s="109" t="str">
        <f t="shared" si="421"/>
        <v>A</v>
      </c>
      <c r="AH1002" s="109">
        <v>4</v>
      </c>
      <c r="AI1002" s="109" t="str">
        <f>IF(E991="SS",COUNTIFS(C1001:C1025,"TCF",E1001:E1025,"4"),"")</f>
        <v/>
      </c>
      <c r="AJ1002" s="109">
        <f>IF(E991="RPX",COUNTIFS(C1001:C1025,"TCF",E1001:E1025,"4"),"")</f>
        <v>0</v>
      </c>
      <c r="AK1002" s="109" t="str">
        <f>IF(E991="RPX-T",COUNTIFS(C1001:C1025,"TCF",E1001:E1025,"4"),"")</f>
        <v/>
      </c>
      <c r="AL1002" s="109" t="str">
        <f>IF(E991="EUC",COUNTIFS(C1001:C1025,"TCF",E1001:E1025,"4"),"")</f>
        <v/>
      </c>
      <c r="AM1002" s="109">
        <f t="shared" si="422"/>
        <v>0</v>
      </c>
      <c r="AN1002" s="109">
        <f t="shared" si="423"/>
        <v>0</v>
      </c>
      <c r="AO1002" s="109" t="str">
        <f t="shared" si="424"/>
        <v/>
      </c>
      <c r="AQ1002" s="109" t="str">
        <f t="shared" si="425"/>
        <v/>
      </c>
      <c r="BA1002" s="229">
        <f>MOD(SUM(E1001:E1002),12)</f>
        <v>0</v>
      </c>
    </row>
    <row r="1003" spans="1:53" ht="15.75" thickBot="1" x14ac:dyDescent="0.3">
      <c r="A1003" s="88"/>
      <c r="B1003" s="74" t="s">
        <v>280</v>
      </c>
      <c r="C1003" s="67" t="s">
        <v>484</v>
      </c>
      <c r="D1003" s="102" t="s">
        <v>803</v>
      </c>
      <c r="E1003" s="32">
        <v>8</v>
      </c>
      <c r="F1003" s="32" t="s">
        <v>483</v>
      </c>
      <c r="G1003" s="75" t="s">
        <v>277</v>
      </c>
      <c r="H1003" s="69">
        <f t="shared" si="426"/>
        <v>437</v>
      </c>
      <c r="I1003" s="70">
        <f t="shared" si="427"/>
        <v>444</v>
      </c>
      <c r="J1003" s="73" t="str">
        <f t="shared" ref="J1003:J1025" si="428">IF(C1003="","--",IF(AND(C1003&lt;&gt;"FST",C1003&lt;&gt;"TCF",BA1002&lt;&gt;0),BA1002,"--"))</f>
        <v>--</v>
      </c>
      <c r="K1003" s="32"/>
      <c r="L1003" s="233"/>
      <c r="M1003" s="277"/>
      <c r="N1003" s="277"/>
      <c r="O1003" s="277"/>
      <c r="P1003" s="277"/>
      <c r="Q1003" s="277"/>
      <c r="R1003" s="277"/>
      <c r="S1003" s="277"/>
      <c r="T1003" s="277"/>
      <c r="U1003" s="278"/>
      <c r="V1003" s="103"/>
      <c r="W1003" s="72"/>
      <c r="X1003" s="72"/>
      <c r="Y1003" s="72"/>
      <c r="Z1003" s="45">
        <v>11</v>
      </c>
      <c r="AA1003" s="46">
        <v>121</v>
      </c>
      <c r="AB1003" s="46">
        <v>132</v>
      </c>
      <c r="AC1003" s="72">
        <f t="shared" si="417"/>
        <v>1</v>
      </c>
      <c r="AD1003" s="72">
        <f t="shared" si="418"/>
        <v>0</v>
      </c>
      <c r="AE1003" s="109" t="str">
        <f t="shared" si="419"/>
        <v>437-444</v>
      </c>
      <c r="AF1003" s="109" t="str">
        <f t="shared" si="420"/>
        <v>Y</v>
      </c>
      <c r="AG1003" s="109" t="str">
        <f t="shared" si="421"/>
        <v>A</v>
      </c>
      <c r="AH1003" s="109">
        <v>6</v>
      </c>
      <c r="AI1003" s="109" t="str">
        <f>IF(E991="SS",COUNTIFS(C1001:C1025,"TCF",E1001:E1025,"6"),"")</f>
        <v/>
      </c>
      <c r="AJ1003" s="109">
        <f>IF(E991="RPX",COUNTIFS(C1001:C1025,"TCF",E1001:E1025,"6"),"")</f>
        <v>0</v>
      </c>
      <c r="AK1003" s="109" t="str">
        <f>IF(E991="RPX-T",COUNTIFS(C1001:C1025,"TCF",E1001:E1025,"6"),"")</f>
        <v/>
      </c>
      <c r="AL1003" s="109" t="str">
        <f>IF(E991="EUC",COUNTIFS(C1001:C1025,"TCF",E1001:E1025,"6"),"")</f>
        <v/>
      </c>
      <c r="AM1003" s="109">
        <f t="shared" si="422"/>
        <v>0</v>
      </c>
      <c r="AN1003" s="109">
        <f t="shared" si="423"/>
        <v>0</v>
      </c>
      <c r="AO1003" s="109" t="str">
        <f t="shared" si="424"/>
        <v/>
      </c>
      <c r="AQ1003" s="109" t="str">
        <f t="shared" si="425"/>
        <v/>
      </c>
      <c r="BA1003" s="229">
        <f>MOD(SUM(E1001:E1004),12)</f>
        <v>0</v>
      </c>
    </row>
    <row r="1004" spans="1:53" ht="15.75" thickBot="1" x14ac:dyDescent="0.3">
      <c r="A1004" s="88"/>
      <c r="B1004" s="66" t="s">
        <v>281</v>
      </c>
      <c r="C1004" s="67" t="s">
        <v>484</v>
      </c>
      <c r="D1004" s="102" t="s">
        <v>804</v>
      </c>
      <c r="E1004" s="32">
        <v>4</v>
      </c>
      <c r="F1004" s="32" t="s">
        <v>483</v>
      </c>
      <c r="G1004" s="68" t="s">
        <v>277</v>
      </c>
      <c r="H1004" s="69">
        <f t="shared" si="426"/>
        <v>433</v>
      </c>
      <c r="I1004" s="70">
        <f t="shared" si="427"/>
        <v>436</v>
      </c>
      <c r="J1004" s="73" t="str">
        <f t="shared" si="428"/>
        <v>--</v>
      </c>
      <c r="K1004" s="32"/>
      <c r="L1004" s="233"/>
      <c r="M1004" s="277"/>
      <c r="N1004" s="277"/>
      <c r="O1004" s="277"/>
      <c r="P1004" s="277"/>
      <c r="Q1004" s="277"/>
      <c r="R1004" s="277"/>
      <c r="S1004" s="277"/>
      <c r="T1004" s="277"/>
      <c r="U1004" s="278"/>
      <c r="V1004" s="103"/>
      <c r="W1004" s="72"/>
      <c r="X1004" s="72"/>
      <c r="Y1004" s="72"/>
      <c r="Z1004" s="45">
        <v>12</v>
      </c>
      <c r="AA1004" s="76">
        <v>133</v>
      </c>
      <c r="AB1004" s="76">
        <v>144</v>
      </c>
      <c r="AC1004" s="72">
        <f t="shared" si="417"/>
        <v>1</v>
      </c>
      <c r="AD1004" s="72">
        <f t="shared" si="418"/>
        <v>0</v>
      </c>
      <c r="AE1004" s="109" t="str">
        <f t="shared" si="419"/>
        <v>433-436</v>
      </c>
      <c r="AF1004" s="109" t="str">
        <f t="shared" si="420"/>
        <v>Y</v>
      </c>
      <c r="AG1004" s="109" t="str">
        <f t="shared" si="421"/>
        <v>A</v>
      </c>
      <c r="AH1004" s="109">
        <v>8</v>
      </c>
      <c r="AI1004" s="109" t="str">
        <f>IF(E991="SS",COUNTIFS(C1001:C1025,"TCF",E1001:E1025,"8"),"")</f>
        <v/>
      </c>
      <c r="AJ1004" s="109">
        <f>IF(E991="RPX",COUNTIFS(C1001:C1025,"TCF",E1001:E1025,"8"),"")</f>
        <v>0</v>
      </c>
      <c r="AK1004" s="109" t="str">
        <f>IF(E991="RPX-T",COUNTIFS(C1001:C1025,"TCF",E1001:E1025,"8"),"")</f>
        <v/>
      </c>
      <c r="AL1004" s="109" t="str">
        <f>IF(E991="EUC",COUNTIFS(C1001:C1025,"TCF",E1001:E1025,"8"),"")</f>
        <v/>
      </c>
      <c r="AM1004" s="109">
        <f t="shared" si="422"/>
        <v>0</v>
      </c>
      <c r="AN1004" s="109">
        <f t="shared" si="423"/>
        <v>0</v>
      </c>
      <c r="AO1004" s="109" t="str">
        <f t="shared" si="424"/>
        <v/>
      </c>
      <c r="AQ1004" s="109" t="str">
        <f t="shared" si="425"/>
        <v/>
      </c>
      <c r="BA1004" s="229">
        <f>MOD(SUM(E1001:E1005),12)</f>
        <v>0</v>
      </c>
    </row>
    <row r="1005" spans="1:53" ht="15.75" thickBot="1" x14ac:dyDescent="0.3">
      <c r="A1005" s="88"/>
      <c r="B1005" s="66" t="s">
        <v>282</v>
      </c>
      <c r="C1005" s="67" t="s">
        <v>502</v>
      </c>
      <c r="D1005" s="102"/>
      <c r="E1005" s="32">
        <v>72</v>
      </c>
      <c r="F1005" s="32"/>
      <c r="G1005" s="68" t="s">
        <v>277</v>
      </c>
      <c r="H1005" s="69">
        <f t="shared" si="426"/>
        <v>361</v>
      </c>
      <c r="I1005" s="70">
        <f t="shared" si="427"/>
        <v>432</v>
      </c>
      <c r="J1005" s="73" t="str">
        <f t="shared" si="428"/>
        <v>--</v>
      </c>
      <c r="K1005" s="32"/>
      <c r="L1005" s="233"/>
      <c r="M1005" s="277" t="s">
        <v>432</v>
      </c>
      <c r="N1005" s="277"/>
      <c r="O1005" s="277"/>
      <c r="P1005" s="277"/>
      <c r="Q1005" s="277"/>
      <c r="R1005" s="277"/>
      <c r="S1005" s="277"/>
      <c r="T1005" s="277"/>
      <c r="U1005" s="278"/>
      <c r="V1005" s="103"/>
      <c r="W1005" s="72"/>
      <c r="X1005" s="72"/>
      <c r="Y1005" s="72"/>
      <c r="Z1005" s="45">
        <v>13</v>
      </c>
      <c r="AA1005" s="77">
        <f t="shared" ref="AA1005:AA1010" si="429">AB1004+1</f>
        <v>145</v>
      </c>
      <c r="AB1005" s="77">
        <f t="shared" ref="AB1005:AB1010" si="430">AB1004+12</f>
        <v>156</v>
      </c>
      <c r="AC1005" s="72">
        <f t="shared" si="417"/>
        <v>1</v>
      </c>
      <c r="AD1005" s="72">
        <f t="shared" si="418"/>
        <v>1</v>
      </c>
      <c r="AE1005" s="109" t="str">
        <f t="shared" si="419"/>
        <v>361-432</v>
      </c>
      <c r="AF1005" s="109" t="str">
        <f t="shared" si="420"/>
        <v>N</v>
      </c>
      <c r="AG1005" s="109" t="str">
        <f t="shared" si="421"/>
        <v>A</v>
      </c>
      <c r="AH1005" s="109">
        <v>12</v>
      </c>
      <c r="AI1005" s="109" t="str">
        <f>IF(E991="SS",COUNTIFS(C1001:C1025,"TCF",E1001:E1025,"12"),"")</f>
        <v/>
      </c>
      <c r="AJ1005" s="109">
        <f>IF(E991="RPX",COUNTIFS(C1001:C1025,"TCF",E1001:E1025,"12"),"")</f>
        <v>0</v>
      </c>
      <c r="AK1005" s="109" t="str">
        <f>IF(E991="RPX-T",COUNTIFS(C1001:C1025,"TCF",E1001:E1025,"12"),"")</f>
        <v/>
      </c>
      <c r="AL1005" s="109" t="str">
        <f>IF(E991="EUC",COUNTIFS(C1001:C1025,"TCF",E1001:E1025,"12"),"")</f>
        <v/>
      </c>
      <c r="AM1005" s="109">
        <f t="shared" si="422"/>
        <v>0</v>
      </c>
      <c r="AN1005" s="109">
        <f t="shared" si="423"/>
        <v>0</v>
      </c>
      <c r="AO1005" s="109" t="str">
        <f t="shared" si="424"/>
        <v/>
      </c>
      <c r="AQ1005" s="109" t="str">
        <f t="shared" si="425"/>
        <v/>
      </c>
      <c r="BA1005" s="229">
        <f>MOD(SUM(E1001:E1006),12)</f>
        <v>0</v>
      </c>
    </row>
    <row r="1006" spans="1:53" ht="15.75" thickBot="1" x14ac:dyDescent="0.3">
      <c r="A1006" s="88"/>
      <c r="B1006" s="66" t="s">
        <v>283</v>
      </c>
      <c r="C1006" s="67"/>
      <c r="D1006" s="102"/>
      <c r="E1006" s="32"/>
      <c r="F1006" s="32"/>
      <c r="G1006" s="68" t="s">
        <v>277</v>
      </c>
      <c r="H1006" s="69">
        <f t="shared" si="426"/>
        <v>0</v>
      </c>
      <c r="I1006" s="70">
        <f t="shared" si="427"/>
        <v>0</v>
      </c>
      <c r="J1006" s="73" t="str">
        <f t="shared" si="428"/>
        <v>--</v>
      </c>
      <c r="K1006" s="32"/>
      <c r="L1006" s="233"/>
      <c r="M1006" s="277"/>
      <c r="N1006" s="277"/>
      <c r="O1006" s="277"/>
      <c r="P1006" s="277"/>
      <c r="Q1006" s="277"/>
      <c r="R1006" s="277"/>
      <c r="S1006" s="277"/>
      <c r="T1006" s="277"/>
      <c r="U1006" s="278"/>
      <c r="V1006" s="103"/>
      <c r="W1006" s="72"/>
      <c r="X1006" s="72"/>
      <c r="Y1006" s="72"/>
      <c r="Z1006" s="45">
        <v>14</v>
      </c>
      <c r="AA1006" s="77">
        <f t="shared" si="429"/>
        <v>157</v>
      </c>
      <c r="AB1006" s="77">
        <f t="shared" si="430"/>
        <v>168</v>
      </c>
      <c r="AC1006" s="72">
        <f t="shared" si="417"/>
        <v>1</v>
      </c>
      <c r="AD1006" s="72">
        <f t="shared" si="418"/>
        <v>1</v>
      </c>
      <c r="AE1006" s="109" t="str">
        <f t="shared" si="419"/>
        <v>0-0</v>
      </c>
      <c r="AF1006" s="109" t="str">
        <f t="shared" si="420"/>
        <v>Y</v>
      </c>
      <c r="AG1006" s="109" t="str">
        <f t="shared" si="421"/>
        <v>A</v>
      </c>
      <c r="AM1006" s="109">
        <f t="shared" si="422"/>
        <v>0</v>
      </c>
      <c r="AN1006" s="109">
        <f t="shared" si="423"/>
        <v>0</v>
      </c>
      <c r="AO1006" s="109" t="str">
        <f t="shared" si="424"/>
        <v/>
      </c>
      <c r="AQ1006" s="109" t="str">
        <f t="shared" si="425"/>
        <v/>
      </c>
      <c r="BA1006" s="229">
        <f>MOD(SUM(E1001:E1007),12)</f>
        <v>0</v>
      </c>
    </row>
    <row r="1007" spans="1:53" ht="15.75" thickBot="1" x14ac:dyDescent="0.3">
      <c r="A1007" s="88"/>
      <c r="B1007" s="66" t="s">
        <v>284</v>
      </c>
      <c r="C1007" s="67"/>
      <c r="D1007" s="102"/>
      <c r="E1007" s="32"/>
      <c r="F1007" s="32"/>
      <c r="G1007" s="68" t="s">
        <v>277</v>
      </c>
      <c r="H1007" s="69">
        <f t="shared" si="426"/>
        <v>0</v>
      </c>
      <c r="I1007" s="70">
        <f t="shared" si="427"/>
        <v>0</v>
      </c>
      <c r="J1007" s="73" t="str">
        <f t="shared" si="428"/>
        <v>--</v>
      </c>
      <c r="K1007" s="32"/>
      <c r="L1007" s="233"/>
      <c r="M1007" s="277"/>
      <c r="N1007" s="277"/>
      <c r="O1007" s="277"/>
      <c r="P1007" s="277"/>
      <c r="Q1007" s="277"/>
      <c r="R1007" s="277"/>
      <c r="S1007" s="277"/>
      <c r="T1007" s="277"/>
      <c r="U1007" s="278"/>
      <c r="V1007" s="103"/>
      <c r="W1007" s="72"/>
      <c r="X1007" s="72"/>
      <c r="Y1007" s="72"/>
      <c r="Z1007" s="45">
        <v>15</v>
      </c>
      <c r="AA1007" s="77">
        <f t="shared" si="429"/>
        <v>169</v>
      </c>
      <c r="AB1007" s="77">
        <f t="shared" si="430"/>
        <v>180</v>
      </c>
      <c r="AC1007" s="72">
        <f t="shared" si="417"/>
        <v>1</v>
      </c>
      <c r="AD1007" s="72">
        <f t="shared" si="418"/>
        <v>1</v>
      </c>
      <c r="AE1007" s="109" t="str">
        <f t="shared" si="419"/>
        <v>0-0</v>
      </c>
      <c r="AF1007" s="109" t="str">
        <f t="shared" si="420"/>
        <v>Y</v>
      </c>
      <c r="AG1007" s="109" t="str">
        <f t="shared" si="421"/>
        <v>A</v>
      </c>
      <c r="AM1007" s="109">
        <f t="shared" si="422"/>
        <v>0</v>
      </c>
      <c r="AN1007" s="109">
        <f t="shared" si="423"/>
        <v>0</v>
      </c>
      <c r="AO1007" s="109" t="str">
        <f t="shared" si="424"/>
        <v/>
      </c>
      <c r="AQ1007" s="109" t="str">
        <f t="shared" si="425"/>
        <v/>
      </c>
      <c r="BA1007" s="229">
        <f>MOD(SUM(E1001:E1008),12)</f>
        <v>0</v>
      </c>
    </row>
    <row r="1008" spans="1:53" ht="15.75" thickBot="1" x14ac:dyDescent="0.3">
      <c r="A1008" s="88"/>
      <c r="B1008" s="66" t="s">
        <v>285</v>
      </c>
      <c r="C1008" s="67"/>
      <c r="D1008" s="102"/>
      <c r="E1008" s="32"/>
      <c r="F1008" s="32"/>
      <c r="G1008" s="68" t="s">
        <v>277</v>
      </c>
      <c r="H1008" s="69">
        <f t="shared" si="426"/>
        <v>0</v>
      </c>
      <c r="I1008" s="70">
        <f t="shared" si="427"/>
        <v>0</v>
      </c>
      <c r="J1008" s="73" t="str">
        <f t="shared" si="428"/>
        <v>--</v>
      </c>
      <c r="K1008" s="32"/>
      <c r="L1008" s="233"/>
      <c r="M1008" s="277"/>
      <c r="N1008" s="277"/>
      <c r="O1008" s="277"/>
      <c r="P1008" s="277"/>
      <c r="Q1008" s="277"/>
      <c r="R1008" s="277"/>
      <c r="S1008" s="277"/>
      <c r="T1008" s="277"/>
      <c r="U1008" s="278"/>
      <c r="V1008" s="103"/>
      <c r="W1008" s="72"/>
      <c r="X1008" s="72"/>
      <c r="Y1008" s="72"/>
      <c r="Z1008" s="45">
        <f>Z1007+1</f>
        <v>16</v>
      </c>
      <c r="AA1008" s="77">
        <f t="shared" si="429"/>
        <v>181</v>
      </c>
      <c r="AB1008" s="77">
        <f t="shared" si="430"/>
        <v>192</v>
      </c>
      <c r="AC1008" s="72">
        <f t="shared" si="417"/>
        <v>1</v>
      </c>
      <c r="AD1008" s="72">
        <f t="shared" si="418"/>
        <v>1</v>
      </c>
      <c r="AE1008" s="109" t="str">
        <f t="shared" si="419"/>
        <v>0-0</v>
      </c>
      <c r="AF1008" s="109" t="str">
        <f t="shared" si="420"/>
        <v>Y</v>
      </c>
      <c r="AG1008" s="109" t="str">
        <f t="shared" si="421"/>
        <v>A</v>
      </c>
      <c r="AM1008" s="109">
        <f t="shared" si="422"/>
        <v>0</v>
      </c>
      <c r="AN1008" s="109">
        <f t="shared" si="423"/>
        <v>0</v>
      </c>
      <c r="AO1008" s="109" t="str">
        <f t="shared" si="424"/>
        <v/>
      </c>
      <c r="AQ1008" s="109" t="str">
        <f t="shared" si="425"/>
        <v/>
      </c>
      <c r="BA1008" s="229">
        <f>MOD(SUM(E1001:E1009),12)</f>
        <v>0</v>
      </c>
    </row>
    <row r="1009" spans="1:53" ht="15.75" thickBot="1" x14ac:dyDescent="0.3">
      <c r="A1009" s="88"/>
      <c r="B1009" s="66" t="s">
        <v>286</v>
      </c>
      <c r="C1009" s="67"/>
      <c r="D1009" s="102"/>
      <c r="E1009" s="32"/>
      <c r="F1009" s="32"/>
      <c r="G1009" s="68" t="s">
        <v>277</v>
      </c>
      <c r="H1009" s="69">
        <f t="shared" si="426"/>
        <v>0</v>
      </c>
      <c r="I1009" s="70">
        <f t="shared" si="427"/>
        <v>0</v>
      </c>
      <c r="J1009" s="73" t="str">
        <f t="shared" si="428"/>
        <v>--</v>
      </c>
      <c r="K1009" s="32"/>
      <c r="L1009" s="233"/>
      <c r="M1009" s="277"/>
      <c r="N1009" s="277"/>
      <c r="O1009" s="277"/>
      <c r="P1009" s="277"/>
      <c r="Q1009" s="277"/>
      <c r="R1009" s="277"/>
      <c r="S1009" s="277"/>
      <c r="T1009" s="277"/>
      <c r="U1009" s="278"/>
      <c r="V1009" s="103"/>
      <c r="W1009" s="72"/>
      <c r="X1009" s="72"/>
      <c r="Y1009" s="72"/>
      <c r="Z1009" s="45">
        <f>Z1008+1</f>
        <v>17</v>
      </c>
      <c r="AA1009" s="77">
        <f t="shared" si="429"/>
        <v>193</v>
      </c>
      <c r="AB1009" s="77">
        <f t="shared" si="430"/>
        <v>204</v>
      </c>
      <c r="AC1009" s="72">
        <f t="shared" si="417"/>
        <v>1</v>
      </c>
      <c r="AD1009" s="72">
        <f t="shared" si="418"/>
        <v>1</v>
      </c>
      <c r="AE1009" s="109" t="str">
        <f t="shared" si="419"/>
        <v>0-0</v>
      </c>
      <c r="AF1009" s="109" t="str">
        <f t="shared" si="420"/>
        <v>Y</v>
      </c>
      <c r="AG1009" s="109" t="str">
        <f t="shared" si="421"/>
        <v>A</v>
      </c>
      <c r="AM1009" s="109">
        <f t="shared" si="422"/>
        <v>0</v>
      </c>
      <c r="AN1009" s="109">
        <f t="shared" si="423"/>
        <v>0</v>
      </c>
      <c r="AO1009" s="109" t="str">
        <f t="shared" si="424"/>
        <v/>
      </c>
      <c r="AQ1009" s="109" t="str">
        <f t="shared" si="425"/>
        <v/>
      </c>
      <c r="BA1009" s="229">
        <f>MOD(SUM(E1001:E1010),12)</f>
        <v>0</v>
      </c>
    </row>
    <row r="1010" spans="1:53" ht="15.75" thickBot="1" x14ac:dyDescent="0.3">
      <c r="A1010" s="88"/>
      <c r="B1010" s="66" t="s">
        <v>287</v>
      </c>
      <c r="C1010" s="67"/>
      <c r="D1010" s="102"/>
      <c r="E1010" s="32"/>
      <c r="F1010" s="32"/>
      <c r="G1010" s="68" t="s">
        <v>277</v>
      </c>
      <c r="H1010" s="69">
        <f t="shared" si="426"/>
        <v>0</v>
      </c>
      <c r="I1010" s="70">
        <f t="shared" si="427"/>
        <v>0</v>
      </c>
      <c r="J1010" s="73" t="str">
        <f t="shared" si="428"/>
        <v>--</v>
      </c>
      <c r="K1010" s="32"/>
      <c r="L1010" s="233"/>
      <c r="M1010" s="277"/>
      <c r="N1010" s="277"/>
      <c r="O1010" s="277"/>
      <c r="P1010" s="277"/>
      <c r="Q1010" s="277"/>
      <c r="R1010" s="277"/>
      <c r="S1010" s="277"/>
      <c r="T1010" s="277"/>
      <c r="U1010" s="278"/>
      <c r="V1010" s="103"/>
      <c r="W1010" s="72"/>
      <c r="X1010" s="72"/>
      <c r="Y1010" s="72"/>
      <c r="Z1010" s="45">
        <f>Z1009+1</f>
        <v>18</v>
      </c>
      <c r="AA1010" s="77">
        <f t="shared" si="429"/>
        <v>205</v>
      </c>
      <c r="AB1010" s="77">
        <f t="shared" si="430"/>
        <v>216</v>
      </c>
      <c r="AC1010" s="72">
        <f t="shared" si="417"/>
        <v>1</v>
      </c>
      <c r="AD1010" s="72">
        <f t="shared" si="418"/>
        <v>1</v>
      </c>
      <c r="AE1010" s="109" t="str">
        <f t="shared" si="419"/>
        <v>0-0</v>
      </c>
      <c r="AF1010" s="109" t="str">
        <f t="shared" si="420"/>
        <v>Y</v>
      </c>
      <c r="AG1010" s="109" t="str">
        <f t="shared" si="421"/>
        <v>A</v>
      </c>
      <c r="AM1010" s="109">
        <f t="shared" si="422"/>
        <v>0</v>
      </c>
      <c r="AN1010" s="109">
        <f t="shared" si="423"/>
        <v>0</v>
      </c>
      <c r="AO1010" s="109" t="str">
        <f t="shared" si="424"/>
        <v/>
      </c>
      <c r="AQ1010" s="109" t="str">
        <f t="shared" si="425"/>
        <v/>
      </c>
      <c r="BA1010" s="229">
        <f>MOD(SUM(E1001:E1011),12)</f>
        <v>0</v>
      </c>
    </row>
    <row r="1011" spans="1:53" ht="15.75" thickBot="1" x14ac:dyDescent="0.3">
      <c r="A1011" s="88"/>
      <c r="B1011" s="66" t="s">
        <v>288</v>
      </c>
      <c r="C1011" s="67"/>
      <c r="D1011" s="102"/>
      <c r="E1011" s="32"/>
      <c r="F1011" s="32"/>
      <c r="G1011" s="68" t="s">
        <v>277</v>
      </c>
      <c r="H1011" s="69">
        <f t="shared" si="426"/>
        <v>0</v>
      </c>
      <c r="I1011" s="70">
        <f t="shared" si="427"/>
        <v>0</v>
      </c>
      <c r="J1011" s="73" t="str">
        <f t="shared" si="428"/>
        <v>--</v>
      </c>
      <c r="K1011" s="32"/>
      <c r="L1011" s="233"/>
      <c r="M1011" s="277"/>
      <c r="N1011" s="277"/>
      <c r="O1011" s="277"/>
      <c r="P1011" s="277"/>
      <c r="Q1011" s="277"/>
      <c r="R1011" s="277"/>
      <c r="S1011" s="277"/>
      <c r="T1011" s="277"/>
      <c r="U1011" s="278"/>
      <c r="V1011" s="103"/>
      <c r="W1011" s="84"/>
      <c r="X1011" s="84"/>
      <c r="Y1011" s="72"/>
      <c r="Z1011" s="72"/>
      <c r="AA1011" s="72"/>
      <c r="AB1011" s="72"/>
      <c r="AC1011" s="72">
        <f t="shared" si="417"/>
        <v>1</v>
      </c>
      <c r="AD1011" s="72">
        <f t="shared" si="418"/>
        <v>1</v>
      </c>
      <c r="AE1011" s="109" t="str">
        <f t="shared" si="419"/>
        <v>0-0</v>
      </c>
      <c r="AF1011" s="109" t="str">
        <f t="shared" si="420"/>
        <v>Y</v>
      </c>
      <c r="AG1011" s="109" t="str">
        <f t="shared" si="421"/>
        <v>A</v>
      </c>
      <c r="AM1011" s="109">
        <f t="shared" si="422"/>
        <v>0</v>
      </c>
      <c r="AN1011" s="109">
        <f t="shared" si="423"/>
        <v>0</v>
      </c>
      <c r="AO1011" s="109" t="str">
        <f t="shared" si="424"/>
        <v/>
      </c>
      <c r="AQ1011" s="109" t="str">
        <f t="shared" si="425"/>
        <v/>
      </c>
      <c r="BA1011" s="229">
        <f>MOD(SUM(E1001:E1012),12)</f>
        <v>0</v>
      </c>
    </row>
    <row r="1012" spans="1:53" ht="15.75" thickBot="1" x14ac:dyDescent="0.3">
      <c r="A1012" s="88"/>
      <c r="B1012" s="66" t="s">
        <v>289</v>
      </c>
      <c r="C1012" s="67"/>
      <c r="D1012" s="102"/>
      <c r="E1012" s="32"/>
      <c r="F1012" s="32"/>
      <c r="G1012" s="68" t="s">
        <v>277</v>
      </c>
      <c r="H1012" s="69">
        <f t="shared" si="426"/>
        <v>0</v>
      </c>
      <c r="I1012" s="70">
        <f t="shared" si="427"/>
        <v>0</v>
      </c>
      <c r="J1012" s="73" t="str">
        <f t="shared" si="428"/>
        <v>--</v>
      </c>
      <c r="K1012" s="32"/>
      <c r="L1012" s="233"/>
      <c r="M1012" s="277"/>
      <c r="N1012" s="277"/>
      <c r="O1012" s="277"/>
      <c r="P1012" s="277"/>
      <c r="Q1012" s="277"/>
      <c r="R1012" s="277"/>
      <c r="S1012" s="277"/>
      <c r="T1012" s="277"/>
      <c r="U1012" s="278"/>
      <c r="V1012" s="103"/>
      <c r="W1012" s="84">
        <f>Y1012+1</f>
        <v>97</v>
      </c>
      <c r="X1012" s="84"/>
      <c r="Y1012" s="78">
        <f>SUM(E1001:E1012)</f>
        <v>96</v>
      </c>
      <c r="Z1012" s="72"/>
      <c r="AA1012" s="72"/>
      <c r="AB1012" s="72"/>
      <c r="AC1012" s="72">
        <f t="shared" si="417"/>
        <v>1</v>
      </c>
      <c r="AD1012" s="72">
        <f t="shared" si="418"/>
        <v>1</v>
      </c>
      <c r="AE1012" s="109" t="str">
        <f t="shared" si="419"/>
        <v>0-0</v>
      </c>
      <c r="AF1012" s="109" t="str">
        <f t="shared" si="420"/>
        <v>Y</v>
      </c>
      <c r="AG1012" s="109" t="str">
        <f t="shared" si="421"/>
        <v>A</v>
      </c>
      <c r="AM1012" s="109">
        <f t="shared" si="422"/>
        <v>0</v>
      </c>
      <c r="AN1012" s="109">
        <f t="shared" si="423"/>
        <v>0</v>
      </c>
      <c r="AO1012" s="109" t="str">
        <f t="shared" si="424"/>
        <v/>
      </c>
      <c r="AQ1012" s="109" t="str">
        <f t="shared" si="425"/>
        <v/>
      </c>
      <c r="BA1012" s="229">
        <f>MOD(SUM(E1001:E1013),12)</f>
        <v>0</v>
      </c>
    </row>
    <row r="1013" spans="1:53" ht="15.75" thickBot="1" x14ac:dyDescent="0.3">
      <c r="A1013" s="88"/>
      <c r="B1013" s="66" t="s">
        <v>290</v>
      </c>
      <c r="C1013" s="67"/>
      <c r="D1013" s="102"/>
      <c r="E1013" s="32"/>
      <c r="F1013" s="32"/>
      <c r="G1013" s="68" t="s">
        <v>277</v>
      </c>
      <c r="H1013" s="69">
        <f t="shared" si="426"/>
        <v>0</v>
      </c>
      <c r="I1013" s="70">
        <f t="shared" si="427"/>
        <v>0</v>
      </c>
      <c r="J1013" s="73" t="str">
        <f t="shared" si="428"/>
        <v>--</v>
      </c>
      <c r="K1013" s="32"/>
      <c r="L1013" s="233"/>
      <c r="M1013" s="277"/>
      <c r="N1013" s="277"/>
      <c r="O1013" s="277"/>
      <c r="P1013" s="277"/>
      <c r="Q1013" s="277"/>
      <c r="R1013" s="277"/>
      <c r="S1013" s="277"/>
      <c r="T1013" s="277"/>
      <c r="U1013" s="278"/>
      <c r="V1013" s="103"/>
      <c r="W1013" s="84">
        <f>Y1013+1</f>
        <v>97</v>
      </c>
      <c r="X1013" s="84"/>
      <c r="Y1013" s="78">
        <f>SUM(E1001:E1013)</f>
        <v>96</v>
      </c>
      <c r="Z1013" s="72" t="str">
        <f t="shared" ref="Z1013:Z1025" si="431">IF(OR(AND(E$8=216,C1012="DBL REV",C1013="DBL REV",Y1012&lt;=144,Y1013&gt;144),AND(E$8=216,C1012="TPL REV",C1013="TPL REV",Y1012&lt;=144,Y1013&gt;144),AND(E$8=216,C1012="QD REV",C1013="QD REV",Y1012&lt;=144,Y1013&gt;144)),"ERROR","")</f>
        <v/>
      </c>
      <c r="AA1013" s="72"/>
      <c r="AB1013" s="72"/>
      <c r="AC1013" s="72">
        <f t="shared" si="417"/>
        <v>1</v>
      </c>
      <c r="AD1013" s="72">
        <f t="shared" si="418"/>
        <v>1</v>
      </c>
      <c r="AE1013" s="109" t="str">
        <f t="shared" si="419"/>
        <v>0-0</v>
      </c>
      <c r="AF1013" s="109" t="str">
        <f t="shared" si="420"/>
        <v>Y</v>
      </c>
      <c r="AG1013" s="109" t="str">
        <f t="shared" si="421"/>
        <v>A</v>
      </c>
      <c r="AM1013" s="109">
        <f t="shared" si="422"/>
        <v>0</v>
      </c>
      <c r="AN1013" s="109">
        <f t="shared" si="423"/>
        <v>0</v>
      </c>
      <c r="AO1013" s="109" t="str">
        <f t="shared" si="424"/>
        <v/>
      </c>
      <c r="AQ1013" s="109" t="str">
        <f t="shared" si="425"/>
        <v/>
      </c>
      <c r="BA1013" s="229">
        <f>MOD(SUM(E1001:E1014),12)</f>
        <v>0</v>
      </c>
    </row>
    <row r="1014" spans="1:53" ht="15.75" thickBot="1" x14ac:dyDescent="0.3">
      <c r="A1014" s="88"/>
      <c r="B1014" s="66" t="s">
        <v>291</v>
      </c>
      <c r="C1014" s="67"/>
      <c r="D1014" s="102"/>
      <c r="E1014" s="32"/>
      <c r="F1014" s="32"/>
      <c r="G1014" s="68" t="s">
        <v>277</v>
      </c>
      <c r="H1014" s="69">
        <f t="shared" si="426"/>
        <v>0</v>
      </c>
      <c r="I1014" s="70">
        <f t="shared" si="427"/>
        <v>0</v>
      </c>
      <c r="J1014" s="73" t="str">
        <f t="shared" si="428"/>
        <v>--</v>
      </c>
      <c r="K1014" s="32"/>
      <c r="L1014" s="233"/>
      <c r="M1014" s="277"/>
      <c r="N1014" s="277"/>
      <c r="O1014" s="277"/>
      <c r="P1014" s="277"/>
      <c r="Q1014" s="277"/>
      <c r="R1014" s="277"/>
      <c r="S1014" s="277"/>
      <c r="T1014" s="277"/>
      <c r="U1014" s="278"/>
      <c r="V1014" s="103"/>
      <c r="W1014" s="84">
        <f>Y1014+1</f>
        <v>97</v>
      </c>
      <c r="X1014" s="84"/>
      <c r="Y1014" s="78">
        <f>SUM(E1001:E1014)</f>
        <v>96</v>
      </c>
      <c r="Z1014" s="72" t="str">
        <f t="shared" si="431"/>
        <v/>
      </c>
      <c r="AA1014" s="72"/>
      <c r="AB1014" s="72"/>
      <c r="AC1014" s="72">
        <f t="shared" si="417"/>
        <v>1</v>
      </c>
      <c r="AD1014" s="72">
        <f t="shared" si="418"/>
        <v>1</v>
      </c>
      <c r="AE1014" s="109" t="str">
        <f t="shared" si="419"/>
        <v>0-0</v>
      </c>
      <c r="AF1014" s="109" t="str">
        <f t="shared" si="420"/>
        <v>Y</v>
      </c>
      <c r="AG1014" s="109" t="str">
        <f t="shared" si="421"/>
        <v>A</v>
      </c>
      <c r="AM1014" s="109">
        <f t="shared" si="422"/>
        <v>0</v>
      </c>
      <c r="AN1014" s="109">
        <f t="shared" si="423"/>
        <v>0</v>
      </c>
      <c r="AO1014" s="109" t="str">
        <f t="shared" si="424"/>
        <v/>
      </c>
      <c r="AQ1014" s="109" t="str">
        <f t="shared" si="425"/>
        <v/>
      </c>
      <c r="BA1014" s="229">
        <f>MOD(SUM(E1001:E1015),12)</f>
        <v>0</v>
      </c>
    </row>
    <row r="1015" spans="1:53" ht="15.75" thickBot="1" x14ac:dyDescent="0.3">
      <c r="A1015" s="88"/>
      <c r="B1015" s="66" t="s">
        <v>292</v>
      </c>
      <c r="C1015" s="67"/>
      <c r="D1015" s="102"/>
      <c r="E1015" s="32"/>
      <c r="F1015" s="32"/>
      <c r="G1015" s="68" t="s">
        <v>277</v>
      </c>
      <c r="H1015" s="69">
        <f t="shared" si="426"/>
        <v>0</v>
      </c>
      <c r="I1015" s="70">
        <f t="shared" si="427"/>
        <v>0</v>
      </c>
      <c r="J1015" s="73" t="str">
        <f t="shared" si="428"/>
        <v>--</v>
      </c>
      <c r="K1015" s="32"/>
      <c r="L1015" s="233"/>
      <c r="M1015" s="277"/>
      <c r="N1015" s="277"/>
      <c r="O1015" s="277"/>
      <c r="P1015" s="277"/>
      <c r="Q1015" s="277"/>
      <c r="R1015" s="277"/>
      <c r="S1015" s="277"/>
      <c r="T1015" s="277"/>
      <c r="U1015" s="278"/>
      <c r="V1015" s="103"/>
      <c r="W1015" s="84">
        <f>Y1015+1</f>
        <v>97</v>
      </c>
      <c r="X1015" s="84"/>
      <c r="Y1015" s="78">
        <f>SUM(E1001:E1015)</f>
        <v>96</v>
      </c>
      <c r="Z1015" s="72" t="str">
        <f t="shared" si="431"/>
        <v/>
      </c>
      <c r="AA1015" s="72" t="str">
        <f t="shared" ref="AA1015:AA1027" si="432">IF(AND(C1013&lt;&gt;"Field SPL",W1012&lt;=144,Y1013&gt;144),"ERROR","")</f>
        <v/>
      </c>
      <c r="AB1015" s="72"/>
      <c r="AC1015" s="72">
        <f t="shared" si="417"/>
        <v>1</v>
      </c>
      <c r="AD1015" s="72">
        <f t="shared" si="418"/>
        <v>1</v>
      </c>
      <c r="AE1015" s="109" t="str">
        <f t="shared" si="419"/>
        <v>0-0</v>
      </c>
      <c r="AF1015" s="109" t="str">
        <f t="shared" si="420"/>
        <v>Y</v>
      </c>
      <c r="AG1015" s="109" t="str">
        <f t="shared" si="421"/>
        <v>A</v>
      </c>
      <c r="AM1015" s="109">
        <f t="shared" si="422"/>
        <v>0</v>
      </c>
      <c r="AN1015" s="109">
        <f t="shared" si="423"/>
        <v>0</v>
      </c>
      <c r="AO1015" s="109" t="str">
        <f t="shared" si="424"/>
        <v/>
      </c>
      <c r="AQ1015" s="109" t="str">
        <f t="shared" si="425"/>
        <v/>
      </c>
      <c r="BA1015" s="229">
        <f>MOD(SUM(E1001:E1016),12)</f>
        <v>0</v>
      </c>
    </row>
    <row r="1016" spans="1:53" ht="15.75" thickBot="1" x14ac:dyDescent="0.3">
      <c r="A1016" s="88"/>
      <c r="B1016" s="66" t="s">
        <v>293</v>
      </c>
      <c r="C1016" s="67"/>
      <c r="D1016" s="102"/>
      <c r="E1016" s="32"/>
      <c r="F1016" s="32"/>
      <c r="G1016" s="68" t="s">
        <v>277</v>
      </c>
      <c r="H1016" s="69">
        <f t="shared" si="426"/>
        <v>0</v>
      </c>
      <c r="I1016" s="70">
        <f t="shared" si="427"/>
        <v>0</v>
      </c>
      <c r="J1016" s="73" t="str">
        <f t="shared" si="428"/>
        <v>--</v>
      </c>
      <c r="K1016" s="32"/>
      <c r="L1016" s="233"/>
      <c r="M1016" s="277"/>
      <c r="N1016" s="277"/>
      <c r="O1016" s="277"/>
      <c r="P1016" s="277"/>
      <c r="Q1016" s="277"/>
      <c r="R1016" s="277"/>
      <c r="S1016" s="277"/>
      <c r="T1016" s="277"/>
      <c r="U1016" s="278"/>
      <c r="V1016" s="103"/>
      <c r="W1016" s="84">
        <f t="shared" ref="W1016:W1024" si="433">Y1016+1</f>
        <v>97</v>
      </c>
      <c r="X1016" s="84"/>
      <c r="Y1016" s="78">
        <f>SUM(E1001:E1016)</f>
        <v>96</v>
      </c>
      <c r="Z1016" s="72" t="str">
        <f t="shared" si="431"/>
        <v/>
      </c>
      <c r="AA1016" s="72" t="str">
        <f t="shared" si="432"/>
        <v/>
      </c>
      <c r="AB1016" s="72"/>
      <c r="AC1016" s="72">
        <f t="shared" si="417"/>
        <v>1</v>
      </c>
      <c r="AD1016" s="72">
        <f t="shared" si="418"/>
        <v>1</v>
      </c>
      <c r="AE1016" s="109" t="str">
        <f t="shared" si="419"/>
        <v>0-0</v>
      </c>
      <c r="AF1016" s="109" t="str">
        <f t="shared" si="420"/>
        <v>Y</v>
      </c>
      <c r="AG1016" s="109" t="str">
        <f t="shared" si="421"/>
        <v>A</v>
      </c>
      <c r="AM1016" s="109">
        <f t="shared" si="422"/>
        <v>0</v>
      </c>
      <c r="AN1016" s="109">
        <f t="shared" si="423"/>
        <v>0</v>
      </c>
      <c r="AO1016" s="109" t="str">
        <f t="shared" si="424"/>
        <v/>
      </c>
      <c r="AQ1016" s="109" t="str">
        <f t="shared" si="425"/>
        <v/>
      </c>
      <c r="BA1016" s="229">
        <f>MOD(SUM(E1001:E1017),12)</f>
        <v>0</v>
      </c>
    </row>
    <row r="1017" spans="1:53" ht="15.75" thickBot="1" x14ac:dyDescent="0.3">
      <c r="A1017" s="88"/>
      <c r="B1017" s="66" t="s">
        <v>294</v>
      </c>
      <c r="C1017" s="67"/>
      <c r="D1017" s="102"/>
      <c r="E1017" s="32"/>
      <c r="F1017" s="32"/>
      <c r="G1017" s="68" t="s">
        <v>277</v>
      </c>
      <c r="H1017" s="69">
        <f t="shared" si="426"/>
        <v>0</v>
      </c>
      <c r="I1017" s="70">
        <f t="shared" si="427"/>
        <v>0</v>
      </c>
      <c r="J1017" s="73" t="str">
        <f t="shared" si="428"/>
        <v>--</v>
      </c>
      <c r="K1017" s="32"/>
      <c r="L1017" s="233"/>
      <c r="M1017" s="277"/>
      <c r="N1017" s="277"/>
      <c r="O1017" s="277"/>
      <c r="P1017" s="277"/>
      <c r="Q1017" s="277"/>
      <c r="R1017" s="277"/>
      <c r="S1017" s="277"/>
      <c r="T1017" s="277"/>
      <c r="U1017" s="278"/>
      <c r="V1017" s="103"/>
      <c r="W1017" s="84">
        <f t="shared" si="433"/>
        <v>97</v>
      </c>
      <c r="X1017" s="84"/>
      <c r="Y1017" s="78">
        <f>SUM(E1001:E1017)</f>
        <v>96</v>
      </c>
      <c r="Z1017" s="72" t="str">
        <f t="shared" si="431"/>
        <v/>
      </c>
      <c r="AA1017" s="72" t="str">
        <f t="shared" si="432"/>
        <v/>
      </c>
      <c r="AB1017" s="72"/>
      <c r="AC1017" s="72">
        <f t="shared" si="417"/>
        <v>1</v>
      </c>
      <c r="AD1017" s="72">
        <f t="shared" si="418"/>
        <v>1</v>
      </c>
      <c r="AE1017" s="109" t="str">
        <f t="shared" si="419"/>
        <v>0-0</v>
      </c>
      <c r="AF1017" s="109" t="str">
        <f t="shared" si="420"/>
        <v>Y</v>
      </c>
      <c r="AG1017" s="109" t="str">
        <f t="shared" si="421"/>
        <v>A</v>
      </c>
      <c r="AM1017" s="109">
        <f t="shared" si="422"/>
        <v>0</v>
      </c>
      <c r="AN1017" s="109">
        <f t="shared" si="423"/>
        <v>0</v>
      </c>
      <c r="AO1017" s="109" t="str">
        <f t="shared" si="424"/>
        <v/>
      </c>
      <c r="AQ1017" s="109" t="str">
        <f t="shared" si="425"/>
        <v/>
      </c>
      <c r="BA1017" s="229">
        <f>MOD(SUM(E1001:E1018),12)</f>
        <v>0</v>
      </c>
    </row>
    <row r="1018" spans="1:53" ht="15.75" thickBot="1" x14ac:dyDescent="0.3">
      <c r="A1018" s="88"/>
      <c r="B1018" s="66" t="s">
        <v>295</v>
      </c>
      <c r="C1018" s="67"/>
      <c r="D1018" s="102"/>
      <c r="E1018" s="32"/>
      <c r="F1018" s="32"/>
      <c r="G1018" s="68" t="s">
        <v>277</v>
      </c>
      <c r="H1018" s="69">
        <f t="shared" si="426"/>
        <v>0</v>
      </c>
      <c r="I1018" s="70">
        <f t="shared" si="427"/>
        <v>0</v>
      </c>
      <c r="J1018" s="73" t="str">
        <f t="shared" si="428"/>
        <v>--</v>
      </c>
      <c r="K1018" s="32"/>
      <c r="L1018" s="233"/>
      <c r="M1018" s="277"/>
      <c r="N1018" s="277"/>
      <c r="O1018" s="277"/>
      <c r="P1018" s="277"/>
      <c r="Q1018" s="277"/>
      <c r="R1018" s="277"/>
      <c r="S1018" s="277"/>
      <c r="T1018" s="277"/>
      <c r="U1018" s="278"/>
      <c r="V1018" s="103"/>
      <c r="W1018" s="84">
        <f t="shared" si="433"/>
        <v>97</v>
      </c>
      <c r="X1018" s="84"/>
      <c r="Y1018" s="78">
        <f>SUM(E1001:E1018)</f>
        <v>96</v>
      </c>
      <c r="Z1018" s="72" t="str">
        <f t="shared" si="431"/>
        <v/>
      </c>
      <c r="AA1018" s="72" t="str">
        <f t="shared" si="432"/>
        <v/>
      </c>
      <c r="AB1018" s="72"/>
      <c r="AC1018" s="72">
        <f t="shared" si="417"/>
        <v>1</v>
      </c>
      <c r="AD1018" s="72">
        <f t="shared" si="418"/>
        <v>1</v>
      </c>
      <c r="AE1018" s="109" t="str">
        <f t="shared" si="419"/>
        <v>0-0</v>
      </c>
      <c r="AF1018" s="109" t="str">
        <f t="shared" si="420"/>
        <v>Y</v>
      </c>
      <c r="AG1018" s="109" t="str">
        <f t="shared" si="421"/>
        <v>A</v>
      </c>
      <c r="AM1018" s="109">
        <f t="shared" si="422"/>
        <v>0</v>
      </c>
      <c r="AN1018" s="109">
        <f t="shared" si="423"/>
        <v>0</v>
      </c>
      <c r="AO1018" s="109" t="str">
        <f t="shared" si="424"/>
        <v/>
      </c>
      <c r="AQ1018" s="109" t="str">
        <f t="shared" si="425"/>
        <v/>
      </c>
      <c r="BA1018" s="229">
        <f>MOD(SUM(E1001:E1019),12)</f>
        <v>0</v>
      </c>
    </row>
    <row r="1019" spans="1:53" ht="15.75" thickBot="1" x14ac:dyDescent="0.3">
      <c r="A1019" s="88"/>
      <c r="B1019" s="66" t="s">
        <v>296</v>
      </c>
      <c r="C1019" s="67"/>
      <c r="D1019" s="102"/>
      <c r="E1019" s="32"/>
      <c r="F1019" s="32"/>
      <c r="G1019" s="68" t="s">
        <v>277</v>
      </c>
      <c r="H1019" s="69">
        <f t="shared" si="426"/>
        <v>0</v>
      </c>
      <c r="I1019" s="70">
        <f t="shared" si="427"/>
        <v>0</v>
      </c>
      <c r="J1019" s="73" t="str">
        <f t="shared" si="428"/>
        <v>--</v>
      </c>
      <c r="K1019" s="32"/>
      <c r="L1019" s="233"/>
      <c r="M1019" s="277"/>
      <c r="N1019" s="277"/>
      <c r="O1019" s="277"/>
      <c r="P1019" s="277"/>
      <c r="Q1019" s="277"/>
      <c r="R1019" s="277"/>
      <c r="S1019" s="277"/>
      <c r="T1019" s="277"/>
      <c r="U1019" s="278"/>
      <c r="V1019" s="103"/>
      <c r="W1019" s="84">
        <f t="shared" si="433"/>
        <v>97</v>
      </c>
      <c r="X1019" s="84"/>
      <c r="Y1019" s="78">
        <f>SUM(E1001:E1019)</f>
        <v>96</v>
      </c>
      <c r="Z1019" s="72" t="str">
        <f t="shared" si="431"/>
        <v/>
      </c>
      <c r="AA1019" s="72" t="str">
        <f t="shared" si="432"/>
        <v/>
      </c>
      <c r="AB1019" s="72"/>
      <c r="AC1019" s="72">
        <f t="shared" si="417"/>
        <v>1</v>
      </c>
      <c r="AD1019" s="72">
        <f t="shared" si="418"/>
        <v>1</v>
      </c>
      <c r="AE1019" s="109" t="str">
        <f t="shared" si="419"/>
        <v>0-0</v>
      </c>
      <c r="AF1019" s="109" t="str">
        <f t="shared" si="420"/>
        <v>Y</v>
      </c>
      <c r="AG1019" s="109" t="str">
        <f t="shared" si="421"/>
        <v>A</v>
      </c>
      <c r="AM1019" s="109">
        <f t="shared" si="422"/>
        <v>0</v>
      </c>
      <c r="AN1019" s="109">
        <f t="shared" si="423"/>
        <v>0</v>
      </c>
      <c r="AO1019" s="109" t="str">
        <f t="shared" si="424"/>
        <v/>
      </c>
      <c r="AQ1019" s="109" t="str">
        <f t="shared" si="425"/>
        <v/>
      </c>
      <c r="BA1019" s="229">
        <f>MOD(SUM(E1001:E1020),12)</f>
        <v>0</v>
      </c>
    </row>
    <row r="1020" spans="1:53" ht="15.75" thickBot="1" x14ac:dyDescent="0.3">
      <c r="A1020" s="88"/>
      <c r="B1020" s="66" t="s">
        <v>297</v>
      </c>
      <c r="C1020" s="67"/>
      <c r="D1020" s="102"/>
      <c r="E1020" s="32"/>
      <c r="F1020" s="32"/>
      <c r="G1020" s="68" t="s">
        <v>277</v>
      </c>
      <c r="H1020" s="69">
        <f t="shared" si="426"/>
        <v>0</v>
      </c>
      <c r="I1020" s="70">
        <f t="shared" si="427"/>
        <v>0</v>
      </c>
      <c r="J1020" s="73" t="str">
        <f t="shared" si="428"/>
        <v>--</v>
      </c>
      <c r="K1020" s="32"/>
      <c r="L1020" s="233"/>
      <c r="M1020" s="277"/>
      <c r="N1020" s="277"/>
      <c r="O1020" s="277"/>
      <c r="P1020" s="277"/>
      <c r="Q1020" s="277"/>
      <c r="R1020" s="277"/>
      <c r="S1020" s="277"/>
      <c r="T1020" s="277"/>
      <c r="U1020" s="278"/>
      <c r="V1020" s="103"/>
      <c r="W1020" s="84">
        <f t="shared" si="433"/>
        <v>97</v>
      </c>
      <c r="X1020" s="84"/>
      <c r="Y1020" s="78">
        <f>SUM(E1001:E1020)</f>
        <v>96</v>
      </c>
      <c r="Z1020" s="72" t="str">
        <f t="shared" si="431"/>
        <v/>
      </c>
      <c r="AA1020" s="72" t="str">
        <f t="shared" si="432"/>
        <v/>
      </c>
      <c r="AB1020" s="72"/>
      <c r="AC1020" s="72">
        <f t="shared" si="417"/>
        <v>1</v>
      </c>
      <c r="AD1020" s="72">
        <f t="shared" si="418"/>
        <v>1</v>
      </c>
      <c r="AE1020" s="109" t="str">
        <f t="shared" si="419"/>
        <v>0-0</v>
      </c>
      <c r="AF1020" s="109" t="str">
        <f t="shared" si="420"/>
        <v>Y</v>
      </c>
      <c r="AG1020" s="109" t="str">
        <f t="shared" si="421"/>
        <v>A</v>
      </c>
      <c r="AM1020" s="109">
        <f t="shared" si="422"/>
        <v>0</v>
      </c>
      <c r="AN1020" s="109">
        <f t="shared" si="423"/>
        <v>0</v>
      </c>
      <c r="AO1020" s="109" t="str">
        <f t="shared" si="424"/>
        <v/>
      </c>
      <c r="AQ1020" s="109" t="str">
        <f t="shared" si="425"/>
        <v/>
      </c>
      <c r="BA1020" s="229">
        <f>MOD(SUM(E1001:E1021),12)</f>
        <v>0</v>
      </c>
    </row>
    <row r="1021" spans="1:53" ht="15.75" thickBot="1" x14ac:dyDescent="0.3">
      <c r="A1021" s="88"/>
      <c r="B1021" s="66" t="s">
        <v>298</v>
      </c>
      <c r="C1021" s="67"/>
      <c r="D1021" s="102"/>
      <c r="E1021" s="32"/>
      <c r="F1021" s="32"/>
      <c r="G1021" s="68" t="s">
        <v>277</v>
      </c>
      <c r="H1021" s="69">
        <f t="shared" si="426"/>
        <v>0</v>
      </c>
      <c r="I1021" s="70">
        <f t="shared" si="427"/>
        <v>0</v>
      </c>
      <c r="J1021" s="73" t="str">
        <f t="shared" si="428"/>
        <v>--</v>
      </c>
      <c r="K1021" s="32"/>
      <c r="L1021" s="233"/>
      <c r="M1021" s="277"/>
      <c r="N1021" s="277"/>
      <c r="O1021" s="277"/>
      <c r="P1021" s="277"/>
      <c r="Q1021" s="277"/>
      <c r="R1021" s="277"/>
      <c r="S1021" s="277"/>
      <c r="T1021" s="277"/>
      <c r="U1021" s="278"/>
      <c r="V1021" s="103"/>
      <c r="W1021" s="84">
        <f t="shared" si="433"/>
        <v>97</v>
      </c>
      <c r="X1021" s="84"/>
      <c r="Y1021" s="78">
        <f>SUM(E1001:E1021)</f>
        <v>96</v>
      </c>
      <c r="Z1021" s="72" t="str">
        <f t="shared" si="431"/>
        <v/>
      </c>
      <c r="AA1021" s="72" t="str">
        <f t="shared" si="432"/>
        <v/>
      </c>
      <c r="AB1021" s="72"/>
      <c r="AC1021" s="72">
        <f t="shared" si="417"/>
        <v>1</v>
      </c>
      <c r="AD1021" s="72">
        <f t="shared" si="418"/>
        <v>1</v>
      </c>
      <c r="AE1021" s="109" t="str">
        <f t="shared" si="419"/>
        <v>0-0</v>
      </c>
      <c r="AF1021" s="109" t="str">
        <f t="shared" si="420"/>
        <v>Y</v>
      </c>
      <c r="AG1021" s="109" t="str">
        <f t="shared" si="421"/>
        <v>A</v>
      </c>
      <c r="AM1021" s="109">
        <f t="shared" si="422"/>
        <v>0</v>
      </c>
      <c r="AN1021" s="109">
        <f t="shared" si="423"/>
        <v>0</v>
      </c>
      <c r="AO1021" s="109" t="str">
        <f t="shared" si="424"/>
        <v/>
      </c>
      <c r="AQ1021" s="109" t="str">
        <f t="shared" si="425"/>
        <v/>
      </c>
      <c r="BA1021" s="229">
        <f>MOD(SUM(E1001:E1022),12)</f>
        <v>0</v>
      </c>
    </row>
    <row r="1022" spans="1:53" ht="15.75" thickBot="1" x14ac:dyDescent="0.3">
      <c r="A1022" s="88"/>
      <c r="B1022" s="66" t="s">
        <v>299</v>
      </c>
      <c r="C1022" s="67"/>
      <c r="D1022" s="102"/>
      <c r="E1022" s="32"/>
      <c r="F1022" s="32"/>
      <c r="G1022" s="68" t="s">
        <v>277</v>
      </c>
      <c r="H1022" s="69">
        <f t="shared" si="426"/>
        <v>0</v>
      </c>
      <c r="I1022" s="70">
        <f t="shared" si="427"/>
        <v>0</v>
      </c>
      <c r="J1022" s="73" t="str">
        <f t="shared" si="428"/>
        <v>--</v>
      </c>
      <c r="K1022" s="32"/>
      <c r="L1022" s="233"/>
      <c r="M1022" s="277"/>
      <c r="N1022" s="277"/>
      <c r="O1022" s="277"/>
      <c r="P1022" s="277"/>
      <c r="Q1022" s="277"/>
      <c r="R1022" s="277"/>
      <c r="S1022" s="277"/>
      <c r="T1022" s="277"/>
      <c r="U1022" s="278"/>
      <c r="V1022" s="103"/>
      <c r="W1022" s="84">
        <f t="shared" si="433"/>
        <v>97</v>
      </c>
      <c r="X1022" s="84"/>
      <c r="Y1022" s="78">
        <f>SUM(E1001:E1022)</f>
        <v>96</v>
      </c>
      <c r="Z1022" s="72" t="str">
        <f t="shared" si="431"/>
        <v/>
      </c>
      <c r="AA1022" s="72" t="str">
        <f t="shared" si="432"/>
        <v/>
      </c>
      <c r="AB1022" s="72"/>
      <c r="AC1022" s="72">
        <f t="shared" si="417"/>
        <v>1</v>
      </c>
      <c r="AD1022" s="72">
        <f t="shared" si="418"/>
        <v>1</v>
      </c>
      <c r="AE1022" s="109" t="str">
        <f t="shared" si="419"/>
        <v>0-0</v>
      </c>
      <c r="AF1022" s="109" t="str">
        <f t="shared" si="420"/>
        <v>Y</v>
      </c>
      <c r="AG1022" s="109" t="str">
        <f t="shared" si="421"/>
        <v>A</v>
      </c>
      <c r="AM1022" s="109">
        <f t="shared" si="422"/>
        <v>0</v>
      </c>
      <c r="AN1022" s="109">
        <f t="shared" si="423"/>
        <v>0</v>
      </c>
      <c r="AO1022" s="109" t="str">
        <f t="shared" si="424"/>
        <v/>
      </c>
      <c r="AQ1022" s="109" t="str">
        <f t="shared" si="425"/>
        <v/>
      </c>
      <c r="BA1022" s="229">
        <f>MOD(SUM(E1001:E1023),12)</f>
        <v>0</v>
      </c>
    </row>
    <row r="1023" spans="1:53" ht="15.75" thickBot="1" x14ac:dyDescent="0.3">
      <c r="A1023" s="88"/>
      <c r="B1023" s="66" t="s">
        <v>300</v>
      </c>
      <c r="C1023" s="67"/>
      <c r="D1023" s="102"/>
      <c r="E1023" s="32"/>
      <c r="F1023" s="32"/>
      <c r="G1023" s="68" t="s">
        <v>277</v>
      </c>
      <c r="H1023" s="69">
        <f t="shared" si="426"/>
        <v>0</v>
      </c>
      <c r="I1023" s="70">
        <f t="shared" si="427"/>
        <v>0</v>
      </c>
      <c r="J1023" s="73" t="str">
        <f t="shared" si="428"/>
        <v>--</v>
      </c>
      <c r="K1023" s="32"/>
      <c r="L1023" s="233"/>
      <c r="M1023" s="277"/>
      <c r="N1023" s="277"/>
      <c r="O1023" s="277"/>
      <c r="P1023" s="277"/>
      <c r="Q1023" s="277"/>
      <c r="R1023" s="277"/>
      <c r="S1023" s="277"/>
      <c r="T1023" s="277"/>
      <c r="U1023" s="278"/>
      <c r="V1023" s="103"/>
      <c r="W1023" s="84">
        <f t="shared" si="433"/>
        <v>97</v>
      </c>
      <c r="X1023" s="84"/>
      <c r="Y1023" s="78">
        <f>SUM(E1001:E1023)</f>
        <v>96</v>
      </c>
      <c r="Z1023" s="72" t="str">
        <f t="shared" si="431"/>
        <v/>
      </c>
      <c r="AA1023" s="72" t="str">
        <f t="shared" si="432"/>
        <v/>
      </c>
      <c r="AB1023" s="72"/>
      <c r="AC1023" s="72">
        <f t="shared" si="417"/>
        <v>1</v>
      </c>
      <c r="AD1023" s="72">
        <f t="shared" si="418"/>
        <v>1</v>
      </c>
      <c r="AE1023" s="109" t="str">
        <f t="shared" si="419"/>
        <v>0-0</v>
      </c>
      <c r="AF1023" s="109" t="str">
        <f t="shared" si="420"/>
        <v>Y</v>
      </c>
      <c r="AG1023" s="109" t="str">
        <f t="shared" si="421"/>
        <v>A</v>
      </c>
      <c r="AM1023" s="109">
        <f t="shared" si="422"/>
        <v>0</v>
      </c>
      <c r="AN1023" s="109">
        <f t="shared" si="423"/>
        <v>0</v>
      </c>
      <c r="AO1023" s="109" t="str">
        <f t="shared" si="424"/>
        <v/>
      </c>
      <c r="AQ1023" s="109" t="str">
        <f t="shared" si="425"/>
        <v/>
      </c>
      <c r="BA1023" s="229">
        <f>MOD(SUM(E1001:E1024),12)</f>
        <v>0</v>
      </c>
    </row>
    <row r="1024" spans="1:53" ht="15.75" thickBot="1" x14ac:dyDescent="0.3">
      <c r="A1024" s="88"/>
      <c r="B1024" s="66" t="s">
        <v>301</v>
      </c>
      <c r="C1024" s="67"/>
      <c r="D1024" s="102"/>
      <c r="E1024" s="32"/>
      <c r="F1024" s="32"/>
      <c r="G1024" s="68" t="s">
        <v>277</v>
      </c>
      <c r="H1024" s="69">
        <f t="shared" si="426"/>
        <v>0</v>
      </c>
      <c r="I1024" s="70">
        <f t="shared" si="427"/>
        <v>0</v>
      </c>
      <c r="J1024" s="73" t="str">
        <f t="shared" si="428"/>
        <v>--</v>
      </c>
      <c r="K1024" s="32"/>
      <c r="L1024" s="233"/>
      <c r="M1024" s="277"/>
      <c r="N1024" s="277"/>
      <c r="O1024" s="277"/>
      <c r="P1024" s="277"/>
      <c r="Q1024" s="277"/>
      <c r="R1024" s="277"/>
      <c r="S1024" s="277"/>
      <c r="T1024" s="277"/>
      <c r="U1024" s="278"/>
      <c r="V1024" s="103"/>
      <c r="W1024" s="84">
        <f t="shared" si="433"/>
        <v>97</v>
      </c>
      <c r="X1024" s="84"/>
      <c r="Y1024" s="78">
        <f>SUM(E1001:E1024)</f>
        <v>96</v>
      </c>
      <c r="Z1024" s="72" t="str">
        <f t="shared" si="431"/>
        <v/>
      </c>
      <c r="AA1024" s="72" t="str">
        <f t="shared" si="432"/>
        <v/>
      </c>
      <c r="AB1024" s="72"/>
      <c r="AC1024" s="72">
        <f t="shared" si="417"/>
        <v>1</v>
      </c>
      <c r="AD1024" s="72">
        <f t="shared" si="418"/>
        <v>1</v>
      </c>
      <c r="AE1024" s="109" t="str">
        <f t="shared" si="419"/>
        <v>0-0</v>
      </c>
      <c r="AF1024" s="109" t="str">
        <f t="shared" si="420"/>
        <v>Y</v>
      </c>
      <c r="AG1024" s="109" t="str">
        <f t="shared" si="421"/>
        <v>A</v>
      </c>
      <c r="AM1024" s="109">
        <f t="shared" si="422"/>
        <v>0</v>
      </c>
      <c r="AN1024" s="109">
        <f t="shared" si="423"/>
        <v>0</v>
      </c>
      <c r="AO1024" s="109" t="str">
        <f t="shared" si="424"/>
        <v/>
      </c>
      <c r="AQ1024" s="109" t="str">
        <f t="shared" si="425"/>
        <v/>
      </c>
      <c r="BA1024" s="229">
        <f>MOD(SUM(E1001:E1025),12)</f>
        <v>0</v>
      </c>
    </row>
    <row r="1025" spans="1:53" ht="15.75" thickBot="1" x14ac:dyDescent="0.3">
      <c r="A1025" s="88"/>
      <c r="B1025" s="66" t="s">
        <v>302</v>
      </c>
      <c r="C1025" s="67"/>
      <c r="D1025" s="102"/>
      <c r="E1025" s="32"/>
      <c r="F1025" s="32"/>
      <c r="G1025" s="68" t="s">
        <v>277</v>
      </c>
      <c r="H1025" s="69">
        <f t="shared" si="426"/>
        <v>0</v>
      </c>
      <c r="I1025" s="70">
        <f t="shared" si="427"/>
        <v>0</v>
      </c>
      <c r="J1025" s="73" t="str">
        <f t="shared" si="428"/>
        <v>--</v>
      </c>
      <c r="K1025" s="32"/>
      <c r="L1025" s="234"/>
      <c r="M1025" s="277"/>
      <c r="N1025" s="277"/>
      <c r="O1025" s="277"/>
      <c r="P1025" s="277"/>
      <c r="Q1025" s="277"/>
      <c r="R1025" s="277"/>
      <c r="S1025" s="277"/>
      <c r="T1025" s="277"/>
      <c r="U1025" s="278"/>
      <c r="V1025" s="103"/>
      <c r="W1025" s="72"/>
      <c r="X1025" s="72"/>
      <c r="Y1025" s="78">
        <f>SUM(E1001:E1025)</f>
        <v>96</v>
      </c>
      <c r="Z1025" s="72" t="str">
        <f t="shared" si="431"/>
        <v/>
      </c>
      <c r="AA1025" s="72" t="str">
        <f t="shared" si="432"/>
        <v/>
      </c>
      <c r="AB1025" s="72"/>
      <c r="AC1025" s="72">
        <f t="shared" si="417"/>
        <v>1</v>
      </c>
      <c r="AD1025" s="72">
        <f t="shared" si="418"/>
        <v>1</v>
      </c>
      <c r="AE1025" s="109" t="str">
        <f t="shared" si="419"/>
        <v>0-0</v>
      </c>
      <c r="AF1025" s="109" t="str">
        <f t="shared" si="420"/>
        <v>Y</v>
      </c>
      <c r="AG1025" s="109" t="str">
        <f t="shared" si="421"/>
        <v>A</v>
      </c>
      <c r="AM1025" s="109">
        <f t="shared" si="422"/>
        <v>0</v>
      </c>
      <c r="AN1025" s="109">
        <f t="shared" si="423"/>
        <v>0</v>
      </c>
      <c r="AO1025" s="109" t="str">
        <f t="shared" si="424"/>
        <v/>
      </c>
      <c r="AQ1025" s="109" t="str">
        <f t="shared" si="425"/>
        <v/>
      </c>
      <c r="BA1025" s="228"/>
    </row>
    <row r="1026" spans="1:53" ht="16.5" thickBot="1" x14ac:dyDescent="0.3">
      <c r="A1026" s="88"/>
      <c r="B1026" s="319" t="s">
        <v>353</v>
      </c>
      <c r="C1026" s="320"/>
      <c r="D1026" s="79"/>
      <c r="E1026" s="80"/>
      <c r="F1026" s="80"/>
      <c r="G1026" s="81"/>
      <c r="H1026" s="192"/>
      <c r="I1026" s="192"/>
      <c r="J1026" s="192"/>
      <c r="K1026" s="82"/>
      <c r="L1026" s="319" t="s">
        <v>306</v>
      </c>
      <c r="M1026" s="330"/>
      <c r="N1026" s="330"/>
      <c r="O1026" s="330"/>
      <c r="P1026" s="330"/>
      <c r="Q1026" s="330"/>
      <c r="R1026" s="330"/>
      <c r="S1026" s="330"/>
      <c r="T1026" s="330"/>
      <c r="U1026" s="320"/>
      <c r="V1026" s="104"/>
      <c r="W1026" s="72"/>
      <c r="X1026" s="72"/>
      <c r="Y1026" s="72"/>
      <c r="Z1026" s="72"/>
      <c r="AA1026" s="72" t="str">
        <f t="shared" si="432"/>
        <v/>
      </c>
      <c r="AB1026" s="72"/>
      <c r="AC1026" s="72">
        <f>SUM(AC1001:AC1025)</f>
        <v>25</v>
      </c>
      <c r="AD1026" s="72">
        <f>SUM(AD1001:AD1025)</f>
        <v>21</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319" t="s">
        <v>307</v>
      </c>
      <c r="C1027" s="320"/>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32"/>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312" t="s">
        <v>222</v>
      </c>
      <c r="C1031" s="313"/>
      <c r="D1031" s="314" t="s">
        <v>223</v>
      </c>
      <c r="E1031" s="305"/>
      <c r="F1031" s="88"/>
      <c r="G1031" s="315" t="s">
        <v>224</v>
      </c>
      <c r="H1031" s="316"/>
      <c r="I1031" s="28">
        <f>SUM(E1042:E1066)</f>
        <v>60</v>
      </c>
      <c r="J1031" s="317" t="s">
        <v>225</v>
      </c>
      <c r="K1031" s="318"/>
      <c r="L1031" s="305"/>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5" t="s">
        <v>226</v>
      </c>
      <c r="AA1031" s="296"/>
      <c r="AB1031" s="297"/>
      <c r="AC1031" s="25"/>
      <c r="AD1031" s="25"/>
      <c r="AH1031" s="109">
        <v>2</v>
      </c>
      <c r="AI1031" s="109" t="str">
        <f>IF($E1032="SS",COUNTIFS($C1042:$C1066,"FST",$E1042:$E1066,"2"),"0")</f>
        <v>0</v>
      </c>
      <c r="AJ1031" s="109">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RPX</v>
      </c>
      <c r="F1032" s="88"/>
      <c r="G1032" s="304" t="s">
        <v>230</v>
      </c>
      <c r="H1032" s="305"/>
      <c r="I1032" s="33">
        <f>E1033-I1031</f>
        <v>12</v>
      </c>
      <c r="J1032" s="289" t="s">
        <v>231</v>
      </c>
      <c r="K1032" s="290"/>
      <c r="L1032" s="34">
        <f>I1036</f>
        <v>373</v>
      </c>
      <c r="M1032" s="196">
        <v>4</v>
      </c>
      <c r="N1032" s="35">
        <f>SUM(AI1032,AI1043)</f>
        <v>0</v>
      </c>
      <c r="O1032" s="35">
        <v>0</v>
      </c>
      <c r="P1032" s="35">
        <f>SUM(AJ1032,AJ1043)</f>
        <v>6</v>
      </c>
      <c r="Q1032" s="35">
        <v>0</v>
      </c>
      <c r="R1032" s="35">
        <f>COUNTIFS($E1042:$E1066,"4",$F1042:$F1066,"Pole",$C1042:$C1066,"FST")</f>
        <v>6</v>
      </c>
      <c r="S1032" s="35">
        <f>SUM(AL1032,AK1043)</f>
        <v>0</v>
      </c>
      <c r="T1032" s="35">
        <v>0</v>
      </c>
      <c r="U1032" s="35">
        <f>SUM(AK1032,AL1043)</f>
        <v>0</v>
      </c>
      <c r="V1032" s="35">
        <v>0</v>
      </c>
      <c r="W1032" s="34">
        <f>COUNTIFS($E1042:$E1066,"4",$F1042:$F1066,"HH",$C1042:$C1066,"FST")</f>
        <v>0</v>
      </c>
      <c r="X1032" s="35">
        <f>COUNTIFS($E1042:$E1066,"4",$F1042:$F1066,"Ped",$C1042:$C1066,"FST")</f>
        <v>0</v>
      </c>
      <c r="Y1032" s="25"/>
      <c r="Z1032" s="298" t="s">
        <v>232</v>
      </c>
      <c r="AA1032" s="300" t="s">
        <v>233</v>
      </c>
      <c r="AB1032" s="301"/>
      <c r="AC1032" s="25"/>
      <c r="AD1032" s="25"/>
      <c r="AH1032" s="109">
        <v>4</v>
      </c>
      <c r="AI1032" s="109" t="str">
        <f>IF($E1032="SS",COUNTIFS($C1042:$C1066,"FST",$E1042:$E1066,"4"),"0")</f>
        <v>0</v>
      </c>
      <c r="AJ1032" s="109">
        <f>IF($E1032="RPX",COUNTIFS($C1042:$C1066,"FST",$E1042:$E1066,"4"),"0")</f>
        <v>6</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v>72</v>
      </c>
      <c r="F1033" s="88"/>
      <c r="G1033" s="291" t="s">
        <v>237</v>
      </c>
      <c r="H1033" s="292"/>
      <c r="I1033" s="35">
        <f>IF(E1033=0,0,12-(MOD(I1031,12)))</f>
        <v>12</v>
      </c>
      <c r="J1033" s="289" t="s">
        <v>238</v>
      </c>
      <c r="K1033" s="290"/>
      <c r="L1033" s="39">
        <f>I1037-I1031</f>
        <v>372</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299"/>
      <c r="AA1033" s="302"/>
      <c r="AB1033" s="303"/>
      <c r="AC1033" s="25"/>
      <c r="AD1033" s="25"/>
      <c r="AH1033" s="109">
        <v>6</v>
      </c>
      <c r="AI1033" s="109" t="str">
        <f>IF($E1032="SS",COUNTIFS($C1042:$C1066,"FST",$E1042:$E1066,"6"),"0")</f>
        <v>0</v>
      </c>
      <c r="AJ1033" s="109">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v>12</v>
      </c>
      <c r="F1034" s="88"/>
      <c r="G1034" s="321" t="s">
        <v>242</v>
      </c>
      <c r="H1034" s="43" t="s">
        <v>243</v>
      </c>
      <c r="I1034" s="35">
        <f>IF(E1034&lt;&gt;0,1,0)</f>
        <v>1</v>
      </c>
      <c r="J1034" s="291" t="s">
        <v>244</v>
      </c>
      <c r="K1034" s="292"/>
      <c r="L1034" s="44">
        <f>'Cable Calculator'!DY3</f>
        <v>2146</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v>373</v>
      </c>
      <c r="F1035" s="88"/>
      <c r="G1035" s="322"/>
      <c r="H1035" s="47" t="s">
        <v>248</v>
      </c>
      <c r="I1035" s="35">
        <f>IF(E1034&lt;&gt;0,E1034,0)</f>
        <v>12</v>
      </c>
      <c r="J1035" s="194"/>
      <c r="K1035" s="195"/>
      <c r="L1035" s="48"/>
      <c r="M1035" s="196">
        <v>12</v>
      </c>
      <c r="N1035" s="35" t="str">
        <f>IF($E1032="SS",SUM(AI1035,AJ1046,AM1067,AO1067,AQ1067),"0")</f>
        <v>0</v>
      </c>
      <c r="O1035" s="35" t="str">
        <f>IF($E1032="SS",SUM(AN1067,AP1067,AR1067),"0")</f>
        <v>0</v>
      </c>
      <c r="P1035" s="35">
        <f>IF($E1032="RPX",SUM(AJ1035,AJ1046,AM1067,AO1067,AQ1067),"0")</f>
        <v>2</v>
      </c>
      <c r="Q1035" s="35">
        <f>IF($E1032="RPX",SUM(AN1067,AP1067,AR1067),"0")</f>
        <v>1</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6</v>
      </c>
      <c r="F1036" s="88"/>
      <c r="G1036" s="321" t="s">
        <v>251</v>
      </c>
      <c r="H1036" s="51" t="s">
        <v>252</v>
      </c>
      <c r="I1036" s="112">
        <f>E1035</f>
        <v>373</v>
      </c>
      <c r="J1036" s="323" t="s">
        <v>253</v>
      </c>
      <c r="K1036" s="324"/>
      <c r="L1036" s="325"/>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N</v>
      </c>
      <c r="F1037" s="88"/>
      <c r="G1037" s="322"/>
      <c r="H1037" s="47" t="s">
        <v>257</v>
      </c>
      <c r="I1037" s="35">
        <f>IF(E1035="","0",IF(AND(E1032="EUC",E1033=432), I1036+(203-E1034),IF(E1035=0,0,(E1035+(E1033-E1034)-1))))</f>
        <v>432</v>
      </c>
      <c r="J1037" s="285" t="str">
        <f>IFERROR(IF(OR(E1032="EUC",E1032="SS"),"---",IF(OR(P1031,S1031),"NO 2F Tethers for RPX!",IF(OR(P1033,S1033),"NO 6F Tethers for RPX!","---"))),"---")</f>
        <v>---</v>
      </c>
      <c r="K1037" s="286"/>
      <c r="L1037" s="287"/>
      <c r="M1037" s="285" t="str">
        <f>IF(E1034&gt;60,"Dead Count &gt;60: Consider Downsize","---")</f>
        <v>---</v>
      </c>
      <c r="N1037" s="286"/>
      <c r="O1037" s="286"/>
      <c r="P1037" s="286"/>
      <c r="Q1037" s="286"/>
      <c r="R1037" s="286"/>
      <c r="S1037" s="286"/>
      <c r="T1037" s="286"/>
      <c r="U1037" s="287"/>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60</v>
      </c>
      <c r="D1038" s="31" t="s">
        <v>259</v>
      </c>
      <c r="E1038" s="101" t="str">
        <f>IF(AS1032="Y","DBL",IF(AS1033="Y","TRPL",IF(AS1034="Y","QUAD","")))</f>
        <v/>
      </c>
      <c r="F1038" s="88"/>
      <c r="G1038" s="192"/>
      <c r="H1038" s="57"/>
      <c r="I1038" s="192"/>
      <c r="J1038" s="285"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86"/>
      <c r="L1038" s="287"/>
      <c r="M1038" s="285" t="str">
        <f>IF(AND(OR(E1032="SS",E1032="RPX",E1032="EUC",E1032="RPX-T"),(OR(C1042="",C1042="Field SPL"))),"Cannot have FlexNap cables without tethers","---")</f>
        <v>---</v>
      </c>
      <c r="N1038" s="286"/>
      <c r="O1038" s="286"/>
      <c r="P1038" s="286"/>
      <c r="Q1038" s="286"/>
      <c r="R1038" s="286"/>
      <c r="S1038" s="286"/>
      <c r="T1038" s="286"/>
      <c r="U1038" s="287"/>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85" t="str">
        <f>IF(AND(OR(E1032="RPX", E1032="RPX-T", E1032="SS"),E1033=216),"NO 216 For RPX, RPX-T, OR SS CABLE","---")</f>
        <v>---</v>
      </c>
      <c r="K1039" s="286"/>
      <c r="L1039" s="287"/>
      <c r="M1039" s="285" t="str" cm="1">
        <f t="array" ref="M1039">IF(AND(E1032="",OR(C1042:C1066="FST",C1042:C1066="REV T",C1042:C1066="DBL REV",C1042:C1066="TPL REV", C1042:C1066="QD REV")),"Non-FlexNap cables cannot have tethers","---")</f>
        <v>---</v>
      </c>
      <c r="N1039" s="286"/>
      <c r="O1039" s="286"/>
      <c r="P1039" s="286"/>
      <c r="Q1039" s="286"/>
      <c r="R1039" s="286"/>
      <c r="S1039" s="286"/>
      <c r="T1039" s="286"/>
      <c r="U1039" s="287"/>
      <c r="V1039" s="25"/>
      <c r="W1039" s="58"/>
      <c r="X1039" s="58"/>
      <c r="Y1039" s="25"/>
      <c r="Z1039" s="45">
        <v>6</v>
      </c>
      <c r="AA1039" s="65">
        <v>61</v>
      </c>
      <c r="AB1039" s="65">
        <v>72</v>
      </c>
      <c r="AC1039" s="25"/>
      <c r="AD1039" s="25"/>
      <c r="BA1039" s="226"/>
    </row>
    <row r="1040" spans="1:53" ht="15.75" customHeight="1" thickBot="1" x14ac:dyDescent="0.3">
      <c r="A1040" s="88"/>
      <c r="B1040" s="321" t="s">
        <v>260</v>
      </c>
      <c r="C1040" s="293" t="s">
        <v>261</v>
      </c>
      <c r="D1040" s="293" t="s">
        <v>262</v>
      </c>
      <c r="E1040" s="306" t="s">
        <v>263</v>
      </c>
      <c r="F1040" s="293" t="s">
        <v>264</v>
      </c>
      <c r="G1040" s="308" t="s">
        <v>265</v>
      </c>
      <c r="H1040" s="308" t="s">
        <v>266</v>
      </c>
      <c r="I1040" s="308" t="s">
        <v>267</v>
      </c>
      <c r="J1040" s="310" t="s">
        <v>268</v>
      </c>
      <c r="K1040" s="293" t="s">
        <v>269</v>
      </c>
      <c r="L1040" s="279" t="s">
        <v>270</v>
      </c>
      <c r="M1040" s="281" t="s">
        <v>271</v>
      </c>
      <c r="N1040" s="281"/>
      <c r="O1040" s="281"/>
      <c r="P1040" s="281"/>
      <c r="Q1040" s="281"/>
      <c r="R1040" s="281"/>
      <c r="S1040" s="281"/>
      <c r="T1040" s="281"/>
      <c r="U1040" s="282"/>
      <c r="V1040" s="107"/>
      <c r="W1040" s="72"/>
      <c r="X1040" s="72"/>
      <c r="Y1040" s="72"/>
      <c r="Z1040" s="45">
        <v>7</v>
      </c>
      <c r="AA1040" s="65">
        <v>73</v>
      </c>
      <c r="AB1040" s="65">
        <v>84</v>
      </c>
      <c r="AC1040" s="25"/>
      <c r="AD1040" s="25"/>
      <c r="BA1040" s="228"/>
    </row>
    <row r="1041" spans="1:53" ht="15.75" thickBot="1" x14ac:dyDescent="0.3">
      <c r="A1041" s="88"/>
      <c r="B1041" s="322"/>
      <c r="C1041" s="294"/>
      <c r="D1041" s="294"/>
      <c r="E1041" s="307"/>
      <c r="F1041" s="294"/>
      <c r="G1041" s="309"/>
      <c r="H1041" s="309"/>
      <c r="I1041" s="309"/>
      <c r="J1041" s="311"/>
      <c r="K1041" s="294"/>
      <c r="L1041" s="280"/>
      <c r="M1041" s="283"/>
      <c r="N1041" s="283"/>
      <c r="O1041" s="283"/>
      <c r="P1041" s="283"/>
      <c r="Q1041" s="283"/>
      <c r="R1041" s="283"/>
      <c r="S1041" s="283"/>
      <c r="T1041" s="283"/>
      <c r="U1041" s="284"/>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t="s">
        <v>484</v>
      </c>
      <c r="D1042" s="102" t="s">
        <v>795</v>
      </c>
      <c r="E1042" s="32">
        <v>4</v>
      </c>
      <c r="F1042" s="32" t="s">
        <v>483</v>
      </c>
      <c r="G1042" s="68" t="s">
        <v>277</v>
      </c>
      <c r="H1042" s="69">
        <f>IF(I1042=0,0,I1042-(E1042-1))</f>
        <v>429</v>
      </c>
      <c r="I1042" s="70">
        <f>IF(E1042=0,0,I1037)</f>
        <v>432</v>
      </c>
      <c r="J1042" s="71" t="s">
        <v>278</v>
      </c>
      <c r="K1042" s="32"/>
      <c r="L1042" s="233"/>
      <c r="M1042" s="277"/>
      <c r="N1042" s="277"/>
      <c r="O1042" s="277"/>
      <c r="P1042" s="277"/>
      <c r="Q1042" s="277"/>
      <c r="R1042" s="277"/>
      <c r="S1042" s="277"/>
      <c r="T1042" s="277"/>
      <c r="U1042" s="278"/>
      <c r="V1042" s="103"/>
      <c r="W1042" s="72"/>
      <c r="X1042" s="72"/>
      <c r="Y1042" s="72"/>
      <c r="Z1042" s="45">
        <v>9</v>
      </c>
      <c r="AA1042" s="46">
        <v>97</v>
      </c>
      <c r="AB1042" s="46">
        <v>108</v>
      </c>
      <c r="AC1042" s="72">
        <f t="shared" ref="AC1042:AC1066" si="434">IF(B1042&lt;&gt;"FST",1,0)</f>
        <v>1</v>
      </c>
      <c r="AD1042" s="72">
        <f t="shared" ref="AD1042:AD1066" si="435">IF(C1042&lt;&gt;"FST",1,0)</f>
        <v>0</v>
      </c>
      <c r="AE1042" s="109" t="str">
        <f t="shared" ref="AE1042:AE1066" si="436">CONCATENATE(H1042,"-",I1042)</f>
        <v>429-432</v>
      </c>
      <c r="AF1042" s="109" t="str">
        <f t="shared" ref="AF1042:AF1066" si="437">IF(C1042="Field SPL","N","Y")</f>
        <v>Y</v>
      </c>
      <c r="AG1042" s="109" t="str">
        <f t="shared" ref="AG1042:AG1066" si="438">IF(OR(E$1032="RPX",E$1032="SS"),"A","B")</f>
        <v>A</v>
      </c>
      <c r="AH1042" s="109">
        <v>2</v>
      </c>
      <c r="AI1042" s="109" t="str">
        <f>IF(E1032="SS",COUNTIFS(C1042:C1066,"TCF",E1042:E1066,"2"),"")</f>
        <v/>
      </c>
      <c r="AJ1042" s="109">
        <f>IF(E1032="RPX",COUNTIFS(C1042:C1066,"TCF",E1042:E1066,"2"),"")</f>
        <v>0</v>
      </c>
      <c r="AK1042" s="109" t="str">
        <f>IF(E1032="RPX-T",COUNTIFS(C1042:C1066,"TCF",E1042:E1066,"2"),"")</f>
        <v/>
      </c>
      <c r="AL1042" s="109" t="str">
        <f>IF(E1032="EUC",COUNTIFS(C1042:C1066,"TCF",E1042:E1066,"2"),"")</f>
        <v/>
      </c>
      <c r="AM1042" s="109">
        <f t="shared" ref="AM1042:AM1066" si="439">VALUE(IF(C1042="FST","0",IF(C1042="REV T","1",IF(C1042="DBL REV",".5","0"))))</f>
        <v>0</v>
      </c>
      <c r="AN1042" s="109">
        <f t="shared" ref="AN1042:AN1066" si="440">VALUE(IF(C1042="FST","0",IF(C1042="REV T","0",IF(C1042="DBL REV",".5","0"))))</f>
        <v>0</v>
      </c>
      <c r="AO1042" s="109" t="str">
        <f t="shared" ref="AO1042:AO1066" si="441">IF(C1042="TPL REV","Y","")</f>
        <v/>
      </c>
      <c r="AQ1042" s="109" t="str">
        <f t="shared" ref="AQ1042:AQ1066" si="442">IF(C1042="QD REV","Y","")</f>
        <v/>
      </c>
      <c r="BA1042" s="229">
        <f>MOD(E1042,12)</f>
        <v>4</v>
      </c>
    </row>
    <row r="1043" spans="1:53" ht="15.75" thickBot="1" x14ac:dyDescent="0.3">
      <c r="A1043" s="88"/>
      <c r="B1043" s="66" t="s">
        <v>279</v>
      </c>
      <c r="C1043" s="67" t="s">
        <v>484</v>
      </c>
      <c r="D1043" s="102" t="s">
        <v>796</v>
      </c>
      <c r="E1043" s="32">
        <v>4</v>
      </c>
      <c r="F1043" s="32" t="s">
        <v>483</v>
      </c>
      <c r="G1043" s="68" t="s">
        <v>277</v>
      </c>
      <c r="H1043" s="69">
        <f t="shared" ref="H1043:H1066" si="443">IF(E1043=0,0,I1043-(E1043-1))</f>
        <v>425</v>
      </c>
      <c r="I1043" s="70">
        <f t="shared" ref="I1043:I1066" si="444">IF(E1043=0,0,H1042-1)</f>
        <v>428</v>
      </c>
      <c r="J1043" s="73" t="str">
        <f>IF(C1043="","--",IF(AND(C1043&lt;&gt;"FST",C1043&lt;&gt;"TCF",BA1042&lt;&gt;0),BA1042,"--"))</f>
        <v>--</v>
      </c>
      <c r="K1043" s="32"/>
      <c r="L1043" s="233"/>
      <c r="M1043" s="277"/>
      <c r="N1043" s="277"/>
      <c r="O1043" s="277"/>
      <c r="P1043" s="277"/>
      <c r="Q1043" s="277"/>
      <c r="R1043" s="277"/>
      <c r="S1043" s="277"/>
      <c r="T1043" s="277"/>
      <c r="U1043" s="278"/>
      <c r="V1043" s="103"/>
      <c r="W1043" s="72"/>
      <c r="X1043" s="72"/>
      <c r="Y1043" s="72"/>
      <c r="Z1043" s="45">
        <v>10</v>
      </c>
      <c r="AA1043" s="46">
        <v>109</v>
      </c>
      <c r="AB1043" s="46">
        <v>120</v>
      </c>
      <c r="AC1043" s="72">
        <f t="shared" si="434"/>
        <v>1</v>
      </c>
      <c r="AD1043" s="72">
        <f t="shared" si="435"/>
        <v>0</v>
      </c>
      <c r="AE1043" s="109" t="str">
        <f t="shared" si="436"/>
        <v>425-428</v>
      </c>
      <c r="AF1043" s="109" t="str">
        <f t="shared" si="437"/>
        <v>Y</v>
      </c>
      <c r="AG1043" s="109" t="str">
        <f t="shared" si="438"/>
        <v>A</v>
      </c>
      <c r="AH1043" s="109">
        <v>4</v>
      </c>
      <c r="AI1043" s="109" t="str">
        <f>IF(E1032="SS",COUNTIFS(C1042:C1066,"TCF",E1042:E1066,"4"),"")</f>
        <v/>
      </c>
      <c r="AJ1043" s="109">
        <f>IF(E1032="RPX",COUNTIFS(C1042:C1066,"TCF",E1042:E1066,"4"),"")</f>
        <v>0</v>
      </c>
      <c r="AK1043" s="109" t="str">
        <f>IF(E1032="RPX-T",COUNTIFS(C1042:C1066,"TCF",E1042:E1066,"4"),"")</f>
        <v/>
      </c>
      <c r="AL1043" s="109" t="str">
        <f>IF(E1032="EUC",COUNTIFS(C1042:C1066,"TCF",E1042:E1066,"4"),"")</f>
        <v/>
      </c>
      <c r="AM1043" s="109">
        <f t="shared" si="439"/>
        <v>0</v>
      </c>
      <c r="AN1043" s="109">
        <f t="shared" si="440"/>
        <v>0</v>
      </c>
      <c r="AO1043" s="109" t="str">
        <f t="shared" si="441"/>
        <v/>
      </c>
      <c r="AQ1043" s="109" t="str">
        <f t="shared" si="442"/>
        <v/>
      </c>
      <c r="BA1043" s="229">
        <f>MOD(SUM(E1042:E1043),12)</f>
        <v>8</v>
      </c>
    </row>
    <row r="1044" spans="1:53" ht="15.75" thickBot="1" x14ac:dyDescent="0.3">
      <c r="A1044" s="88"/>
      <c r="B1044" s="74" t="s">
        <v>280</v>
      </c>
      <c r="C1044" s="67" t="s">
        <v>484</v>
      </c>
      <c r="D1044" s="102" t="s">
        <v>797</v>
      </c>
      <c r="E1044" s="32">
        <v>4</v>
      </c>
      <c r="F1044" s="32" t="s">
        <v>483</v>
      </c>
      <c r="G1044" s="75" t="s">
        <v>277</v>
      </c>
      <c r="H1044" s="69">
        <f t="shared" si="443"/>
        <v>421</v>
      </c>
      <c r="I1044" s="70">
        <f t="shared" si="444"/>
        <v>424</v>
      </c>
      <c r="J1044" s="73" t="str">
        <f t="shared" ref="J1044:J1066" si="445">IF(C1044="","--",IF(AND(C1044&lt;&gt;"FST",C1044&lt;&gt;"TCF",BA1043&lt;&gt;0),BA1043,"--"))</f>
        <v>--</v>
      </c>
      <c r="K1044" s="32"/>
      <c r="L1044" s="233"/>
      <c r="M1044" s="277"/>
      <c r="N1044" s="277"/>
      <c r="O1044" s="277"/>
      <c r="P1044" s="277"/>
      <c r="Q1044" s="277"/>
      <c r="R1044" s="277"/>
      <c r="S1044" s="277"/>
      <c r="T1044" s="277"/>
      <c r="U1044" s="278"/>
      <c r="V1044" s="103"/>
      <c r="W1044" s="72"/>
      <c r="X1044" s="72"/>
      <c r="Y1044" s="72"/>
      <c r="Z1044" s="45">
        <v>11</v>
      </c>
      <c r="AA1044" s="46">
        <v>121</v>
      </c>
      <c r="AB1044" s="46">
        <v>132</v>
      </c>
      <c r="AC1044" s="72">
        <f t="shared" si="434"/>
        <v>1</v>
      </c>
      <c r="AD1044" s="72">
        <f t="shared" si="435"/>
        <v>0</v>
      </c>
      <c r="AE1044" s="109" t="str">
        <f t="shared" si="436"/>
        <v>421-424</v>
      </c>
      <c r="AF1044" s="109" t="str">
        <f t="shared" si="437"/>
        <v>Y</v>
      </c>
      <c r="AG1044" s="109" t="str">
        <f t="shared" si="438"/>
        <v>A</v>
      </c>
      <c r="AH1044" s="109">
        <v>6</v>
      </c>
      <c r="AI1044" s="109" t="str">
        <f>IF(E1032="SS",COUNTIFS(C1042:C1066,"TCF",E1042:E1066,"6"),"")</f>
        <v/>
      </c>
      <c r="AJ1044" s="109">
        <f>IF(E1032="RPX",COUNTIFS(C1042:C1066,"TCF",E1042:E1066,"6"),"")</f>
        <v>0</v>
      </c>
      <c r="AK1044" s="109" t="str">
        <f>IF(E1032="RPX-T",COUNTIFS(C1042:C1066,"TCF",E1042:E1066,"6"),"")</f>
        <v/>
      </c>
      <c r="AL1044" s="109" t="str">
        <f>IF(E1032="EUC",COUNTIFS(C1042:C1066,"TCF",E1042:E1066,"6"),"")</f>
        <v/>
      </c>
      <c r="AM1044" s="109">
        <f t="shared" si="439"/>
        <v>0</v>
      </c>
      <c r="AN1044" s="109">
        <f t="shared" si="440"/>
        <v>0</v>
      </c>
      <c r="AO1044" s="109" t="str">
        <f t="shared" si="441"/>
        <v/>
      </c>
      <c r="AQ1044" s="109" t="str">
        <f t="shared" si="442"/>
        <v/>
      </c>
      <c r="BA1044" s="229">
        <f>MOD(SUM(E1042:E1045),12)</f>
        <v>4</v>
      </c>
    </row>
    <row r="1045" spans="1:53" ht="15.75" thickBot="1" x14ac:dyDescent="0.3">
      <c r="A1045" s="88"/>
      <c r="B1045" s="66" t="s">
        <v>281</v>
      </c>
      <c r="C1045" s="67" t="s">
        <v>484</v>
      </c>
      <c r="D1045" s="102" t="s">
        <v>798</v>
      </c>
      <c r="E1045" s="32">
        <v>4</v>
      </c>
      <c r="F1045" s="32" t="s">
        <v>483</v>
      </c>
      <c r="G1045" s="68" t="s">
        <v>277</v>
      </c>
      <c r="H1045" s="69">
        <f t="shared" si="443"/>
        <v>417</v>
      </c>
      <c r="I1045" s="70">
        <f t="shared" si="444"/>
        <v>420</v>
      </c>
      <c r="J1045" s="73" t="str">
        <f t="shared" si="445"/>
        <v>--</v>
      </c>
      <c r="K1045" s="32"/>
      <c r="L1045" s="233"/>
      <c r="M1045" s="277"/>
      <c r="N1045" s="277"/>
      <c r="O1045" s="277"/>
      <c r="P1045" s="277"/>
      <c r="Q1045" s="277"/>
      <c r="R1045" s="277"/>
      <c r="S1045" s="277"/>
      <c r="T1045" s="277"/>
      <c r="U1045" s="278"/>
      <c r="V1045" s="103"/>
      <c r="W1045" s="72"/>
      <c r="X1045" s="72"/>
      <c r="Y1045" s="72"/>
      <c r="Z1045" s="45">
        <v>12</v>
      </c>
      <c r="AA1045" s="76">
        <v>133</v>
      </c>
      <c r="AB1045" s="76">
        <v>144</v>
      </c>
      <c r="AC1045" s="72">
        <f t="shared" si="434"/>
        <v>1</v>
      </c>
      <c r="AD1045" s="72">
        <f t="shared" si="435"/>
        <v>0</v>
      </c>
      <c r="AE1045" s="109" t="str">
        <f t="shared" si="436"/>
        <v>417-420</v>
      </c>
      <c r="AF1045" s="109" t="str">
        <f t="shared" si="437"/>
        <v>Y</v>
      </c>
      <c r="AG1045" s="109" t="str">
        <f t="shared" si="438"/>
        <v>A</v>
      </c>
      <c r="AH1045" s="109">
        <v>8</v>
      </c>
      <c r="AI1045" s="109" t="str">
        <f>IF(E1032="SS",COUNTIFS(C1042:C1066,"TCF",E1042:E1066,"8"),"")</f>
        <v/>
      </c>
      <c r="AJ1045" s="109">
        <f>IF(E1032="RPX",COUNTIFS(C1042:C1066,"TCF",E1042:E1066,"8"),"")</f>
        <v>0</v>
      </c>
      <c r="AK1045" s="109" t="str">
        <f>IF(E1032="RPX-T",COUNTIFS(C1042:C1066,"TCF",E1042:E1066,"8"),"")</f>
        <v/>
      </c>
      <c r="AL1045" s="109" t="str">
        <f>IF(E1032="EUC",COUNTIFS(C1042:C1066,"TCF",E1042:E1066,"8"),"")</f>
        <v/>
      </c>
      <c r="AM1045" s="109">
        <f t="shared" si="439"/>
        <v>0</v>
      </c>
      <c r="AN1045" s="109">
        <f t="shared" si="440"/>
        <v>0</v>
      </c>
      <c r="AO1045" s="109" t="str">
        <f t="shared" si="441"/>
        <v/>
      </c>
      <c r="AQ1045" s="109" t="str">
        <f t="shared" si="442"/>
        <v/>
      </c>
      <c r="BA1045" s="229">
        <f>MOD(SUM(E1042:E1046),12)</f>
        <v>8</v>
      </c>
    </row>
    <row r="1046" spans="1:53" ht="15.75" thickBot="1" x14ac:dyDescent="0.3">
      <c r="A1046" s="88"/>
      <c r="B1046" s="66" t="s">
        <v>282</v>
      </c>
      <c r="C1046" s="67" t="s">
        <v>484</v>
      </c>
      <c r="D1046" s="102" t="s">
        <v>799</v>
      </c>
      <c r="E1046" s="32">
        <v>4</v>
      </c>
      <c r="F1046" s="32" t="s">
        <v>483</v>
      </c>
      <c r="G1046" s="68" t="s">
        <v>277</v>
      </c>
      <c r="H1046" s="69">
        <f t="shared" si="443"/>
        <v>413</v>
      </c>
      <c r="I1046" s="70">
        <f t="shared" si="444"/>
        <v>416</v>
      </c>
      <c r="J1046" s="73" t="str">
        <f t="shared" si="445"/>
        <v>--</v>
      </c>
      <c r="K1046" s="32"/>
      <c r="L1046" s="233"/>
      <c r="M1046" s="277"/>
      <c r="N1046" s="277"/>
      <c r="O1046" s="277"/>
      <c r="P1046" s="277"/>
      <c r="Q1046" s="277"/>
      <c r="R1046" s="277"/>
      <c r="S1046" s="277"/>
      <c r="T1046" s="277"/>
      <c r="U1046" s="278"/>
      <c r="V1046" s="103"/>
      <c r="W1046" s="72"/>
      <c r="X1046" s="72"/>
      <c r="Y1046" s="72"/>
      <c r="Z1046" s="45">
        <v>13</v>
      </c>
      <c r="AA1046" s="77">
        <f t="shared" ref="AA1046:AA1051" si="446">AB1045+1</f>
        <v>145</v>
      </c>
      <c r="AB1046" s="77">
        <f t="shared" ref="AB1046:AB1051" si="447">AB1045+12</f>
        <v>156</v>
      </c>
      <c r="AC1046" s="72">
        <f t="shared" si="434"/>
        <v>1</v>
      </c>
      <c r="AD1046" s="72">
        <f t="shared" si="435"/>
        <v>0</v>
      </c>
      <c r="AE1046" s="109" t="str">
        <f t="shared" si="436"/>
        <v>413-416</v>
      </c>
      <c r="AF1046" s="109" t="str">
        <f t="shared" si="437"/>
        <v>Y</v>
      </c>
      <c r="AG1046" s="109" t="str">
        <f t="shared" si="438"/>
        <v>A</v>
      </c>
      <c r="AH1046" s="109">
        <v>12</v>
      </c>
      <c r="AI1046" s="109" t="str">
        <f>IF(E1032="SS",COUNTIFS(C1042:C1066,"TCF",E1042:E1066,"12"),"")</f>
        <v/>
      </c>
      <c r="AJ1046" s="109">
        <f>IF(E1032="RPX",COUNTIFS(C1042:C1066,"TCF",E1042:E1066,"12"),"")</f>
        <v>0</v>
      </c>
      <c r="AK1046" s="109" t="str">
        <f>IF(E1032="RPX-T",COUNTIFS(C1042:C1066,"TCF",E1042:E1066,"12"),"")</f>
        <v/>
      </c>
      <c r="AL1046" s="109" t="str">
        <f>IF(E1032="EUC",COUNTIFS(C1042:C1066,"TCF",E1042:E1066,"12"),"")</f>
        <v/>
      </c>
      <c r="AM1046" s="109">
        <f t="shared" si="439"/>
        <v>0</v>
      </c>
      <c r="AN1046" s="109">
        <f t="shared" si="440"/>
        <v>0</v>
      </c>
      <c r="AO1046" s="109" t="str">
        <f t="shared" si="441"/>
        <v/>
      </c>
      <c r="AQ1046" s="109" t="str">
        <f t="shared" si="442"/>
        <v/>
      </c>
      <c r="BA1046" s="229">
        <f>MOD(SUM(E1042:E1047),12)</f>
        <v>0</v>
      </c>
    </row>
    <row r="1047" spans="1:53" ht="15.75" thickBot="1" x14ac:dyDescent="0.3">
      <c r="A1047" s="88"/>
      <c r="B1047" s="66" t="s">
        <v>283</v>
      </c>
      <c r="C1047" s="67" t="s">
        <v>484</v>
      </c>
      <c r="D1047" s="102" t="s">
        <v>800</v>
      </c>
      <c r="E1047" s="32">
        <v>4</v>
      </c>
      <c r="F1047" s="32" t="s">
        <v>483</v>
      </c>
      <c r="G1047" s="68" t="s">
        <v>277</v>
      </c>
      <c r="H1047" s="69">
        <f t="shared" si="443"/>
        <v>409</v>
      </c>
      <c r="I1047" s="70">
        <f t="shared" si="444"/>
        <v>412</v>
      </c>
      <c r="J1047" s="73" t="str">
        <f t="shared" si="445"/>
        <v>--</v>
      </c>
      <c r="K1047" s="32"/>
      <c r="L1047" s="233"/>
      <c r="M1047" s="277"/>
      <c r="N1047" s="277"/>
      <c r="O1047" s="277"/>
      <c r="P1047" s="277"/>
      <c r="Q1047" s="277"/>
      <c r="R1047" s="277"/>
      <c r="S1047" s="277"/>
      <c r="T1047" s="277"/>
      <c r="U1047" s="278"/>
      <c r="V1047" s="103"/>
      <c r="W1047" s="72"/>
      <c r="X1047" s="72"/>
      <c r="Y1047" s="72"/>
      <c r="Z1047" s="45">
        <v>14</v>
      </c>
      <c r="AA1047" s="77">
        <f t="shared" si="446"/>
        <v>157</v>
      </c>
      <c r="AB1047" s="77">
        <f t="shared" si="447"/>
        <v>168</v>
      </c>
      <c r="AC1047" s="72">
        <f t="shared" si="434"/>
        <v>1</v>
      </c>
      <c r="AD1047" s="72">
        <f t="shared" si="435"/>
        <v>0</v>
      </c>
      <c r="AE1047" s="109" t="str">
        <f t="shared" si="436"/>
        <v>409-412</v>
      </c>
      <c r="AF1047" s="109" t="str">
        <f t="shared" si="437"/>
        <v>Y</v>
      </c>
      <c r="AG1047" s="109" t="str">
        <f t="shared" si="438"/>
        <v>A</v>
      </c>
      <c r="AM1047" s="109">
        <f t="shared" si="439"/>
        <v>0</v>
      </c>
      <c r="AN1047" s="109">
        <f t="shared" si="440"/>
        <v>0</v>
      </c>
      <c r="AO1047" s="109" t="str">
        <f t="shared" si="441"/>
        <v/>
      </c>
      <c r="AQ1047" s="109" t="str">
        <f t="shared" si="442"/>
        <v/>
      </c>
      <c r="BA1047" s="229">
        <f>MOD(SUM(E1042:E1048),12)</f>
        <v>0</v>
      </c>
    </row>
    <row r="1048" spans="1:53" ht="15.75" thickBot="1" x14ac:dyDescent="0.3">
      <c r="A1048" s="88"/>
      <c r="B1048" s="66" t="s">
        <v>284</v>
      </c>
      <c r="C1048" s="67" t="s">
        <v>500</v>
      </c>
      <c r="D1048" s="102"/>
      <c r="E1048" s="32">
        <v>12</v>
      </c>
      <c r="F1048" s="32"/>
      <c r="G1048" s="68" t="s">
        <v>277</v>
      </c>
      <c r="H1048" s="69">
        <f t="shared" si="443"/>
        <v>397</v>
      </c>
      <c r="I1048" s="70">
        <f t="shared" si="444"/>
        <v>408</v>
      </c>
      <c r="J1048" s="73" t="str">
        <f t="shared" si="445"/>
        <v>--</v>
      </c>
      <c r="K1048" s="32"/>
      <c r="L1048" s="233"/>
      <c r="M1048" s="277" t="s">
        <v>429</v>
      </c>
      <c r="N1048" s="277"/>
      <c r="O1048" s="277"/>
      <c r="P1048" s="277"/>
      <c r="Q1048" s="277"/>
      <c r="R1048" s="277"/>
      <c r="S1048" s="277"/>
      <c r="T1048" s="277"/>
      <c r="U1048" s="278"/>
      <c r="V1048" s="103"/>
      <c r="W1048" s="72"/>
      <c r="X1048" s="72"/>
      <c r="Y1048" s="72"/>
      <c r="Z1048" s="45">
        <v>15</v>
      </c>
      <c r="AA1048" s="77">
        <f t="shared" si="446"/>
        <v>169</v>
      </c>
      <c r="AB1048" s="77">
        <f t="shared" si="447"/>
        <v>180</v>
      </c>
      <c r="AC1048" s="72">
        <f t="shared" si="434"/>
        <v>1</v>
      </c>
      <c r="AD1048" s="72">
        <f t="shared" si="435"/>
        <v>1</v>
      </c>
      <c r="AE1048" s="109" t="str">
        <f t="shared" si="436"/>
        <v>397-408</v>
      </c>
      <c r="AF1048" s="109" t="str">
        <f t="shared" si="437"/>
        <v>Y</v>
      </c>
      <c r="AG1048" s="109" t="str">
        <f t="shared" si="438"/>
        <v>A</v>
      </c>
      <c r="AM1048" s="109">
        <f t="shared" si="439"/>
        <v>0</v>
      </c>
      <c r="AN1048" s="109">
        <f t="shared" si="440"/>
        <v>0</v>
      </c>
      <c r="AO1048" s="109" t="str">
        <f t="shared" si="441"/>
        <v>Y</v>
      </c>
      <c r="AQ1048" s="109" t="str">
        <f t="shared" si="442"/>
        <v/>
      </c>
      <c r="BA1048" s="229">
        <f>MOD(SUM(E1042:E1049),12)</f>
        <v>0</v>
      </c>
    </row>
    <row r="1049" spans="1:53" ht="15.75" thickBot="1" x14ac:dyDescent="0.3">
      <c r="A1049" s="88"/>
      <c r="B1049" s="66" t="s">
        <v>285</v>
      </c>
      <c r="C1049" s="67" t="s">
        <v>500</v>
      </c>
      <c r="D1049" s="102"/>
      <c r="E1049" s="32">
        <v>12</v>
      </c>
      <c r="F1049" s="32"/>
      <c r="G1049" s="68" t="s">
        <v>277</v>
      </c>
      <c r="H1049" s="69">
        <f t="shared" si="443"/>
        <v>385</v>
      </c>
      <c r="I1049" s="70">
        <f t="shared" si="444"/>
        <v>396</v>
      </c>
      <c r="J1049" s="73" t="str">
        <f t="shared" si="445"/>
        <v>--</v>
      </c>
      <c r="K1049" s="32"/>
      <c r="L1049" s="233"/>
      <c r="M1049" s="288" t="s">
        <v>429</v>
      </c>
      <c r="N1049" s="277"/>
      <c r="O1049" s="277"/>
      <c r="P1049" s="277"/>
      <c r="Q1049" s="277"/>
      <c r="R1049" s="277"/>
      <c r="S1049" s="277"/>
      <c r="T1049" s="277"/>
      <c r="U1049" s="278"/>
      <c r="V1049" s="103"/>
      <c r="W1049" s="72"/>
      <c r="X1049" s="72"/>
      <c r="Y1049" s="72"/>
      <c r="Z1049" s="45">
        <f>Z1048+1</f>
        <v>16</v>
      </c>
      <c r="AA1049" s="77">
        <f t="shared" si="446"/>
        <v>181</v>
      </c>
      <c r="AB1049" s="77">
        <f t="shared" si="447"/>
        <v>192</v>
      </c>
      <c r="AC1049" s="72">
        <f t="shared" si="434"/>
        <v>1</v>
      </c>
      <c r="AD1049" s="72">
        <f t="shared" si="435"/>
        <v>1</v>
      </c>
      <c r="AE1049" s="109" t="str">
        <f t="shared" si="436"/>
        <v>385-396</v>
      </c>
      <c r="AF1049" s="109" t="str">
        <f t="shared" si="437"/>
        <v>Y</v>
      </c>
      <c r="AG1049" s="109" t="str">
        <f t="shared" si="438"/>
        <v>A</v>
      </c>
      <c r="AM1049" s="109">
        <f t="shared" si="439"/>
        <v>0</v>
      </c>
      <c r="AN1049" s="109">
        <f t="shared" si="440"/>
        <v>0</v>
      </c>
      <c r="AO1049" s="109" t="str">
        <f t="shared" si="441"/>
        <v>Y</v>
      </c>
      <c r="AQ1049" s="109" t="str">
        <f t="shared" si="442"/>
        <v/>
      </c>
      <c r="BA1049" s="229">
        <f>MOD(SUM(E1042:E1050),12)</f>
        <v>0</v>
      </c>
    </row>
    <row r="1050" spans="1:53" ht="15.75" thickBot="1" x14ac:dyDescent="0.3">
      <c r="A1050" s="88"/>
      <c r="B1050" s="66" t="s">
        <v>286</v>
      </c>
      <c r="C1050" s="67" t="s">
        <v>500</v>
      </c>
      <c r="D1050" s="102"/>
      <c r="E1050" s="32">
        <v>12</v>
      </c>
      <c r="F1050" s="32"/>
      <c r="G1050" s="68" t="s">
        <v>277</v>
      </c>
      <c r="H1050" s="69">
        <f t="shared" si="443"/>
        <v>373</v>
      </c>
      <c r="I1050" s="70">
        <f t="shared" si="444"/>
        <v>384</v>
      </c>
      <c r="J1050" s="73" t="str">
        <f t="shared" si="445"/>
        <v>--</v>
      </c>
      <c r="K1050" s="32"/>
      <c r="L1050" s="233"/>
      <c r="M1050" s="288" t="s">
        <v>429</v>
      </c>
      <c r="N1050" s="277"/>
      <c r="O1050" s="277"/>
      <c r="P1050" s="277"/>
      <c r="Q1050" s="277"/>
      <c r="R1050" s="277"/>
      <c r="S1050" s="277"/>
      <c r="T1050" s="277"/>
      <c r="U1050" s="278"/>
      <c r="V1050" s="103"/>
      <c r="W1050" s="72"/>
      <c r="X1050" s="72"/>
      <c r="Y1050" s="72"/>
      <c r="Z1050" s="45">
        <f>Z1049+1</f>
        <v>17</v>
      </c>
      <c r="AA1050" s="77">
        <f t="shared" si="446"/>
        <v>193</v>
      </c>
      <c r="AB1050" s="77">
        <f t="shared" si="447"/>
        <v>204</v>
      </c>
      <c r="AC1050" s="72">
        <f t="shared" si="434"/>
        <v>1</v>
      </c>
      <c r="AD1050" s="72">
        <f t="shared" si="435"/>
        <v>1</v>
      </c>
      <c r="AE1050" s="109" t="str">
        <f t="shared" si="436"/>
        <v>373-384</v>
      </c>
      <c r="AF1050" s="109" t="str">
        <f t="shared" si="437"/>
        <v>Y</v>
      </c>
      <c r="AG1050" s="109" t="str">
        <f t="shared" si="438"/>
        <v>A</v>
      </c>
      <c r="AM1050" s="109">
        <f t="shared" si="439"/>
        <v>0</v>
      </c>
      <c r="AN1050" s="109">
        <f t="shared" si="440"/>
        <v>0</v>
      </c>
      <c r="AO1050" s="109" t="str">
        <f t="shared" si="441"/>
        <v>Y</v>
      </c>
      <c r="AQ1050" s="109" t="str">
        <f t="shared" si="442"/>
        <v/>
      </c>
      <c r="BA1050" s="229">
        <f>MOD(SUM(E1042:E1051),12)</f>
        <v>0</v>
      </c>
    </row>
    <row r="1051" spans="1:53" ht="15.75" thickBot="1" x14ac:dyDescent="0.3">
      <c r="A1051" s="88"/>
      <c r="B1051" s="66" t="s">
        <v>287</v>
      </c>
      <c r="C1051" s="67"/>
      <c r="D1051" s="102"/>
      <c r="E1051" s="32"/>
      <c r="F1051" s="32"/>
      <c r="G1051" s="68" t="s">
        <v>277</v>
      </c>
      <c r="H1051" s="69">
        <f t="shared" si="443"/>
        <v>0</v>
      </c>
      <c r="I1051" s="70">
        <f t="shared" si="444"/>
        <v>0</v>
      </c>
      <c r="J1051" s="73" t="str">
        <f t="shared" si="445"/>
        <v>--</v>
      </c>
      <c r="K1051" s="32"/>
      <c r="L1051" s="233"/>
      <c r="M1051" s="288"/>
      <c r="N1051" s="277"/>
      <c r="O1051" s="277"/>
      <c r="P1051" s="277"/>
      <c r="Q1051" s="277"/>
      <c r="R1051" s="277"/>
      <c r="S1051" s="277"/>
      <c r="T1051" s="277"/>
      <c r="U1051" s="278"/>
      <c r="V1051" s="103"/>
      <c r="W1051" s="72"/>
      <c r="X1051" s="72"/>
      <c r="Y1051" s="72"/>
      <c r="Z1051" s="45">
        <f>Z1050+1</f>
        <v>18</v>
      </c>
      <c r="AA1051" s="77">
        <f t="shared" si="446"/>
        <v>205</v>
      </c>
      <c r="AB1051" s="77">
        <f t="shared" si="447"/>
        <v>216</v>
      </c>
      <c r="AC1051" s="72">
        <f t="shared" si="434"/>
        <v>1</v>
      </c>
      <c r="AD1051" s="72">
        <f t="shared" si="435"/>
        <v>1</v>
      </c>
      <c r="AE1051" s="109" t="str">
        <f t="shared" si="436"/>
        <v>0-0</v>
      </c>
      <c r="AF1051" s="109" t="str">
        <f t="shared" si="437"/>
        <v>Y</v>
      </c>
      <c r="AG1051" s="109" t="str">
        <f t="shared" si="438"/>
        <v>A</v>
      </c>
      <c r="AM1051" s="109">
        <f t="shared" si="439"/>
        <v>0</v>
      </c>
      <c r="AN1051" s="109">
        <f t="shared" si="440"/>
        <v>0</v>
      </c>
      <c r="AO1051" s="109" t="str">
        <f t="shared" si="441"/>
        <v/>
      </c>
      <c r="AQ1051" s="109" t="str">
        <f t="shared" si="442"/>
        <v/>
      </c>
      <c r="BA1051" s="229">
        <f>MOD(SUM(E1042:E1052),12)</f>
        <v>0</v>
      </c>
    </row>
    <row r="1052" spans="1:53" ht="15.75" thickBot="1" x14ac:dyDescent="0.3">
      <c r="A1052" s="88"/>
      <c r="B1052" s="66" t="s">
        <v>288</v>
      </c>
      <c r="C1052" s="67"/>
      <c r="D1052" s="102"/>
      <c r="E1052" s="32"/>
      <c r="F1052" s="32"/>
      <c r="G1052" s="68" t="s">
        <v>277</v>
      </c>
      <c r="H1052" s="69">
        <f t="shared" si="443"/>
        <v>0</v>
      </c>
      <c r="I1052" s="70">
        <f t="shared" si="444"/>
        <v>0</v>
      </c>
      <c r="J1052" s="73" t="str">
        <f t="shared" si="445"/>
        <v>--</v>
      </c>
      <c r="K1052" s="32"/>
      <c r="L1052" s="233"/>
      <c r="M1052" s="277"/>
      <c r="N1052" s="277"/>
      <c r="O1052" s="277"/>
      <c r="P1052" s="277"/>
      <c r="Q1052" s="277"/>
      <c r="R1052" s="277"/>
      <c r="S1052" s="277"/>
      <c r="T1052" s="277"/>
      <c r="U1052" s="278"/>
      <c r="V1052" s="103"/>
      <c r="W1052" s="84"/>
      <c r="X1052" s="84"/>
      <c r="Y1052" s="72"/>
      <c r="Z1052" s="72"/>
      <c r="AA1052" s="72"/>
      <c r="AB1052" s="72"/>
      <c r="AC1052" s="72">
        <f t="shared" si="434"/>
        <v>1</v>
      </c>
      <c r="AD1052" s="72">
        <f t="shared" si="435"/>
        <v>1</v>
      </c>
      <c r="AE1052" s="109" t="str">
        <f t="shared" si="436"/>
        <v>0-0</v>
      </c>
      <c r="AF1052" s="109" t="str">
        <f t="shared" si="437"/>
        <v>Y</v>
      </c>
      <c r="AG1052" s="109" t="str">
        <f t="shared" si="438"/>
        <v>A</v>
      </c>
      <c r="AM1052" s="109">
        <f t="shared" si="439"/>
        <v>0</v>
      </c>
      <c r="AN1052" s="109">
        <f t="shared" si="440"/>
        <v>0</v>
      </c>
      <c r="AO1052" s="109" t="str">
        <f t="shared" si="441"/>
        <v/>
      </c>
      <c r="AQ1052" s="109" t="str">
        <f t="shared" si="442"/>
        <v/>
      </c>
      <c r="BA1052" s="229">
        <f>MOD(SUM(E1042:E1053),12)</f>
        <v>0</v>
      </c>
    </row>
    <row r="1053" spans="1:53" ht="15.75" thickBot="1" x14ac:dyDescent="0.3">
      <c r="A1053" s="88"/>
      <c r="B1053" s="66" t="s">
        <v>289</v>
      </c>
      <c r="C1053" s="67"/>
      <c r="D1053" s="102"/>
      <c r="E1053" s="32"/>
      <c r="F1053" s="32"/>
      <c r="G1053" s="68" t="s">
        <v>277</v>
      </c>
      <c r="H1053" s="69">
        <f t="shared" si="443"/>
        <v>0</v>
      </c>
      <c r="I1053" s="70">
        <f t="shared" si="444"/>
        <v>0</v>
      </c>
      <c r="J1053" s="73" t="str">
        <f t="shared" si="445"/>
        <v>--</v>
      </c>
      <c r="K1053" s="32"/>
      <c r="L1053" s="233"/>
      <c r="M1053" s="277"/>
      <c r="N1053" s="277"/>
      <c r="O1053" s="277"/>
      <c r="P1053" s="277"/>
      <c r="Q1053" s="277"/>
      <c r="R1053" s="277"/>
      <c r="S1053" s="277"/>
      <c r="T1053" s="277"/>
      <c r="U1053" s="278"/>
      <c r="V1053" s="103"/>
      <c r="W1053" s="84">
        <f>Y1053+1</f>
        <v>61</v>
      </c>
      <c r="X1053" s="84"/>
      <c r="Y1053" s="78">
        <f>SUM(E1042:E1053)</f>
        <v>60</v>
      </c>
      <c r="Z1053" s="72"/>
      <c r="AA1053" s="72"/>
      <c r="AB1053" s="72"/>
      <c r="AC1053" s="72">
        <f t="shared" si="434"/>
        <v>1</v>
      </c>
      <c r="AD1053" s="72">
        <f t="shared" si="435"/>
        <v>1</v>
      </c>
      <c r="AE1053" s="109" t="str">
        <f t="shared" si="436"/>
        <v>0-0</v>
      </c>
      <c r="AF1053" s="109" t="str">
        <f t="shared" si="437"/>
        <v>Y</v>
      </c>
      <c r="AG1053" s="109" t="str">
        <f t="shared" si="438"/>
        <v>A</v>
      </c>
      <c r="AM1053" s="109">
        <f t="shared" si="439"/>
        <v>0</v>
      </c>
      <c r="AN1053" s="109">
        <f t="shared" si="440"/>
        <v>0</v>
      </c>
      <c r="AO1053" s="109" t="str">
        <f t="shared" si="441"/>
        <v/>
      </c>
      <c r="AQ1053" s="109" t="str">
        <f t="shared" si="442"/>
        <v/>
      </c>
      <c r="BA1053" s="229">
        <f>MOD(SUM(E1042:E1054),12)</f>
        <v>0</v>
      </c>
    </row>
    <row r="1054" spans="1:53" ht="15.75" thickBot="1" x14ac:dyDescent="0.3">
      <c r="A1054" s="88"/>
      <c r="B1054" s="66" t="s">
        <v>290</v>
      </c>
      <c r="C1054" s="67"/>
      <c r="D1054" s="102"/>
      <c r="E1054" s="32"/>
      <c r="F1054" s="32"/>
      <c r="G1054" s="68" t="s">
        <v>277</v>
      </c>
      <c r="H1054" s="69">
        <f t="shared" si="443"/>
        <v>0</v>
      </c>
      <c r="I1054" s="70">
        <f t="shared" si="444"/>
        <v>0</v>
      </c>
      <c r="J1054" s="73" t="str">
        <f t="shared" si="445"/>
        <v>--</v>
      </c>
      <c r="K1054" s="32"/>
      <c r="L1054" s="233"/>
      <c r="M1054" s="277"/>
      <c r="N1054" s="277"/>
      <c r="O1054" s="277"/>
      <c r="P1054" s="277"/>
      <c r="Q1054" s="277"/>
      <c r="R1054" s="277"/>
      <c r="S1054" s="277"/>
      <c r="T1054" s="277"/>
      <c r="U1054" s="278"/>
      <c r="V1054" s="103"/>
      <c r="W1054" s="84">
        <f>Y1054+1</f>
        <v>61</v>
      </c>
      <c r="X1054" s="84"/>
      <c r="Y1054" s="78">
        <f>SUM(E1042:E1054)</f>
        <v>60</v>
      </c>
      <c r="Z1054" s="72" t="str">
        <f t="shared" ref="Z1054:Z1066" si="448">IF(OR(AND(E$8=216,C1053="DBL REV",C1054="DBL REV",Y1053&lt;=144,Y1054&gt;144),AND(E$8=216,C1053="TPL REV",C1054="TPL REV",Y1053&lt;=144,Y1054&gt;144),AND(E$8=216,C1053="QD REV",C1054="QD REV",Y1053&lt;=144,Y1054&gt;144)),"ERROR","")</f>
        <v/>
      </c>
      <c r="AA1054" s="72"/>
      <c r="AB1054" s="72"/>
      <c r="AC1054" s="72">
        <f t="shared" si="434"/>
        <v>1</v>
      </c>
      <c r="AD1054" s="72">
        <f t="shared" si="435"/>
        <v>1</v>
      </c>
      <c r="AE1054" s="109" t="str">
        <f t="shared" si="436"/>
        <v>0-0</v>
      </c>
      <c r="AF1054" s="109" t="str">
        <f t="shared" si="437"/>
        <v>Y</v>
      </c>
      <c r="AG1054" s="109" t="str">
        <f t="shared" si="438"/>
        <v>A</v>
      </c>
      <c r="AM1054" s="109">
        <f t="shared" si="439"/>
        <v>0</v>
      </c>
      <c r="AN1054" s="109">
        <f t="shared" si="440"/>
        <v>0</v>
      </c>
      <c r="AO1054" s="109" t="str">
        <f t="shared" si="441"/>
        <v/>
      </c>
      <c r="AQ1054" s="109" t="str">
        <f t="shared" si="442"/>
        <v/>
      </c>
      <c r="BA1054" s="229">
        <f>MOD(SUM(E1042:E1055),12)</f>
        <v>0</v>
      </c>
    </row>
    <row r="1055" spans="1:53" ht="15.75" thickBot="1" x14ac:dyDescent="0.3">
      <c r="A1055" s="88"/>
      <c r="B1055" s="66" t="s">
        <v>291</v>
      </c>
      <c r="C1055" s="67"/>
      <c r="D1055" s="102"/>
      <c r="E1055" s="32"/>
      <c r="F1055" s="32"/>
      <c r="G1055" s="68" t="s">
        <v>277</v>
      </c>
      <c r="H1055" s="69">
        <f t="shared" si="443"/>
        <v>0</v>
      </c>
      <c r="I1055" s="70">
        <f t="shared" si="444"/>
        <v>0</v>
      </c>
      <c r="J1055" s="73" t="str">
        <f t="shared" si="445"/>
        <v>--</v>
      </c>
      <c r="K1055" s="32"/>
      <c r="L1055" s="233"/>
      <c r="M1055" s="277"/>
      <c r="N1055" s="277"/>
      <c r="O1055" s="277"/>
      <c r="P1055" s="277"/>
      <c r="Q1055" s="277"/>
      <c r="R1055" s="277"/>
      <c r="S1055" s="277"/>
      <c r="T1055" s="277"/>
      <c r="U1055" s="278"/>
      <c r="V1055" s="103"/>
      <c r="W1055" s="84">
        <f>Y1055+1</f>
        <v>61</v>
      </c>
      <c r="X1055" s="84"/>
      <c r="Y1055" s="78">
        <f>SUM(E1042:E1055)</f>
        <v>60</v>
      </c>
      <c r="Z1055" s="72" t="str">
        <f t="shared" si="448"/>
        <v/>
      </c>
      <c r="AA1055" s="72"/>
      <c r="AB1055" s="72"/>
      <c r="AC1055" s="72">
        <f t="shared" si="434"/>
        <v>1</v>
      </c>
      <c r="AD1055" s="72">
        <f t="shared" si="435"/>
        <v>1</v>
      </c>
      <c r="AE1055" s="109" t="str">
        <f t="shared" si="436"/>
        <v>0-0</v>
      </c>
      <c r="AF1055" s="109" t="str">
        <f t="shared" si="437"/>
        <v>Y</v>
      </c>
      <c r="AG1055" s="109" t="str">
        <f t="shared" si="438"/>
        <v>A</v>
      </c>
      <c r="AM1055" s="109">
        <f t="shared" si="439"/>
        <v>0</v>
      </c>
      <c r="AN1055" s="109">
        <f t="shared" si="440"/>
        <v>0</v>
      </c>
      <c r="AO1055" s="109" t="str">
        <f t="shared" si="441"/>
        <v/>
      </c>
      <c r="AQ1055" s="109" t="str">
        <f t="shared" si="442"/>
        <v/>
      </c>
      <c r="BA1055" s="229">
        <f>MOD(SUM(E1042:E1056),12)</f>
        <v>0</v>
      </c>
    </row>
    <row r="1056" spans="1:53" ht="15.75" thickBot="1" x14ac:dyDescent="0.3">
      <c r="A1056" s="88"/>
      <c r="B1056" s="66" t="s">
        <v>292</v>
      </c>
      <c r="C1056" s="67"/>
      <c r="D1056" s="102"/>
      <c r="E1056" s="32"/>
      <c r="F1056" s="32"/>
      <c r="G1056" s="68" t="s">
        <v>277</v>
      </c>
      <c r="H1056" s="69">
        <f t="shared" si="443"/>
        <v>0</v>
      </c>
      <c r="I1056" s="70">
        <f t="shared" si="444"/>
        <v>0</v>
      </c>
      <c r="J1056" s="73" t="str">
        <f t="shared" si="445"/>
        <v>--</v>
      </c>
      <c r="K1056" s="32"/>
      <c r="L1056" s="233"/>
      <c r="M1056" s="277"/>
      <c r="N1056" s="277"/>
      <c r="O1056" s="277"/>
      <c r="P1056" s="277"/>
      <c r="Q1056" s="277"/>
      <c r="R1056" s="277"/>
      <c r="S1056" s="277"/>
      <c r="T1056" s="277"/>
      <c r="U1056" s="278"/>
      <c r="V1056" s="103"/>
      <c r="W1056" s="84">
        <f>Y1056+1</f>
        <v>61</v>
      </c>
      <c r="X1056" s="84"/>
      <c r="Y1056" s="78">
        <f>SUM(E1042:E1056)</f>
        <v>60</v>
      </c>
      <c r="Z1056" s="72" t="str">
        <f t="shared" si="448"/>
        <v/>
      </c>
      <c r="AA1056" s="72" t="str">
        <f t="shared" ref="AA1056:AA1068" si="449">IF(AND(C1054&lt;&gt;"Field SPL",W1053&lt;=144,Y1054&gt;144),"ERROR","")</f>
        <v/>
      </c>
      <c r="AB1056" s="72"/>
      <c r="AC1056" s="72">
        <f t="shared" si="434"/>
        <v>1</v>
      </c>
      <c r="AD1056" s="72">
        <f t="shared" si="435"/>
        <v>1</v>
      </c>
      <c r="AE1056" s="109" t="str">
        <f t="shared" si="436"/>
        <v>0-0</v>
      </c>
      <c r="AF1056" s="109" t="str">
        <f t="shared" si="437"/>
        <v>Y</v>
      </c>
      <c r="AG1056" s="109" t="str">
        <f t="shared" si="438"/>
        <v>A</v>
      </c>
      <c r="AM1056" s="109">
        <f t="shared" si="439"/>
        <v>0</v>
      </c>
      <c r="AN1056" s="109">
        <f t="shared" si="440"/>
        <v>0</v>
      </c>
      <c r="AO1056" s="109" t="str">
        <f t="shared" si="441"/>
        <v/>
      </c>
      <c r="AQ1056" s="109" t="str">
        <f t="shared" si="442"/>
        <v/>
      </c>
      <c r="BA1056" s="229">
        <f>MOD(SUM(E1042:E1057),12)</f>
        <v>0</v>
      </c>
    </row>
    <row r="1057" spans="1:53" ht="15.75" thickBot="1" x14ac:dyDescent="0.3">
      <c r="A1057" s="88"/>
      <c r="B1057" s="66" t="s">
        <v>293</v>
      </c>
      <c r="C1057" s="67"/>
      <c r="D1057" s="102"/>
      <c r="E1057" s="32"/>
      <c r="F1057" s="32"/>
      <c r="G1057" s="68" t="s">
        <v>277</v>
      </c>
      <c r="H1057" s="69">
        <f t="shared" si="443"/>
        <v>0</v>
      </c>
      <c r="I1057" s="70">
        <f t="shared" si="444"/>
        <v>0</v>
      </c>
      <c r="J1057" s="73" t="str">
        <f t="shared" si="445"/>
        <v>--</v>
      </c>
      <c r="K1057" s="32"/>
      <c r="L1057" s="233"/>
      <c r="M1057" s="277"/>
      <c r="N1057" s="277"/>
      <c r="O1057" s="277"/>
      <c r="P1057" s="277"/>
      <c r="Q1057" s="277"/>
      <c r="R1057" s="277"/>
      <c r="S1057" s="277"/>
      <c r="T1057" s="277"/>
      <c r="U1057" s="278"/>
      <c r="V1057" s="103"/>
      <c r="W1057" s="84">
        <f t="shared" ref="W1057:W1065" si="450">Y1057+1</f>
        <v>61</v>
      </c>
      <c r="X1057" s="84"/>
      <c r="Y1057" s="78">
        <f>SUM(E1042:E1057)</f>
        <v>60</v>
      </c>
      <c r="Z1057" s="72" t="str">
        <f t="shared" si="448"/>
        <v/>
      </c>
      <c r="AA1057" s="72" t="str">
        <f t="shared" si="449"/>
        <v/>
      </c>
      <c r="AB1057" s="72"/>
      <c r="AC1057" s="72">
        <f t="shared" si="434"/>
        <v>1</v>
      </c>
      <c r="AD1057" s="72">
        <f t="shared" si="435"/>
        <v>1</v>
      </c>
      <c r="AE1057" s="109" t="str">
        <f t="shared" si="436"/>
        <v>0-0</v>
      </c>
      <c r="AF1057" s="109" t="str">
        <f t="shared" si="437"/>
        <v>Y</v>
      </c>
      <c r="AG1057" s="109" t="str">
        <f t="shared" si="438"/>
        <v>A</v>
      </c>
      <c r="AM1057" s="109">
        <f t="shared" si="439"/>
        <v>0</v>
      </c>
      <c r="AN1057" s="109">
        <f t="shared" si="440"/>
        <v>0</v>
      </c>
      <c r="AO1057" s="109" t="str">
        <f t="shared" si="441"/>
        <v/>
      </c>
      <c r="AQ1057" s="109" t="str">
        <f t="shared" si="442"/>
        <v/>
      </c>
      <c r="BA1057" s="229">
        <f>MOD(SUM(E1042:E1058),12)</f>
        <v>0</v>
      </c>
    </row>
    <row r="1058" spans="1:53" ht="15.75" thickBot="1" x14ac:dyDescent="0.3">
      <c r="A1058" s="88"/>
      <c r="B1058" s="66" t="s">
        <v>294</v>
      </c>
      <c r="C1058" s="67"/>
      <c r="D1058" s="102"/>
      <c r="E1058" s="32"/>
      <c r="F1058" s="32"/>
      <c r="G1058" s="68" t="s">
        <v>277</v>
      </c>
      <c r="H1058" s="69">
        <f t="shared" si="443"/>
        <v>0</v>
      </c>
      <c r="I1058" s="70">
        <f t="shared" si="444"/>
        <v>0</v>
      </c>
      <c r="J1058" s="73" t="str">
        <f t="shared" si="445"/>
        <v>--</v>
      </c>
      <c r="K1058" s="32"/>
      <c r="L1058" s="233"/>
      <c r="M1058" s="277"/>
      <c r="N1058" s="277"/>
      <c r="O1058" s="277"/>
      <c r="P1058" s="277"/>
      <c r="Q1058" s="277"/>
      <c r="R1058" s="277"/>
      <c r="S1058" s="277"/>
      <c r="T1058" s="277"/>
      <c r="U1058" s="278"/>
      <c r="V1058" s="103"/>
      <c r="W1058" s="84">
        <f t="shared" si="450"/>
        <v>61</v>
      </c>
      <c r="X1058" s="84"/>
      <c r="Y1058" s="78">
        <f>SUM(E1042:E1058)</f>
        <v>60</v>
      </c>
      <c r="Z1058" s="72" t="str">
        <f t="shared" si="448"/>
        <v/>
      </c>
      <c r="AA1058" s="72" t="str">
        <f t="shared" si="449"/>
        <v/>
      </c>
      <c r="AB1058" s="72"/>
      <c r="AC1058" s="72">
        <f t="shared" si="434"/>
        <v>1</v>
      </c>
      <c r="AD1058" s="72">
        <f t="shared" si="435"/>
        <v>1</v>
      </c>
      <c r="AE1058" s="109" t="str">
        <f t="shared" si="436"/>
        <v>0-0</v>
      </c>
      <c r="AF1058" s="109" t="str">
        <f t="shared" si="437"/>
        <v>Y</v>
      </c>
      <c r="AG1058" s="109" t="str">
        <f t="shared" si="438"/>
        <v>A</v>
      </c>
      <c r="AM1058" s="109">
        <f t="shared" si="439"/>
        <v>0</v>
      </c>
      <c r="AN1058" s="109">
        <f t="shared" si="440"/>
        <v>0</v>
      </c>
      <c r="AO1058" s="109" t="str">
        <f t="shared" si="441"/>
        <v/>
      </c>
      <c r="AQ1058" s="109" t="str">
        <f t="shared" si="442"/>
        <v/>
      </c>
      <c r="BA1058" s="229">
        <f>MOD(SUM(E1042:E1059),12)</f>
        <v>0</v>
      </c>
    </row>
    <row r="1059" spans="1:53" ht="15.75" thickBot="1" x14ac:dyDescent="0.3">
      <c r="A1059" s="88"/>
      <c r="B1059" s="66" t="s">
        <v>295</v>
      </c>
      <c r="C1059" s="67"/>
      <c r="D1059" s="102"/>
      <c r="E1059" s="32"/>
      <c r="F1059" s="32"/>
      <c r="G1059" s="68" t="s">
        <v>277</v>
      </c>
      <c r="H1059" s="69">
        <f t="shared" si="443"/>
        <v>0</v>
      </c>
      <c r="I1059" s="70">
        <f t="shared" si="444"/>
        <v>0</v>
      </c>
      <c r="J1059" s="73" t="str">
        <f t="shared" si="445"/>
        <v>--</v>
      </c>
      <c r="K1059" s="32"/>
      <c r="L1059" s="233"/>
      <c r="M1059" s="277"/>
      <c r="N1059" s="277"/>
      <c r="O1059" s="277"/>
      <c r="P1059" s="277"/>
      <c r="Q1059" s="277"/>
      <c r="R1059" s="277"/>
      <c r="S1059" s="277"/>
      <c r="T1059" s="277"/>
      <c r="U1059" s="278"/>
      <c r="V1059" s="103"/>
      <c r="W1059" s="84">
        <f t="shared" si="450"/>
        <v>61</v>
      </c>
      <c r="X1059" s="84"/>
      <c r="Y1059" s="78">
        <f>SUM(E1042:E1059)</f>
        <v>60</v>
      </c>
      <c r="Z1059" s="72" t="str">
        <f t="shared" si="448"/>
        <v/>
      </c>
      <c r="AA1059" s="72" t="str">
        <f t="shared" si="449"/>
        <v/>
      </c>
      <c r="AB1059" s="72"/>
      <c r="AC1059" s="72">
        <f t="shared" si="434"/>
        <v>1</v>
      </c>
      <c r="AD1059" s="72">
        <f t="shared" si="435"/>
        <v>1</v>
      </c>
      <c r="AE1059" s="109" t="str">
        <f t="shared" si="436"/>
        <v>0-0</v>
      </c>
      <c r="AF1059" s="109" t="str">
        <f t="shared" si="437"/>
        <v>Y</v>
      </c>
      <c r="AG1059" s="109" t="str">
        <f t="shared" si="438"/>
        <v>A</v>
      </c>
      <c r="AM1059" s="109">
        <f t="shared" si="439"/>
        <v>0</v>
      </c>
      <c r="AN1059" s="109">
        <f t="shared" si="440"/>
        <v>0</v>
      </c>
      <c r="AO1059" s="109" t="str">
        <f t="shared" si="441"/>
        <v/>
      </c>
      <c r="AQ1059" s="109" t="str">
        <f t="shared" si="442"/>
        <v/>
      </c>
      <c r="BA1059" s="229">
        <f>MOD(SUM(E1042:E1060),12)</f>
        <v>0</v>
      </c>
    </row>
    <row r="1060" spans="1:53" ht="15.75" thickBot="1" x14ac:dyDescent="0.3">
      <c r="A1060" s="88"/>
      <c r="B1060" s="66" t="s">
        <v>296</v>
      </c>
      <c r="C1060" s="67"/>
      <c r="D1060" s="102"/>
      <c r="E1060" s="32"/>
      <c r="F1060" s="32"/>
      <c r="G1060" s="68" t="s">
        <v>277</v>
      </c>
      <c r="H1060" s="69">
        <f t="shared" si="443"/>
        <v>0</v>
      </c>
      <c r="I1060" s="70">
        <f t="shared" si="444"/>
        <v>0</v>
      </c>
      <c r="J1060" s="73" t="str">
        <f t="shared" si="445"/>
        <v>--</v>
      </c>
      <c r="K1060" s="32"/>
      <c r="L1060" s="233"/>
      <c r="M1060" s="277"/>
      <c r="N1060" s="277"/>
      <c r="O1060" s="277"/>
      <c r="P1060" s="277"/>
      <c r="Q1060" s="277"/>
      <c r="R1060" s="277"/>
      <c r="S1060" s="277"/>
      <c r="T1060" s="277"/>
      <c r="U1060" s="278"/>
      <c r="V1060" s="103"/>
      <c r="W1060" s="84">
        <f t="shared" si="450"/>
        <v>61</v>
      </c>
      <c r="X1060" s="84"/>
      <c r="Y1060" s="78">
        <f>SUM(E1042:E1060)</f>
        <v>60</v>
      </c>
      <c r="Z1060" s="72" t="str">
        <f t="shared" si="448"/>
        <v/>
      </c>
      <c r="AA1060" s="72" t="str">
        <f t="shared" si="449"/>
        <v/>
      </c>
      <c r="AB1060" s="72"/>
      <c r="AC1060" s="72">
        <f t="shared" si="434"/>
        <v>1</v>
      </c>
      <c r="AD1060" s="72">
        <f t="shared" si="435"/>
        <v>1</v>
      </c>
      <c r="AE1060" s="109" t="str">
        <f t="shared" si="436"/>
        <v>0-0</v>
      </c>
      <c r="AF1060" s="109" t="str">
        <f t="shared" si="437"/>
        <v>Y</v>
      </c>
      <c r="AG1060" s="109" t="str">
        <f t="shared" si="438"/>
        <v>A</v>
      </c>
      <c r="AM1060" s="109">
        <f t="shared" si="439"/>
        <v>0</v>
      </c>
      <c r="AN1060" s="109">
        <f t="shared" si="440"/>
        <v>0</v>
      </c>
      <c r="AO1060" s="109" t="str">
        <f t="shared" si="441"/>
        <v/>
      </c>
      <c r="AQ1060" s="109" t="str">
        <f t="shared" si="442"/>
        <v/>
      </c>
      <c r="BA1060" s="229">
        <f>MOD(SUM(E1042:E1061),12)</f>
        <v>0</v>
      </c>
    </row>
    <row r="1061" spans="1:53" ht="15.75" thickBot="1" x14ac:dyDescent="0.3">
      <c r="A1061" s="88"/>
      <c r="B1061" s="66" t="s">
        <v>297</v>
      </c>
      <c r="C1061" s="67"/>
      <c r="D1061" s="102"/>
      <c r="E1061" s="32"/>
      <c r="F1061" s="32"/>
      <c r="G1061" s="68" t="s">
        <v>277</v>
      </c>
      <c r="H1061" s="69">
        <f t="shared" si="443"/>
        <v>0</v>
      </c>
      <c r="I1061" s="70">
        <f t="shared" si="444"/>
        <v>0</v>
      </c>
      <c r="J1061" s="73" t="str">
        <f t="shared" si="445"/>
        <v>--</v>
      </c>
      <c r="K1061" s="32"/>
      <c r="L1061" s="233"/>
      <c r="M1061" s="277"/>
      <c r="N1061" s="277"/>
      <c r="O1061" s="277"/>
      <c r="P1061" s="277"/>
      <c r="Q1061" s="277"/>
      <c r="R1061" s="277"/>
      <c r="S1061" s="277"/>
      <c r="T1061" s="277"/>
      <c r="U1061" s="278"/>
      <c r="V1061" s="103"/>
      <c r="W1061" s="84">
        <f t="shared" si="450"/>
        <v>61</v>
      </c>
      <c r="X1061" s="84"/>
      <c r="Y1061" s="78">
        <f>SUM(E1042:E1061)</f>
        <v>60</v>
      </c>
      <c r="Z1061" s="72" t="str">
        <f t="shared" si="448"/>
        <v/>
      </c>
      <c r="AA1061" s="72" t="str">
        <f t="shared" si="449"/>
        <v/>
      </c>
      <c r="AB1061" s="72"/>
      <c r="AC1061" s="72">
        <f t="shared" si="434"/>
        <v>1</v>
      </c>
      <c r="AD1061" s="72">
        <f t="shared" si="435"/>
        <v>1</v>
      </c>
      <c r="AE1061" s="109" t="str">
        <f t="shared" si="436"/>
        <v>0-0</v>
      </c>
      <c r="AF1061" s="109" t="str">
        <f t="shared" si="437"/>
        <v>Y</v>
      </c>
      <c r="AG1061" s="109" t="str">
        <f t="shared" si="438"/>
        <v>A</v>
      </c>
      <c r="AM1061" s="109">
        <f t="shared" si="439"/>
        <v>0</v>
      </c>
      <c r="AN1061" s="109">
        <f t="shared" si="440"/>
        <v>0</v>
      </c>
      <c r="AO1061" s="109" t="str">
        <f t="shared" si="441"/>
        <v/>
      </c>
      <c r="AQ1061" s="109" t="str">
        <f t="shared" si="442"/>
        <v/>
      </c>
      <c r="BA1061" s="229">
        <f>MOD(SUM(E1042:E1062),12)</f>
        <v>0</v>
      </c>
    </row>
    <row r="1062" spans="1:53" ht="15.75" thickBot="1" x14ac:dyDescent="0.3">
      <c r="A1062" s="88"/>
      <c r="B1062" s="66" t="s">
        <v>298</v>
      </c>
      <c r="C1062" s="67"/>
      <c r="D1062" s="102"/>
      <c r="E1062" s="32"/>
      <c r="F1062" s="32"/>
      <c r="G1062" s="68" t="s">
        <v>277</v>
      </c>
      <c r="H1062" s="69">
        <f t="shared" si="443"/>
        <v>0</v>
      </c>
      <c r="I1062" s="70">
        <f t="shared" si="444"/>
        <v>0</v>
      </c>
      <c r="J1062" s="73" t="str">
        <f t="shared" si="445"/>
        <v>--</v>
      </c>
      <c r="K1062" s="32"/>
      <c r="L1062" s="233"/>
      <c r="M1062" s="277"/>
      <c r="N1062" s="277"/>
      <c r="O1062" s="277"/>
      <c r="P1062" s="277"/>
      <c r="Q1062" s="277"/>
      <c r="R1062" s="277"/>
      <c r="S1062" s="277"/>
      <c r="T1062" s="277"/>
      <c r="U1062" s="278"/>
      <c r="V1062" s="103"/>
      <c r="W1062" s="84">
        <f t="shared" si="450"/>
        <v>61</v>
      </c>
      <c r="X1062" s="84"/>
      <c r="Y1062" s="78">
        <f>SUM(E1042:E1062)</f>
        <v>60</v>
      </c>
      <c r="Z1062" s="72" t="str">
        <f t="shared" si="448"/>
        <v/>
      </c>
      <c r="AA1062" s="72" t="str">
        <f t="shared" si="449"/>
        <v/>
      </c>
      <c r="AB1062" s="72"/>
      <c r="AC1062" s="72">
        <f t="shared" si="434"/>
        <v>1</v>
      </c>
      <c r="AD1062" s="72">
        <f t="shared" si="435"/>
        <v>1</v>
      </c>
      <c r="AE1062" s="109" t="str">
        <f t="shared" si="436"/>
        <v>0-0</v>
      </c>
      <c r="AF1062" s="109" t="str">
        <f t="shared" si="437"/>
        <v>Y</v>
      </c>
      <c r="AG1062" s="109" t="str">
        <f t="shared" si="438"/>
        <v>A</v>
      </c>
      <c r="AM1062" s="109">
        <f t="shared" si="439"/>
        <v>0</v>
      </c>
      <c r="AN1062" s="109">
        <f t="shared" si="440"/>
        <v>0</v>
      </c>
      <c r="AO1062" s="109" t="str">
        <f t="shared" si="441"/>
        <v/>
      </c>
      <c r="AQ1062" s="109" t="str">
        <f t="shared" si="442"/>
        <v/>
      </c>
      <c r="BA1062" s="229">
        <f>MOD(SUM(E1042:E1063),12)</f>
        <v>0</v>
      </c>
    </row>
    <row r="1063" spans="1:53" ht="15.75" thickBot="1" x14ac:dyDescent="0.3">
      <c r="A1063" s="88"/>
      <c r="B1063" s="66" t="s">
        <v>299</v>
      </c>
      <c r="C1063" s="67"/>
      <c r="D1063" s="102"/>
      <c r="E1063" s="32"/>
      <c r="F1063" s="32"/>
      <c r="G1063" s="68" t="s">
        <v>277</v>
      </c>
      <c r="H1063" s="69">
        <f t="shared" si="443"/>
        <v>0</v>
      </c>
      <c r="I1063" s="70">
        <f t="shared" si="444"/>
        <v>0</v>
      </c>
      <c r="J1063" s="73" t="str">
        <f t="shared" si="445"/>
        <v>--</v>
      </c>
      <c r="K1063" s="32"/>
      <c r="L1063" s="233"/>
      <c r="M1063" s="277"/>
      <c r="N1063" s="277"/>
      <c r="O1063" s="277"/>
      <c r="P1063" s="277"/>
      <c r="Q1063" s="277"/>
      <c r="R1063" s="277"/>
      <c r="S1063" s="277"/>
      <c r="T1063" s="277"/>
      <c r="U1063" s="278"/>
      <c r="V1063" s="103"/>
      <c r="W1063" s="84">
        <f t="shared" si="450"/>
        <v>61</v>
      </c>
      <c r="X1063" s="84"/>
      <c r="Y1063" s="78">
        <f>SUM(E1042:E1063)</f>
        <v>60</v>
      </c>
      <c r="Z1063" s="72" t="str">
        <f t="shared" si="448"/>
        <v/>
      </c>
      <c r="AA1063" s="72" t="str">
        <f t="shared" si="449"/>
        <v/>
      </c>
      <c r="AB1063" s="72"/>
      <c r="AC1063" s="72">
        <f t="shared" si="434"/>
        <v>1</v>
      </c>
      <c r="AD1063" s="72">
        <f t="shared" si="435"/>
        <v>1</v>
      </c>
      <c r="AE1063" s="109" t="str">
        <f t="shared" si="436"/>
        <v>0-0</v>
      </c>
      <c r="AF1063" s="109" t="str">
        <f t="shared" si="437"/>
        <v>Y</v>
      </c>
      <c r="AG1063" s="109" t="str">
        <f t="shared" si="438"/>
        <v>A</v>
      </c>
      <c r="AM1063" s="109">
        <f t="shared" si="439"/>
        <v>0</v>
      </c>
      <c r="AN1063" s="109">
        <f t="shared" si="440"/>
        <v>0</v>
      </c>
      <c r="AO1063" s="109" t="str">
        <f t="shared" si="441"/>
        <v/>
      </c>
      <c r="AQ1063" s="109" t="str">
        <f t="shared" si="442"/>
        <v/>
      </c>
      <c r="BA1063" s="229">
        <f>MOD(SUM(E1042:E1064),12)</f>
        <v>0</v>
      </c>
    </row>
    <row r="1064" spans="1:53" ht="15.75" thickBot="1" x14ac:dyDescent="0.3">
      <c r="A1064" s="88"/>
      <c r="B1064" s="66" t="s">
        <v>300</v>
      </c>
      <c r="C1064" s="67"/>
      <c r="D1064" s="102"/>
      <c r="E1064" s="32"/>
      <c r="F1064" s="32"/>
      <c r="G1064" s="68" t="s">
        <v>277</v>
      </c>
      <c r="H1064" s="69">
        <f t="shared" si="443"/>
        <v>0</v>
      </c>
      <c r="I1064" s="70">
        <f t="shared" si="444"/>
        <v>0</v>
      </c>
      <c r="J1064" s="73" t="str">
        <f t="shared" si="445"/>
        <v>--</v>
      </c>
      <c r="K1064" s="32"/>
      <c r="L1064" s="233"/>
      <c r="M1064" s="277"/>
      <c r="N1064" s="277"/>
      <c r="O1064" s="277"/>
      <c r="P1064" s="277"/>
      <c r="Q1064" s="277"/>
      <c r="R1064" s="277"/>
      <c r="S1064" s="277"/>
      <c r="T1064" s="277"/>
      <c r="U1064" s="278"/>
      <c r="V1064" s="103"/>
      <c r="W1064" s="84">
        <f t="shared" si="450"/>
        <v>61</v>
      </c>
      <c r="X1064" s="84"/>
      <c r="Y1064" s="78">
        <f>SUM(E1042:E1064)</f>
        <v>60</v>
      </c>
      <c r="Z1064" s="72" t="str">
        <f t="shared" si="448"/>
        <v/>
      </c>
      <c r="AA1064" s="72" t="str">
        <f t="shared" si="449"/>
        <v/>
      </c>
      <c r="AB1064" s="72"/>
      <c r="AC1064" s="72">
        <f t="shared" si="434"/>
        <v>1</v>
      </c>
      <c r="AD1064" s="72">
        <f t="shared" si="435"/>
        <v>1</v>
      </c>
      <c r="AE1064" s="109" t="str">
        <f t="shared" si="436"/>
        <v>0-0</v>
      </c>
      <c r="AF1064" s="109" t="str">
        <f t="shared" si="437"/>
        <v>Y</v>
      </c>
      <c r="AG1064" s="109" t="str">
        <f t="shared" si="438"/>
        <v>A</v>
      </c>
      <c r="AM1064" s="109">
        <f t="shared" si="439"/>
        <v>0</v>
      </c>
      <c r="AN1064" s="109">
        <f t="shared" si="440"/>
        <v>0</v>
      </c>
      <c r="AO1064" s="109" t="str">
        <f t="shared" si="441"/>
        <v/>
      </c>
      <c r="AQ1064" s="109" t="str">
        <f t="shared" si="442"/>
        <v/>
      </c>
      <c r="BA1064" s="229">
        <f>MOD(SUM(E1042:E1065),12)</f>
        <v>0</v>
      </c>
    </row>
    <row r="1065" spans="1:53" ht="15.75" thickBot="1" x14ac:dyDescent="0.3">
      <c r="A1065" s="88"/>
      <c r="B1065" s="66" t="s">
        <v>301</v>
      </c>
      <c r="C1065" s="67"/>
      <c r="D1065" s="102"/>
      <c r="E1065" s="32"/>
      <c r="F1065" s="32"/>
      <c r="G1065" s="68" t="s">
        <v>277</v>
      </c>
      <c r="H1065" s="69">
        <f t="shared" si="443"/>
        <v>0</v>
      </c>
      <c r="I1065" s="70">
        <f t="shared" si="444"/>
        <v>0</v>
      </c>
      <c r="J1065" s="73" t="str">
        <f t="shared" si="445"/>
        <v>--</v>
      </c>
      <c r="K1065" s="32"/>
      <c r="L1065" s="233"/>
      <c r="M1065" s="277"/>
      <c r="N1065" s="277"/>
      <c r="O1065" s="277"/>
      <c r="P1065" s="277"/>
      <c r="Q1065" s="277"/>
      <c r="R1065" s="277"/>
      <c r="S1065" s="277"/>
      <c r="T1065" s="277"/>
      <c r="U1065" s="278"/>
      <c r="V1065" s="103"/>
      <c r="W1065" s="84">
        <f t="shared" si="450"/>
        <v>61</v>
      </c>
      <c r="X1065" s="84"/>
      <c r="Y1065" s="78">
        <f>SUM(E1042:E1065)</f>
        <v>60</v>
      </c>
      <c r="Z1065" s="72" t="str">
        <f t="shared" si="448"/>
        <v/>
      </c>
      <c r="AA1065" s="72" t="str">
        <f t="shared" si="449"/>
        <v/>
      </c>
      <c r="AB1065" s="72"/>
      <c r="AC1065" s="72">
        <f t="shared" si="434"/>
        <v>1</v>
      </c>
      <c r="AD1065" s="72">
        <f t="shared" si="435"/>
        <v>1</v>
      </c>
      <c r="AE1065" s="109" t="str">
        <f t="shared" si="436"/>
        <v>0-0</v>
      </c>
      <c r="AF1065" s="109" t="str">
        <f t="shared" si="437"/>
        <v>Y</v>
      </c>
      <c r="AG1065" s="109" t="str">
        <f t="shared" si="438"/>
        <v>A</v>
      </c>
      <c r="AM1065" s="109">
        <f t="shared" si="439"/>
        <v>0</v>
      </c>
      <c r="AN1065" s="109">
        <f t="shared" si="440"/>
        <v>0</v>
      </c>
      <c r="AO1065" s="109" t="str">
        <f t="shared" si="441"/>
        <v/>
      </c>
      <c r="AQ1065" s="109" t="str">
        <f t="shared" si="442"/>
        <v/>
      </c>
      <c r="BA1065" s="229">
        <f>MOD(SUM(E1042:E1066),12)</f>
        <v>0</v>
      </c>
    </row>
    <row r="1066" spans="1:53" ht="15.75" thickBot="1" x14ac:dyDescent="0.3">
      <c r="A1066" s="88"/>
      <c r="B1066" s="66" t="s">
        <v>302</v>
      </c>
      <c r="C1066" s="67"/>
      <c r="D1066" s="102"/>
      <c r="E1066" s="32"/>
      <c r="F1066" s="32"/>
      <c r="G1066" s="68" t="s">
        <v>277</v>
      </c>
      <c r="H1066" s="69">
        <f t="shared" si="443"/>
        <v>0</v>
      </c>
      <c r="I1066" s="70">
        <f t="shared" si="444"/>
        <v>0</v>
      </c>
      <c r="J1066" s="73" t="str">
        <f t="shared" si="445"/>
        <v>--</v>
      </c>
      <c r="K1066" s="32"/>
      <c r="L1066" s="234"/>
      <c r="M1066" s="277"/>
      <c r="N1066" s="277"/>
      <c r="O1066" s="277"/>
      <c r="P1066" s="277"/>
      <c r="Q1066" s="277"/>
      <c r="R1066" s="277"/>
      <c r="S1066" s="277"/>
      <c r="T1066" s="277"/>
      <c r="U1066" s="278"/>
      <c r="V1066" s="103"/>
      <c r="W1066" s="72"/>
      <c r="X1066" s="72"/>
      <c r="Y1066" s="78">
        <f>SUM(E1042:E1066)</f>
        <v>60</v>
      </c>
      <c r="Z1066" s="72" t="str">
        <f t="shared" si="448"/>
        <v/>
      </c>
      <c r="AA1066" s="72" t="str">
        <f t="shared" si="449"/>
        <v/>
      </c>
      <c r="AB1066" s="72"/>
      <c r="AC1066" s="72">
        <f t="shared" si="434"/>
        <v>1</v>
      </c>
      <c r="AD1066" s="72">
        <f t="shared" si="435"/>
        <v>1</v>
      </c>
      <c r="AE1066" s="109" t="str">
        <f t="shared" si="436"/>
        <v>0-0</v>
      </c>
      <c r="AF1066" s="109" t="str">
        <f t="shared" si="437"/>
        <v>Y</v>
      </c>
      <c r="AG1066" s="109" t="str">
        <f t="shared" si="438"/>
        <v>A</v>
      </c>
      <c r="AM1066" s="109">
        <f t="shared" si="439"/>
        <v>0</v>
      </c>
      <c r="AN1066" s="109">
        <f t="shared" si="440"/>
        <v>0</v>
      </c>
      <c r="AO1066" s="109" t="str">
        <f t="shared" si="441"/>
        <v/>
      </c>
      <c r="AQ1066" s="109" t="str">
        <f t="shared" si="442"/>
        <v/>
      </c>
      <c r="BA1066" s="228"/>
    </row>
    <row r="1067" spans="1:53" ht="16.5" thickBot="1" x14ac:dyDescent="0.3">
      <c r="A1067" s="88"/>
      <c r="B1067" s="319" t="s">
        <v>355</v>
      </c>
      <c r="C1067" s="320"/>
      <c r="D1067" s="79"/>
      <c r="E1067" s="80"/>
      <c r="F1067" s="80"/>
      <c r="G1067" s="81"/>
      <c r="H1067" s="192"/>
      <c r="I1067" s="192"/>
      <c r="J1067" s="192"/>
      <c r="K1067" s="82"/>
      <c r="L1067" s="319" t="s">
        <v>306</v>
      </c>
      <c r="M1067" s="330"/>
      <c r="N1067" s="330"/>
      <c r="O1067" s="330"/>
      <c r="P1067" s="330"/>
      <c r="Q1067" s="330"/>
      <c r="R1067" s="330"/>
      <c r="S1067" s="330"/>
      <c r="T1067" s="330"/>
      <c r="U1067" s="320"/>
      <c r="V1067" s="104"/>
      <c r="W1067" s="72"/>
      <c r="X1067" s="72"/>
      <c r="Y1067" s="72"/>
      <c r="Z1067" s="72"/>
      <c r="AA1067" s="72" t="str">
        <f t="shared" si="449"/>
        <v/>
      </c>
      <c r="AB1067" s="72"/>
      <c r="AC1067" s="72">
        <f>SUM(AC1042:AC1066)</f>
        <v>25</v>
      </c>
      <c r="AD1067" s="72">
        <f>SUM(AD1042:AD1066)</f>
        <v>19</v>
      </c>
      <c r="AM1067" s="109">
        <f>SUM(AM1042:AM1066)</f>
        <v>0</v>
      </c>
      <c r="AN1067" s="109">
        <f>SUM(AN1042:AN1066)</f>
        <v>0</v>
      </c>
      <c r="AO1067" s="109">
        <f>((COUNTIF(AO1042:AO1066,"Y")/3)*2)</f>
        <v>2</v>
      </c>
      <c r="AP1067" s="109">
        <f>(COUNTIF(AO1042:AO1066,"Y")/3)</f>
        <v>1</v>
      </c>
      <c r="AQ1067" s="109">
        <f>(COUNTIF(AQ1042:AQ1066,"Y")/2)</f>
        <v>0</v>
      </c>
      <c r="AR1067" s="109">
        <f>(COUNTIF(AQ1042:AQ1066,"Y")/2)</f>
        <v>0</v>
      </c>
      <c r="BA1067" s="228"/>
    </row>
    <row r="1068" spans="1:53" ht="16.5" thickBot="1" x14ac:dyDescent="0.3">
      <c r="A1068" s="88"/>
      <c r="B1068" s="319" t="s">
        <v>307</v>
      </c>
      <c r="C1068" s="320"/>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9"/>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312" t="s">
        <v>222</v>
      </c>
      <c r="C1072" s="313"/>
      <c r="D1072" s="314" t="s">
        <v>223</v>
      </c>
      <c r="E1072" s="305"/>
      <c r="F1072" s="88"/>
      <c r="G1072" s="315" t="s">
        <v>224</v>
      </c>
      <c r="H1072" s="316"/>
      <c r="I1072" s="28">
        <f>SUM(E1083:E1107)</f>
        <v>36</v>
      </c>
      <c r="J1072" s="317" t="s">
        <v>225</v>
      </c>
      <c r="K1072" s="318"/>
      <c r="L1072" s="305"/>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5" t="s">
        <v>226</v>
      </c>
      <c r="AA1072" s="296"/>
      <c r="AB1072" s="297"/>
      <c r="AC1072" s="25"/>
      <c r="AD1072" s="25"/>
      <c r="AH1072" s="109">
        <v>2</v>
      </c>
      <c r="AI1072" s="109" t="str">
        <f>IF($E1073="SS",COUNTIFS($C1083:$C1107,"FST",$E1083:$E1107,"2"),"0")</f>
        <v>0</v>
      </c>
      <c r="AJ1072" s="109">
        <f>IF($E1073="RPX",COUNTIFS($C1083:$C1107,"FST",$E1083:$E1107,"2"),"0")</f>
        <v>0</v>
      </c>
      <c r="AK1072" s="109" t="str">
        <f>IF($E1073="EUC",COUNTIFS($C1083:$C1107,"FST",$E1083:$E1107,"2"),"0")</f>
        <v>0</v>
      </c>
      <c r="AL1072" s="109" t="str">
        <f>IF($E1073="RPX-T",COUNTIFS($C1083:$C1107,"FST",$E1083:$E1107,"2"),"0")</f>
        <v>0</v>
      </c>
      <c r="AT1072" s="110" t="s">
        <v>227</v>
      </c>
      <c r="AU1072" s="108" t="str">
        <f>IF(OR($AS1073="Y",$AS1074="Y",$AS1075="Y"),"",COUNTIFS($E1073,"SS",$E1078,"Y"))</f>
        <v/>
      </c>
      <c r="AV1072" s="111" t="str">
        <f>IF(OR($AS1073="Y",$AS1074="Y",$AS1075="Y"),"",COUNTIFS($E1073,"RPX",$E1078,"Y"))</f>
        <v/>
      </c>
      <c r="AW1072" s="111" t="str">
        <f>IF(OR($AS1073="Y",$AS1074="Y",$AS1075="Y"),"",COUNTIFS($E1073,"EUC",$E1078,"Y"))</f>
        <v/>
      </c>
      <c r="AX1072" s="109" t="str">
        <f>IF(OR($AS1073="Y",$AS1074="Y",$AS1075="Y"),"",COUNTIFS($E1073,"RPX-T",$E1078,"Y"))</f>
        <v/>
      </c>
      <c r="BA1072" s="226"/>
    </row>
    <row r="1073" spans="1:53" ht="16.5" customHeight="1" thickTop="1" thickBot="1" x14ac:dyDescent="0.3">
      <c r="A1073" s="88"/>
      <c r="B1073" s="29" t="s">
        <v>228</v>
      </c>
      <c r="C1073" s="30">
        <v>0</v>
      </c>
      <c r="D1073" s="31" t="s">
        <v>229</v>
      </c>
      <c r="E1073" s="66" t="str">
        <f>TEXT(IF('Cable Calculator'!ED7="","",'Cable Calculator'!ED7),)</f>
        <v>RPX</v>
      </c>
      <c r="F1073" s="88"/>
      <c r="G1073" s="304" t="s">
        <v>230</v>
      </c>
      <c r="H1073" s="305"/>
      <c r="I1073" s="33">
        <f>E1074-I1072</f>
        <v>12</v>
      </c>
      <c r="J1073" s="289" t="s">
        <v>231</v>
      </c>
      <c r="K1073" s="290"/>
      <c r="L1073" s="34">
        <f>I1077</f>
        <v>373</v>
      </c>
      <c r="M1073" s="196">
        <v>4</v>
      </c>
      <c r="N1073" s="35">
        <f>SUM(AI1073,AI1084)</f>
        <v>0</v>
      </c>
      <c r="O1073" s="35">
        <v>0</v>
      </c>
      <c r="P1073" s="35">
        <f>SUM(AJ1073,AJ1084)</f>
        <v>3</v>
      </c>
      <c r="Q1073" s="35">
        <v>0</v>
      </c>
      <c r="R1073" s="35">
        <f>COUNTIFS($E1083:$E1107,"4",$F1083:$F1107,"Pole",$C1083:$C1107,"FST")</f>
        <v>3</v>
      </c>
      <c r="S1073" s="35">
        <f>SUM(AL1073,AK1084)</f>
        <v>0</v>
      </c>
      <c r="T1073" s="35">
        <v>0</v>
      </c>
      <c r="U1073" s="35">
        <f>SUM(AK1073,AL1084)</f>
        <v>0</v>
      </c>
      <c r="V1073" s="35">
        <v>0</v>
      </c>
      <c r="W1073" s="34">
        <f>COUNTIFS($E1083:$E1107,"4",$F1083:$F1107,"HH",$C1083:$C1107,"FST")</f>
        <v>0</v>
      </c>
      <c r="X1073" s="35">
        <f>COUNTIFS($E1083:$E1107,"4",$F1083:$F1107,"Ped",$C1083:$C1107,"FST")</f>
        <v>0</v>
      </c>
      <c r="Y1073" s="25"/>
      <c r="Z1073" s="298" t="s">
        <v>232</v>
      </c>
      <c r="AA1073" s="300" t="s">
        <v>233</v>
      </c>
      <c r="AB1073" s="301"/>
      <c r="AC1073" s="25"/>
      <c r="AD1073" s="25"/>
      <c r="AH1073" s="109">
        <v>4</v>
      </c>
      <c r="AI1073" s="109" t="str">
        <f>IF($E1073="SS",COUNTIFS($C1083:$C1107,"FST",$E1083:$E1107,"4"),"0")</f>
        <v>0</v>
      </c>
      <c r="AJ1073" s="109">
        <f>IF($E1073="RPX",COUNTIFS($C1083:$C1107,"FST",$E1083:$E1107,"4"),"0")</f>
        <v>3</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v>48</v>
      </c>
      <c r="F1074" s="88"/>
      <c r="G1074" s="291" t="s">
        <v>237</v>
      </c>
      <c r="H1074" s="292"/>
      <c r="I1074" s="35">
        <f>IF(E1074=0,0,12-(MOD(I1072,12)))</f>
        <v>12</v>
      </c>
      <c r="J1074" s="289" t="s">
        <v>238</v>
      </c>
      <c r="K1074" s="290"/>
      <c r="L1074" s="39">
        <f>I1078-I1072</f>
        <v>372</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299"/>
      <c r="AA1074" s="302"/>
      <c r="AB1074" s="303"/>
      <c r="AC1074" s="25"/>
      <c r="AD1074" s="25"/>
      <c r="AH1074" s="109">
        <v>6</v>
      </c>
      <c r="AI1074" s="109" t="str">
        <f>IF($E1073="SS",COUNTIFS($C1083:$C1107,"FST",$E1083:$E1107,"6"),"0")</f>
        <v>0</v>
      </c>
      <c r="AJ1074" s="109">
        <f>IF($E1073="RPX",COUNTIFS($C1083:$C1107,"FST",$E1083:$E1107,"6"),"0")</f>
        <v>0</v>
      </c>
      <c r="AK1074" s="109" t="str">
        <f>IF($E1073="EUC",COUNTIFS($C1083:$C1107,"FST",$E1083:$E1107,"6"),"0")</f>
        <v>0</v>
      </c>
      <c r="AL1074" s="109" t="str">
        <f>IF($E1073="RPX-T",COUNTIFS($C1083:$C1107,"FST",$E1083:$E1107,"6"),"0")</f>
        <v>0</v>
      </c>
      <c r="AS1074" s="109" t="str">
        <f>IF(AND(E1078="Y",E1074=48,E1075=12),"Y","N")</f>
        <v>Y</v>
      </c>
      <c r="AT1074" s="110" t="s">
        <v>239</v>
      </c>
      <c r="AU1074" s="109">
        <f>COUNTIFS($E1073,"SS",$AS1074,"Y")</f>
        <v>0</v>
      </c>
      <c r="AV1074" s="108">
        <f>COUNTIFS($E1073,"RPX",$AS1074,"Y")</f>
        <v>1</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v>12</v>
      </c>
      <c r="F1075" s="88"/>
      <c r="G1075" s="321" t="s">
        <v>242</v>
      </c>
      <c r="H1075" s="43" t="s">
        <v>243</v>
      </c>
      <c r="I1075" s="35">
        <f>IF(E1075&lt;&gt;0,1,0)</f>
        <v>1</v>
      </c>
      <c r="J1075" s="291" t="s">
        <v>244</v>
      </c>
      <c r="K1075" s="292"/>
      <c r="L1075" s="44">
        <f>'Cable Calculator'!ED3</f>
        <v>1311</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v>373</v>
      </c>
      <c r="F1076" s="88"/>
      <c r="G1076" s="322"/>
      <c r="H1076" s="47" t="s">
        <v>248</v>
      </c>
      <c r="I1076" s="35">
        <f>IF(E1075&lt;&gt;0,E1075,0)</f>
        <v>12</v>
      </c>
      <c r="J1076" s="194"/>
      <c r="K1076" s="195"/>
      <c r="L1076" s="48"/>
      <c r="M1076" s="196">
        <v>12</v>
      </c>
      <c r="N1076" s="35" t="str">
        <f>IF($E1073="SS",SUM(AI1076,AJ1087,AM1108,AO1108,AQ1108),"0")</f>
        <v>0</v>
      </c>
      <c r="O1076" s="35" t="str">
        <f>IF($E1073="SS",SUM(AN1108,AP1108,AR1108),"0")</f>
        <v>0</v>
      </c>
      <c r="P1076" s="35">
        <f>IF($E1073="RPX",SUM(AJ1076,AJ1087,AM1108,AO1108,AQ1108),"0")</f>
        <v>1</v>
      </c>
      <c r="Q1076" s="35">
        <f>IF($E1073="RPX",SUM(AN1108,AP1108,AR1108),"0")</f>
        <v>1</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4</v>
      </c>
      <c r="F1077" s="88"/>
      <c r="G1077" s="321" t="s">
        <v>251</v>
      </c>
      <c r="H1077" s="51" t="s">
        <v>252</v>
      </c>
      <c r="I1077" s="112">
        <f>E1076</f>
        <v>373</v>
      </c>
      <c r="J1077" s="323" t="s">
        <v>253</v>
      </c>
      <c r="K1077" s="324"/>
      <c r="L1077" s="325"/>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Y</v>
      </c>
      <c r="F1078" s="88"/>
      <c r="G1078" s="322"/>
      <c r="H1078" s="47" t="s">
        <v>257</v>
      </c>
      <c r="I1078" s="35">
        <f>IF(E1076="","0",IF(AND(E1073="EUC",E1074=432), I1077+(203-E1075),IF(E1076=0,0,(E1076+(E1074-E1075)-1))))</f>
        <v>408</v>
      </c>
      <c r="J1078" s="285" t="str">
        <f>IFERROR(IF(OR(E1073="EUC",E1073="SS"),"---",IF(OR(P1072,S1072),"NO 2F Tethers for RPX!",IF(OR(P1074,S1074),"NO 6F Tethers for RPX!","---"))),"---")</f>
        <v>---</v>
      </c>
      <c r="K1078" s="286"/>
      <c r="L1078" s="287"/>
      <c r="M1078" s="285" t="str">
        <f>IF(E1075&gt;60,"Dead Count &gt;60: Consider Downsize","---")</f>
        <v>---</v>
      </c>
      <c r="N1078" s="286"/>
      <c r="O1078" s="286"/>
      <c r="P1078" s="286"/>
      <c r="Q1078" s="286"/>
      <c r="R1078" s="286"/>
      <c r="S1078" s="286"/>
      <c r="T1078" s="286"/>
      <c r="U1078" s="287"/>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36</v>
      </c>
      <c r="D1079" s="31" t="s">
        <v>259</v>
      </c>
      <c r="E1079" s="101" t="str">
        <f>IF(AS1073="Y","DBL",IF(AS1074="Y","TRPL",IF(AS1075="Y","QUAD","")))</f>
        <v>TRPL</v>
      </c>
      <c r="F1079" s="88"/>
      <c r="G1079" s="192"/>
      <c r="H1079" s="57"/>
      <c r="I1079" s="192"/>
      <c r="J1079" s="285"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86"/>
      <c r="L1079" s="287"/>
      <c r="M1079" s="285" t="str">
        <f>IF(AND(OR(E1073="SS",E1073="RPX",E1073="EUC",E1073="RPX-T"),(OR(C1083="",C1083="Field SPL"))),"Cannot have FlexNap cables without tethers","---")</f>
        <v>---</v>
      </c>
      <c r="N1079" s="286"/>
      <c r="O1079" s="286"/>
      <c r="P1079" s="286"/>
      <c r="Q1079" s="286"/>
      <c r="R1079" s="286"/>
      <c r="S1079" s="286"/>
      <c r="T1079" s="286"/>
      <c r="U1079" s="287"/>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85" t="str">
        <f>IF(AND(OR(E1073="RPX", E1073="RPX-T", E1073="SS"),E1074=216),"NO 216 For RPX, RPX-T, OR SS CABLE","---")</f>
        <v>---</v>
      </c>
      <c r="K1080" s="286"/>
      <c r="L1080" s="287"/>
      <c r="M1080" s="285" t="str" cm="1">
        <f t="array" ref="M1080">IF(AND(E1073="",OR(C1083:C1107="FST",C1083:C1107="REV T",C1083:C1107="DBL REV",C1083:C1107="TPL REV", C1083:C1107="QD REV")),"Non-FlexNap cables cannot have tethers","---")</f>
        <v>---</v>
      </c>
      <c r="N1080" s="286"/>
      <c r="O1080" s="286"/>
      <c r="P1080" s="286"/>
      <c r="Q1080" s="286"/>
      <c r="R1080" s="286"/>
      <c r="S1080" s="286"/>
      <c r="T1080" s="286"/>
      <c r="U1080" s="287"/>
      <c r="V1080" s="25"/>
      <c r="W1080" s="58"/>
      <c r="X1080" s="58"/>
      <c r="Y1080" s="25"/>
      <c r="Z1080" s="45">
        <v>6</v>
      </c>
      <c r="AA1080" s="65">
        <v>61</v>
      </c>
      <c r="AB1080" s="65">
        <v>72</v>
      </c>
      <c r="AC1080" s="25"/>
      <c r="AD1080" s="25"/>
      <c r="BA1080" s="226"/>
    </row>
    <row r="1081" spans="1:53" ht="15.75" customHeight="1" thickBot="1" x14ac:dyDescent="0.3">
      <c r="A1081" s="88"/>
      <c r="B1081" s="321" t="s">
        <v>260</v>
      </c>
      <c r="C1081" s="293" t="s">
        <v>261</v>
      </c>
      <c r="D1081" s="293" t="s">
        <v>262</v>
      </c>
      <c r="E1081" s="306" t="s">
        <v>263</v>
      </c>
      <c r="F1081" s="293" t="s">
        <v>264</v>
      </c>
      <c r="G1081" s="308" t="s">
        <v>265</v>
      </c>
      <c r="H1081" s="308" t="s">
        <v>266</v>
      </c>
      <c r="I1081" s="308" t="s">
        <v>267</v>
      </c>
      <c r="J1081" s="310" t="s">
        <v>268</v>
      </c>
      <c r="K1081" s="293" t="s">
        <v>269</v>
      </c>
      <c r="L1081" s="279" t="s">
        <v>270</v>
      </c>
      <c r="M1081" s="281" t="s">
        <v>271</v>
      </c>
      <c r="N1081" s="281"/>
      <c r="O1081" s="281"/>
      <c r="P1081" s="281"/>
      <c r="Q1081" s="281"/>
      <c r="R1081" s="281"/>
      <c r="S1081" s="281"/>
      <c r="T1081" s="281"/>
      <c r="U1081" s="282"/>
      <c r="V1081" s="107"/>
      <c r="W1081" s="72"/>
      <c r="X1081" s="72"/>
      <c r="Y1081" s="72"/>
      <c r="Z1081" s="45">
        <v>7</v>
      </c>
      <c r="AA1081" s="65">
        <v>73</v>
      </c>
      <c r="AB1081" s="65">
        <v>84</v>
      </c>
      <c r="AC1081" s="25"/>
      <c r="AD1081" s="25"/>
      <c r="BA1081" s="228"/>
    </row>
    <row r="1082" spans="1:53" ht="15.75" thickBot="1" x14ac:dyDescent="0.3">
      <c r="A1082" s="88"/>
      <c r="B1082" s="322"/>
      <c r="C1082" s="294"/>
      <c r="D1082" s="294"/>
      <c r="E1082" s="307"/>
      <c r="F1082" s="294"/>
      <c r="G1082" s="309"/>
      <c r="H1082" s="309"/>
      <c r="I1082" s="309"/>
      <c r="J1082" s="311"/>
      <c r="K1082" s="294"/>
      <c r="L1082" s="280"/>
      <c r="M1082" s="283"/>
      <c r="N1082" s="283"/>
      <c r="O1082" s="283"/>
      <c r="P1082" s="283"/>
      <c r="Q1082" s="283"/>
      <c r="R1082" s="283"/>
      <c r="S1082" s="283"/>
      <c r="T1082" s="283"/>
      <c r="U1082" s="284"/>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t="s">
        <v>499</v>
      </c>
      <c r="D1083" s="102"/>
      <c r="E1083" s="32">
        <v>12</v>
      </c>
      <c r="F1083" s="32" t="s">
        <v>483</v>
      </c>
      <c r="G1083" s="68" t="s">
        <v>277</v>
      </c>
      <c r="H1083" s="69">
        <f>IF(I1083=0,0,I1083-(E1083-1))</f>
        <v>397</v>
      </c>
      <c r="I1083" s="70">
        <f>IF(E1083=0,0,I1078)</f>
        <v>408</v>
      </c>
      <c r="J1083" s="71" t="s">
        <v>278</v>
      </c>
      <c r="K1083" s="32"/>
      <c r="L1083" s="233"/>
      <c r="M1083" s="277" t="s">
        <v>430</v>
      </c>
      <c r="N1083" s="277"/>
      <c r="O1083" s="277"/>
      <c r="P1083" s="277"/>
      <c r="Q1083" s="277"/>
      <c r="R1083" s="277"/>
      <c r="S1083" s="277"/>
      <c r="T1083" s="277"/>
      <c r="U1083" s="278"/>
      <c r="V1083" s="103"/>
      <c r="W1083" s="72"/>
      <c r="X1083" s="72"/>
      <c r="Y1083" s="72"/>
      <c r="Z1083" s="45">
        <v>9</v>
      </c>
      <c r="AA1083" s="46">
        <v>97</v>
      </c>
      <c r="AB1083" s="46">
        <v>108</v>
      </c>
      <c r="AC1083" s="72">
        <f t="shared" ref="AC1083:AC1107" si="451">IF(B1083&lt;&gt;"FST",1,0)</f>
        <v>1</v>
      </c>
      <c r="AD1083" s="72">
        <f t="shared" ref="AD1083:AD1107" si="452">IF(C1083&lt;&gt;"FST",1,0)</f>
        <v>1</v>
      </c>
      <c r="AE1083" s="109" t="str">
        <f t="shared" ref="AE1083:AE1107" si="453">CONCATENATE(H1083,"-",I1083)</f>
        <v>397-408</v>
      </c>
      <c r="AF1083" s="109" t="str">
        <f t="shared" ref="AF1083:AF1107" si="454">IF(C1083="Field SPL","N","Y")</f>
        <v>Y</v>
      </c>
      <c r="AG1083" s="109" t="str">
        <f t="shared" ref="AG1083:AG1107" si="455">IF(OR(E$1073="RPX",E$1073="SS"),"A","B")</f>
        <v>A</v>
      </c>
      <c r="AH1083" s="109">
        <v>2</v>
      </c>
      <c r="AI1083" s="109" t="str">
        <f>IF(E1073="SS",COUNTIFS(C1083:C1107,"TCF",E1083:E1107,"2"),"")</f>
        <v/>
      </c>
      <c r="AJ1083" s="109">
        <f>IF(E1073="RPX",COUNTIFS(C1083:C1107,"TCF",E1083:E1107,"2"),"")</f>
        <v>0</v>
      </c>
      <c r="AK1083" s="109" t="str">
        <f>IF(E1073="RPX-T",COUNTIFS(C1083:C1107,"TCF",E1083:E1107,"2"),"")</f>
        <v/>
      </c>
      <c r="AL1083" s="109" t="str">
        <f>IF(E1073="EUC",COUNTIFS(C1083:C1107,"TCF",E1083:E1107,"2"),"")</f>
        <v/>
      </c>
      <c r="AM1083" s="109">
        <f t="shared" ref="AM1083:AM1107" si="456">VALUE(IF(C1083="FST","0",IF(C1083="REV T","1",IF(C1083="DBL REV",".5","0"))))</f>
        <v>0.5</v>
      </c>
      <c r="AN1083" s="109">
        <f t="shared" ref="AN1083:AN1107" si="457">VALUE(IF(C1083="FST","0",IF(C1083="REV T","0",IF(C1083="DBL REV",".5","0"))))</f>
        <v>0.5</v>
      </c>
      <c r="AO1083" s="109" t="str">
        <f t="shared" ref="AO1083:AO1107" si="458">IF(C1083="TPL REV","Y","")</f>
        <v/>
      </c>
      <c r="AQ1083" s="109" t="str">
        <f t="shared" ref="AQ1083:AQ1107" si="459">IF(C1083="QD REV","Y","")</f>
        <v/>
      </c>
      <c r="BA1083" s="229">
        <f>MOD(E1083,12)</f>
        <v>0</v>
      </c>
    </row>
    <row r="1084" spans="1:53" ht="15.75" thickBot="1" x14ac:dyDescent="0.3">
      <c r="A1084" s="88"/>
      <c r="B1084" s="66" t="s">
        <v>279</v>
      </c>
      <c r="C1084" s="67" t="s">
        <v>499</v>
      </c>
      <c r="D1084" s="102"/>
      <c r="E1084" s="32">
        <v>12</v>
      </c>
      <c r="F1084" s="32" t="s">
        <v>483</v>
      </c>
      <c r="G1084" s="68" t="s">
        <v>277</v>
      </c>
      <c r="H1084" s="69">
        <f t="shared" ref="H1084:H1107" si="460">IF(E1084=0,0,I1084-(E1084-1))</f>
        <v>385</v>
      </c>
      <c r="I1084" s="70">
        <f t="shared" ref="I1084:I1107" si="461">IF(E1084=0,0,H1083-1)</f>
        <v>396</v>
      </c>
      <c r="J1084" s="73" t="str">
        <f>IF(C1084="","--",IF(AND(C1084&lt;&gt;"FST",C1084&lt;&gt;"TCF",BA1083&lt;&gt;0),BA1083,"--"))</f>
        <v>--</v>
      </c>
      <c r="K1084" s="32"/>
      <c r="L1084" s="233"/>
      <c r="M1084" s="277" t="s">
        <v>430</v>
      </c>
      <c r="N1084" s="277"/>
      <c r="O1084" s="277"/>
      <c r="P1084" s="277"/>
      <c r="Q1084" s="277"/>
      <c r="R1084" s="277"/>
      <c r="S1084" s="277"/>
      <c r="T1084" s="277"/>
      <c r="U1084" s="278"/>
      <c r="V1084" s="103"/>
      <c r="W1084" s="72"/>
      <c r="X1084" s="72"/>
      <c r="Y1084" s="72"/>
      <c r="Z1084" s="45">
        <v>10</v>
      </c>
      <c r="AA1084" s="46">
        <v>109</v>
      </c>
      <c r="AB1084" s="46">
        <v>120</v>
      </c>
      <c r="AC1084" s="72">
        <f t="shared" si="451"/>
        <v>1</v>
      </c>
      <c r="AD1084" s="72">
        <f t="shared" si="452"/>
        <v>1</v>
      </c>
      <c r="AE1084" s="109" t="str">
        <f t="shared" si="453"/>
        <v>385-396</v>
      </c>
      <c r="AF1084" s="109" t="str">
        <f t="shared" si="454"/>
        <v>Y</v>
      </c>
      <c r="AG1084" s="109" t="str">
        <f t="shared" si="455"/>
        <v>A</v>
      </c>
      <c r="AH1084" s="109">
        <v>4</v>
      </c>
      <c r="AI1084" s="109" t="str">
        <f>IF(E1073="SS",COUNTIFS(C1083:C1107,"TCF",E1083:E1107,"4"),"")</f>
        <v/>
      </c>
      <c r="AJ1084" s="109">
        <f>IF(E1073="RPX",COUNTIFS(C1083:C1107,"TCF",E1083:E1107,"4"),"")</f>
        <v>0</v>
      </c>
      <c r="AK1084" s="109" t="str">
        <f>IF(E1073="RPX-T",COUNTIFS(C1083:C1107,"TCF",E1083:E1107,"4"),"")</f>
        <v/>
      </c>
      <c r="AL1084" s="109" t="str">
        <f>IF(E1073="EUC",COUNTIFS(C1083:C1107,"TCF",E1083:E1107,"4"),"")</f>
        <v/>
      </c>
      <c r="AM1084" s="109">
        <f t="shared" si="456"/>
        <v>0.5</v>
      </c>
      <c r="AN1084" s="109">
        <f t="shared" si="457"/>
        <v>0.5</v>
      </c>
      <c r="AO1084" s="109" t="str">
        <f t="shared" si="458"/>
        <v/>
      </c>
      <c r="AQ1084" s="109" t="str">
        <f t="shared" si="459"/>
        <v/>
      </c>
      <c r="BA1084" s="229">
        <f>MOD(SUM(E1083:E1084),12)</f>
        <v>0</v>
      </c>
    </row>
    <row r="1085" spans="1:53" ht="15.75" thickBot="1" x14ac:dyDescent="0.3">
      <c r="A1085" s="88"/>
      <c r="B1085" s="74" t="s">
        <v>280</v>
      </c>
      <c r="C1085" s="67" t="s">
        <v>484</v>
      </c>
      <c r="D1085" s="102" t="s">
        <v>792</v>
      </c>
      <c r="E1085" s="32">
        <v>4</v>
      </c>
      <c r="F1085" s="32" t="s">
        <v>483</v>
      </c>
      <c r="G1085" s="75" t="s">
        <v>277</v>
      </c>
      <c r="H1085" s="69">
        <f t="shared" si="460"/>
        <v>381</v>
      </c>
      <c r="I1085" s="70">
        <f t="shared" si="461"/>
        <v>384</v>
      </c>
      <c r="J1085" s="73" t="str">
        <f t="shared" ref="J1085:J1107" si="462">IF(C1085="","--",IF(AND(C1085&lt;&gt;"FST",C1085&lt;&gt;"TCF",BA1084&lt;&gt;0),BA1084,"--"))</f>
        <v>--</v>
      </c>
      <c r="K1085" s="32"/>
      <c r="L1085" s="233"/>
      <c r="M1085" s="277"/>
      <c r="N1085" s="277"/>
      <c r="O1085" s="277"/>
      <c r="P1085" s="277"/>
      <c r="Q1085" s="277"/>
      <c r="R1085" s="277"/>
      <c r="S1085" s="277"/>
      <c r="T1085" s="277"/>
      <c r="U1085" s="278"/>
      <c r="V1085" s="103"/>
      <c r="W1085" s="72"/>
      <c r="X1085" s="72"/>
      <c r="Y1085" s="72"/>
      <c r="Z1085" s="45">
        <v>11</v>
      </c>
      <c r="AA1085" s="46">
        <v>121</v>
      </c>
      <c r="AB1085" s="46">
        <v>132</v>
      </c>
      <c r="AC1085" s="72">
        <f t="shared" si="451"/>
        <v>1</v>
      </c>
      <c r="AD1085" s="72">
        <f t="shared" si="452"/>
        <v>0</v>
      </c>
      <c r="AE1085" s="109" t="str">
        <f t="shared" si="453"/>
        <v>381-384</v>
      </c>
      <c r="AF1085" s="109" t="str">
        <f t="shared" si="454"/>
        <v>Y</v>
      </c>
      <c r="AG1085" s="109" t="str">
        <f t="shared" si="455"/>
        <v>A</v>
      </c>
      <c r="AH1085" s="109">
        <v>6</v>
      </c>
      <c r="AI1085" s="109" t="str">
        <f>IF(E1073="SS",COUNTIFS(C1083:C1107,"TCF",E1083:E1107,"6"),"")</f>
        <v/>
      </c>
      <c r="AJ1085" s="109">
        <f>IF(E1073="RPX",COUNTIFS(C1083:C1107,"TCF",E1083:E1107,"6"),"")</f>
        <v>0</v>
      </c>
      <c r="AK1085" s="109" t="str">
        <f>IF(E1073="RPX-T",COUNTIFS(C1083:C1107,"TCF",E1083:E1107,"6"),"")</f>
        <v/>
      </c>
      <c r="AL1085" s="109" t="str">
        <f>IF(E1073="EUC",COUNTIFS(C1083:C1107,"TCF",E1083:E1107,"6"),"")</f>
        <v/>
      </c>
      <c r="AM1085" s="109">
        <f t="shared" si="456"/>
        <v>0</v>
      </c>
      <c r="AN1085" s="109">
        <f t="shared" si="457"/>
        <v>0</v>
      </c>
      <c r="AO1085" s="109" t="str">
        <f t="shared" si="458"/>
        <v/>
      </c>
      <c r="AQ1085" s="109" t="str">
        <f t="shared" si="459"/>
        <v/>
      </c>
      <c r="BA1085" s="229">
        <f>MOD(SUM(E1083:E1086),12)</f>
        <v>8</v>
      </c>
    </row>
    <row r="1086" spans="1:53" ht="15.75" thickBot="1" x14ac:dyDescent="0.3">
      <c r="A1086" s="88"/>
      <c r="B1086" s="66" t="s">
        <v>281</v>
      </c>
      <c r="C1086" s="67" t="s">
        <v>484</v>
      </c>
      <c r="D1086" s="102" t="s">
        <v>793</v>
      </c>
      <c r="E1086" s="32">
        <v>4</v>
      </c>
      <c r="F1086" s="32" t="s">
        <v>483</v>
      </c>
      <c r="G1086" s="68" t="s">
        <v>277</v>
      </c>
      <c r="H1086" s="69">
        <f t="shared" si="460"/>
        <v>377</v>
      </c>
      <c r="I1086" s="70">
        <f t="shared" si="461"/>
        <v>380</v>
      </c>
      <c r="J1086" s="73" t="str">
        <f t="shared" si="462"/>
        <v>--</v>
      </c>
      <c r="K1086" s="32"/>
      <c r="L1086" s="233"/>
      <c r="M1086" s="277"/>
      <c r="N1086" s="277"/>
      <c r="O1086" s="277"/>
      <c r="P1086" s="277"/>
      <c r="Q1086" s="277"/>
      <c r="R1086" s="277"/>
      <c r="S1086" s="277"/>
      <c r="T1086" s="277"/>
      <c r="U1086" s="278"/>
      <c r="V1086" s="103"/>
      <c r="W1086" s="72"/>
      <c r="X1086" s="72"/>
      <c r="Y1086" s="72"/>
      <c r="Z1086" s="45">
        <v>12</v>
      </c>
      <c r="AA1086" s="76">
        <v>133</v>
      </c>
      <c r="AB1086" s="76">
        <v>144</v>
      </c>
      <c r="AC1086" s="72">
        <f t="shared" si="451"/>
        <v>1</v>
      </c>
      <c r="AD1086" s="72">
        <f t="shared" si="452"/>
        <v>0</v>
      </c>
      <c r="AE1086" s="109" t="str">
        <f t="shared" si="453"/>
        <v>377-380</v>
      </c>
      <c r="AF1086" s="109" t="str">
        <f t="shared" si="454"/>
        <v>Y</v>
      </c>
      <c r="AG1086" s="109" t="str">
        <f t="shared" si="455"/>
        <v>A</v>
      </c>
      <c r="AH1086" s="109">
        <v>8</v>
      </c>
      <c r="AI1086" s="109" t="str">
        <f>IF(E1073="SS",COUNTIFS(C1083:C1107,"TCF",E1083:E1107,"8"),"")</f>
        <v/>
      </c>
      <c r="AJ1086" s="109">
        <f>IF(E1073="RPX",COUNTIFS(C1083:C1107,"TCF",E1083:E1107,"8"),"")</f>
        <v>0</v>
      </c>
      <c r="AK1086" s="109" t="str">
        <f>IF(E1073="RPX-T",COUNTIFS(C1083:C1107,"TCF",E1083:E1107,"8"),"")</f>
        <v/>
      </c>
      <c r="AL1086" s="109" t="str">
        <f>IF(E1073="EUC",COUNTIFS(C1083:C1107,"TCF",E1083:E1107,"8"),"")</f>
        <v/>
      </c>
      <c r="AM1086" s="109">
        <f t="shared" si="456"/>
        <v>0</v>
      </c>
      <c r="AN1086" s="109">
        <f t="shared" si="457"/>
        <v>0</v>
      </c>
      <c r="AO1086" s="109" t="str">
        <f t="shared" si="458"/>
        <v/>
      </c>
      <c r="AQ1086" s="109" t="str">
        <f t="shared" si="459"/>
        <v/>
      </c>
      <c r="BA1086" s="229">
        <f>MOD(SUM(E1083:E1087),12)</f>
        <v>0</v>
      </c>
    </row>
    <row r="1087" spans="1:53" ht="15.75" thickBot="1" x14ac:dyDescent="0.3">
      <c r="A1087" s="88"/>
      <c r="B1087" s="66" t="s">
        <v>282</v>
      </c>
      <c r="C1087" s="67" t="s">
        <v>484</v>
      </c>
      <c r="D1087" s="102" t="s">
        <v>794</v>
      </c>
      <c r="E1087" s="32">
        <v>4</v>
      </c>
      <c r="F1087" s="32" t="s">
        <v>483</v>
      </c>
      <c r="G1087" s="68" t="s">
        <v>277</v>
      </c>
      <c r="H1087" s="69">
        <f t="shared" si="460"/>
        <v>373</v>
      </c>
      <c r="I1087" s="70">
        <f t="shared" si="461"/>
        <v>376</v>
      </c>
      <c r="J1087" s="73" t="str">
        <f t="shared" si="462"/>
        <v>--</v>
      </c>
      <c r="K1087" s="32"/>
      <c r="L1087" s="233"/>
      <c r="M1087" s="277"/>
      <c r="N1087" s="277"/>
      <c r="O1087" s="277"/>
      <c r="P1087" s="277"/>
      <c r="Q1087" s="277"/>
      <c r="R1087" s="277"/>
      <c r="S1087" s="277"/>
      <c r="T1087" s="277"/>
      <c r="U1087" s="278"/>
      <c r="V1087" s="103"/>
      <c r="W1087" s="72"/>
      <c r="X1087" s="72"/>
      <c r="Y1087" s="72"/>
      <c r="Z1087" s="45">
        <v>13</v>
      </c>
      <c r="AA1087" s="77">
        <f t="shared" ref="AA1087:AA1092" si="463">AB1086+1</f>
        <v>145</v>
      </c>
      <c r="AB1087" s="77">
        <f t="shared" ref="AB1087:AB1092" si="464">AB1086+12</f>
        <v>156</v>
      </c>
      <c r="AC1087" s="72">
        <f t="shared" si="451"/>
        <v>1</v>
      </c>
      <c r="AD1087" s="72">
        <f t="shared" si="452"/>
        <v>0</v>
      </c>
      <c r="AE1087" s="109" t="str">
        <f t="shared" si="453"/>
        <v>373-376</v>
      </c>
      <c r="AF1087" s="109" t="str">
        <f t="shared" si="454"/>
        <v>Y</v>
      </c>
      <c r="AG1087" s="109" t="str">
        <f t="shared" si="455"/>
        <v>A</v>
      </c>
      <c r="AH1087" s="109">
        <v>12</v>
      </c>
      <c r="AI1087" s="109" t="str">
        <f>IF(E1073="SS",COUNTIFS(C1083:C1107,"TCF",E1083:E1107,"12"),"")</f>
        <v/>
      </c>
      <c r="AJ1087" s="109">
        <f>IF(E1073="RPX",COUNTIFS(C1083:C1107,"TCF",E1083:E1107,"12"),"")</f>
        <v>0</v>
      </c>
      <c r="AK1087" s="109" t="str">
        <f>IF(E1073="RPX-T",COUNTIFS(C1083:C1107,"TCF",E1083:E1107,"12"),"")</f>
        <v/>
      </c>
      <c r="AL1087" s="109" t="str">
        <f>IF(E1073="EUC",COUNTIFS(C1083:C1107,"TCF",E1083:E1107,"12"),"")</f>
        <v/>
      </c>
      <c r="AM1087" s="109">
        <f t="shared" si="456"/>
        <v>0</v>
      </c>
      <c r="AN1087" s="109">
        <f t="shared" si="457"/>
        <v>0</v>
      </c>
      <c r="AO1087" s="109" t="str">
        <f t="shared" si="458"/>
        <v/>
      </c>
      <c r="AQ1087" s="109" t="str">
        <f t="shared" si="459"/>
        <v/>
      </c>
      <c r="BA1087" s="229">
        <f>MOD(SUM(E1083:E1088),12)</f>
        <v>0</v>
      </c>
    </row>
    <row r="1088" spans="1:53" ht="15.75" thickBot="1" x14ac:dyDescent="0.3">
      <c r="A1088" s="88"/>
      <c r="B1088" s="66" t="s">
        <v>283</v>
      </c>
      <c r="C1088" s="67"/>
      <c r="D1088" s="102"/>
      <c r="E1088" s="32"/>
      <c r="F1088" s="32"/>
      <c r="G1088" s="68" t="s">
        <v>277</v>
      </c>
      <c r="H1088" s="69">
        <f t="shared" si="460"/>
        <v>0</v>
      </c>
      <c r="I1088" s="70">
        <f t="shared" si="461"/>
        <v>0</v>
      </c>
      <c r="J1088" s="73" t="str">
        <f t="shared" si="462"/>
        <v>--</v>
      </c>
      <c r="K1088" s="32"/>
      <c r="L1088" s="233"/>
      <c r="M1088" s="277"/>
      <c r="N1088" s="277"/>
      <c r="O1088" s="277"/>
      <c r="P1088" s="277"/>
      <c r="Q1088" s="277"/>
      <c r="R1088" s="277"/>
      <c r="S1088" s="277"/>
      <c r="T1088" s="277"/>
      <c r="U1088" s="278"/>
      <c r="V1088" s="103"/>
      <c r="W1088" s="72"/>
      <c r="X1088" s="72"/>
      <c r="Y1088" s="72"/>
      <c r="Z1088" s="45">
        <v>14</v>
      </c>
      <c r="AA1088" s="77">
        <f t="shared" si="463"/>
        <v>157</v>
      </c>
      <c r="AB1088" s="77">
        <f t="shared" si="464"/>
        <v>168</v>
      </c>
      <c r="AC1088" s="72">
        <f t="shared" si="451"/>
        <v>1</v>
      </c>
      <c r="AD1088" s="72">
        <f t="shared" si="452"/>
        <v>1</v>
      </c>
      <c r="AE1088" s="109" t="str">
        <f t="shared" si="453"/>
        <v>0-0</v>
      </c>
      <c r="AF1088" s="109" t="str">
        <f t="shared" si="454"/>
        <v>Y</v>
      </c>
      <c r="AG1088" s="109" t="str">
        <f t="shared" si="455"/>
        <v>A</v>
      </c>
      <c r="AM1088" s="109">
        <f t="shared" si="456"/>
        <v>0</v>
      </c>
      <c r="AN1088" s="109">
        <f t="shared" si="457"/>
        <v>0</v>
      </c>
      <c r="AO1088" s="109" t="str">
        <f t="shared" si="458"/>
        <v/>
      </c>
      <c r="AQ1088" s="109" t="str">
        <f t="shared" si="459"/>
        <v/>
      </c>
      <c r="BA1088" s="229">
        <f>MOD(SUM(E1083:E1089),12)</f>
        <v>0</v>
      </c>
    </row>
    <row r="1089" spans="1:53" ht="15.75" thickBot="1" x14ac:dyDescent="0.3">
      <c r="A1089" s="88"/>
      <c r="B1089" s="66" t="s">
        <v>284</v>
      </c>
      <c r="C1089" s="67"/>
      <c r="D1089" s="102"/>
      <c r="E1089" s="32"/>
      <c r="F1089" s="32"/>
      <c r="G1089" s="68" t="s">
        <v>277</v>
      </c>
      <c r="H1089" s="69">
        <f t="shared" si="460"/>
        <v>0</v>
      </c>
      <c r="I1089" s="70">
        <f t="shared" si="461"/>
        <v>0</v>
      </c>
      <c r="J1089" s="73" t="str">
        <f t="shared" si="462"/>
        <v>--</v>
      </c>
      <c r="K1089" s="32"/>
      <c r="L1089" s="233"/>
      <c r="M1089" s="277"/>
      <c r="N1089" s="277"/>
      <c r="O1089" s="277"/>
      <c r="P1089" s="277"/>
      <c r="Q1089" s="277"/>
      <c r="R1089" s="277"/>
      <c r="S1089" s="277"/>
      <c r="T1089" s="277"/>
      <c r="U1089" s="278"/>
      <c r="V1089" s="103"/>
      <c r="W1089" s="72"/>
      <c r="X1089" s="72"/>
      <c r="Y1089" s="72"/>
      <c r="Z1089" s="45">
        <v>15</v>
      </c>
      <c r="AA1089" s="77">
        <f t="shared" si="463"/>
        <v>169</v>
      </c>
      <c r="AB1089" s="77">
        <f t="shared" si="464"/>
        <v>180</v>
      </c>
      <c r="AC1089" s="72">
        <f t="shared" si="451"/>
        <v>1</v>
      </c>
      <c r="AD1089" s="72">
        <f t="shared" si="452"/>
        <v>1</v>
      </c>
      <c r="AE1089" s="109" t="str">
        <f t="shared" si="453"/>
        <v>0-0</v>
      </c>
      <c r="AF1089" s="109" t="str">
        <f t="shared" si="454"/>
        <v>Y</v>
      </c>
      <c r="AG1089" s="109" t="str">
        <f t="shared" si="455"/>
        <v>A</v>
      </c>
      <c r="AM1089" s="109">
        <f t="shared" si="456"/>
        <v>0</v>
      </c>
      <c r="AN1089" s="109">
        <f t="shared" si="457"/>
        <v>0</v>
      </c>
      <c r="AO1089" s="109" t="str">
        <f t="shared" si="458"/>
        <v/>
      </c>
      <c r="AQ1089" s="109" t="str">
        <f t="shared" si="459"/>
        <v/>
      </c>
      <c r="BA1089" s="229">
        <f>MOD(SUM(E1083:E1090),12)</f>
        <v>0</v>
      </c>
    </row>
    <row r="1090" spans="1:53" ht="15.75" thickBot="1" x14ac:dyDescent="0.3">
      <c r="A1090" s="88"/>
      <c r="B1090" s="66" t="s">
        <v>285</v>
      </c>
      <c r="C1090" s="67"/>
      <c r="D1090" s="102"/>
      <c r="E1090" s="32"/>
      <c r="F1090" s="32"/>
      <c r="G1090" s="68" t="s">
        <v>277</v>
      </c>
      <c r="H1090" s="69">
        <f t="shared" si="460"/>
        <v>0</v>
      </c>
      <c r="I1090" s="70">
        <f t="shared" si="461"/>
        <v>0</v>
      </c>
      <c r="J1090" s="73" t="str">
        <f t="shared" si="462"/>
        <v>--</v>
      </c>
      <c r="K1090" s="32"/>
      <c r="L1090" s="233"/>
      <c r="M1090" s="277"/>
      <c r="N1090" s="277"/>
      <c r="O1090" s="277"/>
      <c r="P1090" s="277"/>
      <c r="Q1090" s="277"/>
      <c r="R1090" s="277"/>
      <c r="S1090" s="277"/>
      <c r="T1090" s="277"/>
      <c r="U1090" s="278"/>
      <c r="V1090" s="103"/>
      <c r="W1090" s="72"/>
      <c r="X1090" s="72"/>
      <c r="Y1090" s="72"/>
      <c r="Z1090" s="45">
        <f>Z1089+1</f>
        <v>16</v>
      </c>
      <c r="AA1090" s="77">
        <f t="shared" si="463"/>
        <v>181</v>
      </c>
      <c r="AB1090" s="77">
        <f t="shared" si="464"/>
        <v>192</v>
      </c>
      <c r="AC1090" s="72">
        <f t="shared" si="451"/>
        <v>1</v>
      </c>
      <c r="AD1090" s="72">
        <f t="shared" si="452"/>
        <v>1</v>
      </c>
      <c r="AE1090" s="109" t="str">
        <f t="shared" si="453"/>
        <v>0-0</v>
      </c>
      <c r="AF1090" s="109" t="str">
        <f t="shared" si="454"/>
        <v>Y</v>
      </c>
      <c r="AG1090" s="109" t="str">
        <f t="shared" si="455"/>
        <v>A</v>
      </c>
      <c r="AM1090" s="109">
        <f t="shared" si="456"/>
        <v>0</v>
      </c>
      <c r="AN1090" s="109">
        <f t="shared" si="457"/>
        <v>0</v>
      </c>
      <c r="AO1090" s="109" t="str">
        <f t="shared" si="458"/>
        <v/>
      </c>
      <c r="AQ1090" s="109" t="str">
        <f t="shared" si="459"/>
        <v/>
      </c>
      <c r="BA1090" s="229">
        <f>MOD(SUM(E1083:E1091),12)</f>
        <v>0</v>
      </c>
    </row>
    <row r="1091" spans="1:53" ht="15.75" thickBot="1" x14ac:dyDescent="0.3">
      <c r="A1091" s="88"/>
      <c r="B1091" s="66" t="s">
        <v>286</v>
      </c>
      <c r="C1091" s="67"/>
      <c r="D1091" s="102"/>
      <c r="E1091" s="32"/>
      <c r="F1091" s="32"/>
      <c r="G1091" s="68" t="s">
        <v>277</v>
      </c>
      <c r="H1091" s="69">
        <f t="shared" si="460"/>
        <v>0</v>
      </c>
      <c r="I1091" s="70">
        <f t="shared" si="461"/>
        <v>0</v>
      </c>
      <c r="J1091" s="73" t="str">
        <f t="shared" si="462"/>
        <v>--</v>
      </c>
      <c r="K1091" s="32"/>
      <c r="L1091" s="233"/>
      <c r="M1091" s="277"/>
      <c r="N1091" s="277"/>
      <c r="O1091" s="277"/>
      <c r="P1091" s="277"/>
      <c r="Q1091" s="277"/>
      <c r="R1091" s="277"/>
      <c r="S1091" s="277"/>
      <c r="T1091" s="277"/>
      <c r="U1091" s="278"/>
      <c r="V1091" s="103"/>
      <c r="W1091" s="72"/>
      <c r="X1091" s="72"/>
      <c r="Y1091" s="72"/>
      <c r="Z1091" s="45">
        <f>Z1090+1</f>
        <v>17</v>
      </c>
      <c r="AA1091" s="77">
        <f t="shared" si="463"/>
        <v>193</v>
      </c>
      <c r="AB1091" s="77">
        <f t="shared" si="464"/>
        <v>204</v>
      </c>
      <c r="AC1091" s="72">
        <f t="shared" si="451"/>
        <v>1</v>
      </c>
      <c r="AD1091" s="72">
        <f t="shared" si="452"/>
        <v>1</v>
      </c>
      <c r="AE1091" s="109" t="str">
        <f t="shared" si="453"/>
        <v>0-0</v>
      </c>
      <c r="AF1091" s="109" t="str">
        <f t="shared" si="454"/>
        <v>Y</v>
      </c>
      <c r="AG1091" s="109" t="str">
        <f t="shared" si="455"/>
        <v>A</v>
      </c>
      <c r="AM1091" s="109">
        <f t="shared" si="456"/>
        <v>0</v>
      </c>
      <c r="AN1091" s="109">
        <f t="shared" si="457"/>
        <v>0</v>
      </c>
      <c r="AO1091" s="109" t="str">
        <f t="shared" si="458"/>
        <v/>
      </c>
      <c r="AQ1091" s="109" t="str">
        <f t="shared" si="459"/>
        <v/>
      </c>
      <c r="BA1091" s="229">
        <f>MOD(SUM(E1083:E1092),12)</f>
        <v>0</v>
      </c>
    </row>
    <row r="1092" spans="1:53" ht="15.75" thickBot="1" x14ac:dyDescent="0.3">
      <c r="A1092" s="88"/>
      <c r="B1092" s="66" t="s">
        <v>287</v>
      </c>
      <c r="C1092" s="67"/>
      <c r="D1092" s="102"/>
      <c r="E1092" s="32"/>
      <c r="F1092" s="32"/>
      <c r="G1092" s="68" t="s">
        <v>277</v>
      </c>
      <c r="H1092" s="69">
        <f t="shared" si="460"/>
        <v>0</v>
      </c>
      <c r="I1092" s="70">
        <f t="shared" si="461"/>
        <v>0</v>
      </c>
      <c r="J1092" s="73" t="str">
        <f t="shared" si="462"/>
        <v>--</v>
      </c>
      <c r="K1092" s="32"/>
      <c r="L1092" s="233"/>
      <c r="M1092" s="277"/>
      <c r="N1092" s="277"/>
      <c r="O1092" s="277"/>
      <c r="P1092" s="277"/>
      <c r="Q1092" s="277"/>
      <c r="R1092" s="277"/>
      <c r="S1092" s="277"/>
      <c r="T1092" s="277"/>
      <c r="U1092" s="278"/>
      <c r="V1092" s="103"/>
      <c r="W1092" s="72"/>
      <c r="X1092" s="72"/>
      <c r="Y1092" s="72"/>
      <c r="Z1092" s="45">
        <f>Z1091+1</f>
        <v>18</v>
      </c>
      <c r="AA1092" s="77">
        <f t="shared" si="463"/>
        <v>205</v>
      </c>
      <c r="AB1092" s="77">
        <f t="shared" si="464"/>
        <v>216</v>
      </c>
      <c r="AC1092" s="72">
        <f t="shared" si="451"/>
        <v>1</v>
      </c>
      <c r="AD1092" s="72">
        <f t="shared" si="452"/>
        <v>1</v>
      </c>
      <c r="AE1092" s="109" t="str">
        <f t="shared" si="453"/>
        <v>0-0</v>
      </c>
      <c r="AF1092" s="109" t="str">
        <f t="shared" si="454"/>
        <v>Y</v>
      </c>
      <c r="AG1092" s="109" t="str">
        <f t="shared" si="455"/>
        <v>A</v>
      </c>
      <c r="AM1092" s="109">
        <f t="shared" si="456"/>
        <v>0</v>
      </c>
      <c r="AN1092" s="109">
        <f t="shared" si="457"/>
        <v>0</v>
      </c>
      <c r="AO1092" s="109" t="str">
        <f t="shared" si="458"/>
        <v/>
      </c>
      <c r="AQ1092" s="109" t="str">
        <f t="shared" si="459"/>
        <v/>
      </c>
      <c r="BA1092" s="229">
        <f>MOD(SUM(E1083:E1093),12)</f>
        <v>0</v>
      </c>
    </row>
    <row r="1093" spans="1:53" ht="15.75" thickBot="1" x14ac:dyDescent="0.3">
      <c r="A1093" s="88"/>
      <c r="B1093" s="66" t="s">
        <v>288</v>
      </c>
      <c r="C1093" s="67"/>
      <c r="D1093" s="102"/>
      <c r="E1093" s="32"/>
      <c r="F1093" s="32"/>
      <c r="G1093" s="68" t="s">
        <v>277</v>
      </c>
      <c r="H1093" s="69">
        <f t="shared" si="460"/>
        <v>0</v>
      </c>
      <c r="I1093" s="70">
        <f t="shared" si="461"/>
        <v>0</v>
      </c>
      <c r="J1093" s="73" t="str">
        <f t="shared" si="462"/>
        <v>--</v>
      </c>
      <c r="K1093" s="32"/>
      <c r="L1093" s="233"/>
      <c r="M1093" s="277"/>
      <c r="N1093" s="277"/>
      <c r="O1093" s="277"/>
      <c r="P1093" s="277"/>
      <c r="Q1093" s="277"/>
      <c r="R1093" s="277"/>
      <c r="S1093" s="277"/>
      <c r="T1093" s="277"/>
      <c r="U1093" s="278"/>
      <c r="V1093" s="103"/>
      <c r="W1093" s="84"/>
      <c r="X1093" s="84"/>
      <c r="Y1093" s="72"/>
      <c r="Z1093" s="72"/>
      <c r="AA1093" s="72"/>
      <c r="AB1093" s="72"/>
      <c r="AC1093" s="72">
        <f t="shared" si="451"/>
        <v>1</v>
      </c>
      <c r="AD1093" s="72">
        <f t="shared" si="452"/>
        <v>1</v>
      </c>
      <c r="AE1093" s="109" t="str">
        <f t="shared" si="453"/>
        <v>0-0</v>
      </c>
      <c r="AF1093" s="109" t="str">
        <f t="shared" si="454"/>
        <v>Y</v>
      </c>
      <c r="AG1093" s="109" t="str">
        <f t="shared" si="455"/>
        <v>A</v>
      </c>
      <c r="AM1093" s="109">
        <f t="shared" si="456"/>
        <v>0</v>
      </c>
      <c r="AN1093" s="109">
        <f t="shared" si="457"/>
        <v>0</v>
      </c>
      <c r="AO1093" s="109" t="str">
        <f t="shared" si="458"/>
        <v/>
      </c>
      <c r="AQ1093" s="109" t="str">
        <f t="shared" si="459"/>
        <v/>
      </c>
      <c r="BA1093" s="229">
        <f>MOD(SUM(E1083:E1094),12)</f>
        <v>0</v>
      </c>
    </row>
    <row r="1094" spans="1:53" ht="15.75" thickBot="1" x14ac:dyDescent="0.3">
      <c r="A1094" s="88"/>
      <c r="B1094" s="66" t="s">
        <v>289</v>
      </c>
      <c r="C1094" s="67"/>
      <c r="D1094" s="102"/>
      <c r="E1094" s="32"/>
      <c r="F1094" s="32"/>
      <c r="G1094" s="68" t="s">
        <v>277</v>
      </c>
      <c r="H1094" s="69">
        <f t="shared" si="460"/>
        <v>0</v>
      </c>
      <c r="I1094" s="70">
        <f t="shared" si="461"/>
        <v>0</v>
      </c>
      <c r="J1094" s="73" t="str">
        <f t="shared" si="462"/>
        <v>--</v>
      </c>
      <c r="K1094" s="32"/>
      <c r="L1094" s="233"/>
      <c r="M1094" s="277"/>
      <c r="N1094" s="277"/>
      <c r="O1094" s="277"/>
      <c r="P1094" s="277"/>
      <c r="Q1094" s="277"/>
      <c r="R1094" s="277"/>
      <c r="S1094" s="277"/>
      <c r="T1094" s="277"/>
      <c r="U1094" s="278"/>
      <c r="V1094" s="103"/>
      <c r="W1094" s="84">
        <f>Y1094+1</f>
        <v>37</v>
      </c>
      <c r="X1094" s="84"/>
      <c r="Y1094" s="78">
        <f>SUM(E1083:E1094)</f>
        <v>36</v>
      </c>
      <c r="Z1094" s="72"/>
      <c r="AA1094" s="72"/>
      <c r="AB1094" s="72"/>
      <c r="AC1094" s="72">
        <f t="shared" si="451"/>
        <v>1</v>
      </c>
      <c r="AD1094" s="72">
        <f t="shared" si="452"/>
        <v>1</v>
      </c>
      <c r="AE1094" s="109" t="str">
        <f t="shared" si="453"/>
        <v>0-0</v>
      </c>
      <c r="AF1094" s="109" t="str">
        <f t="shared" si="454"/>
        <v>Y</v>
      </c>
      <c r="AG1094" s="109" t="str">
        <f t="shared" si="455"/>
        <v>A</v>
      </c>
      <c r="AM1094" s="109">
        <f t="shared" si="456"/>
        <v>0</v>
      </c>
      <c r="AN1094" s="109">
        <f t="shared" si="457"/>
        <v>0</v>
      </c>
      <c r="AO1094" s="109" t="str">
        <f t="shared" si="458"/>
        <v/>
      </c>
      <c r="AQ1094" s="109" t="str">
        <f t="shared" si="459"/>
        <v/>
      </c>
      <c r="BA1094" s="229">
        <f>MOD(SUM(E1083:E1095),12)</f>
        <v>0</v>
      </c>
    </row>
    <row r="1095" spans="1:53" ht="15.75" thickBot="1" x14ac:dyDescent="0.3">
      <c r="A1095" s="88"/>
      <c r="B1095" s="66" t="s">
        <v>290</v>
      </c>
      <c r="C1095" s="67"/>
      <c r="D1095" s="102"/>
      <c r="E1095" s="32"/>
      <c r="F1095" s="32"/>
      <c r="G1095" s="68" t="s">
        <v>277</v>
      </c>
      <c r="H1095" s="69">
        <f t="shared" si="460"/>
        <v>0</v>
      </c>
      <c r="I1095" s="70">
        <f t="shared" si="461"/>
        <v>0</v>
      </c>
      <c r="J1095" s="73" t="str">
        <f t="shared" si="462"/>
        <v>--</v>
      </c>
      <c r="K1095" s="32"/>
      <c r="L1095" s="233"/>
      <c r="M1095" s="277"/>
      <c r="N1095" s="277"/>
      <c r="O1095" s="277"/>
      <c r="P1095" s="277"/>
      <c r="Q1095" s="277"/>
      <c r="R1095" s="277"/>
      <c r="S1095" s="277"/>
      <c r="T1095" s="277"/>
      <c r="U1095" s="278"/>
      <c r="V1095" s="103"/>
      <c r="W1095" s="84">
        <f>Y1095+1</f>
        <v>37</v>
      </c>
      <c r="X1095" s="84"/>
      <c r="Y1095" s="78">
        <f>SUM(E1083:E1095)</f>
        <v>36</v>
      </c>
      <c r="Z1095" s="72" t="str">
        <f t="shared" ref="Z1095:Z1107" si="465">IF(OR(AND(E$8=216,C1094="DBL REV",C1095="DBL REV",Y1094&lt;=144,Y1095&gt;144),AND(E$8=216,C1094="TPL REV",C1095="TPL REV",Y1094&lt;=144,Y1095&gt;144),AND(E$8=216,C1094="QD REV",C1095="QD REV",Y1094&lt;=144,Y1095&gt;144)),"ERROR","")</f>
        <v/>
      </c>
      <c r="AA1095" s="72"/>
      <c r="AB1095" s="72"/>
      <c r="AC1095" s="72">
        <f t="shared" si="451"/>
        <v>1</v>
      </c>
      <c r="AD1095" s="72">
        <f t="shared" si="452"/>
        <v>1</v>
      </c>
      <c r="AE1095" s="109" t="str">
        <f t="shared" si="453"/>
        <v>0-0</v>
      </c>
      <c r="AF1095" s="109" t="str">
        <f t="shared" si="454"/>
        <v>Y</v>
      </c>
      <c r="AG1095" s="109" t="str">
        <f t="shared" si="455"/>
        <v>A</v>
      </c>
      <c r="AM1095" s="109">
        <f t="shared" si="456"/>
        <v>0</v>
      </c>
      <c r="AN1095" s="109">
        <f t="shared" si="457"/>
        <v>0</v>
      </c>
      <c r="AO1095" s="109" t="str">
        <f t="shared" si="458"/>
        <v/>
      </c>
      <c r="AQ1095" s="109" t="str">
        <f t="shared" si="459"/>
        <v/>
      </c>
      <c r="BA1095" s="229">
        <f>MOD(SUM(E1083:E1096),12)</f>
        <v>0</v>
      </c>
    </row>
    <row r="1096" spans="1:53" ht="15.75" thickBot="1" x14ac:dyDescent="0.3">
      <c r="A1096" s="88"/>
      <c r="B1096" s="66" t="s">
        <v>291</v>
      </c>
      <c r="C1096" s="67"/>
      <c r="D1096" s="102"/>
      <c r="E1096" s="32"/>
      <c r="F1096" s="32"/>
      <c r="G1096" s="68" t="s">
        <v>277</v>
      </c>
      <c r="H1096" s="69">
        <f t="shared" si="460"/>
        <v>0</v>
      </c>
      <c r="I1096" s="70">
        <f t="shared" si="461"/>
        <v>0</v>
      </c>
      <c r="J1096" s="73" t="str">
        <f t="shared" si="462"/>
        <v>--</v>
      </c>
      <c r="K1096" s="32"/>
      <c r="L1096" s="233"/>
      <c r="M1096" s="277"/>
      <c r="N1096" s="277"/>
      <c r="O1096" s="277"/>
      <c r="P1096" s="277"/>
      <c r="Q1096" s="277"/>
      <c r="R1096" s="277"/>
      <c r="S1096" s="277"/>
      <c r="T1096" s="277"/>
      <c r="U1096" s="278"/>
      <c r="V1096" s="103"/>
      <c r="W1096" s="84">
        <f>Y1096+1</f>
        <v>37</v>
      </c>
      <c r="X1096" s="84"/>
      <c r="Y1096" s="78">
        <f>SUM(E1083:E1096)</f>
        <v>36</v>
      </c>
      <c r="Z1096" s="72" t="str">
        <f t="shared" si="465"/>
        <v/>
      </c>
      <c r="AA1096" s="72"/>
      <c r="AB1096" s="72"/>
      <c r="AC1096" s="72">
        <f t="shared" si="451"/>
        <v>1</v>
      </c>
      <c r="AD1096" s="72">
        <f t="shared" si="452"/>
        <v>1</v>
      </c>
      <c r="AE1096" s="109" t="str">
        <f t="shared" si="453"/>
        <v>0-0</v>
      </c>
      <c r="AF1096" s="109" t="str">
        <f t="shared" si="454"/>
        <v>Y</v>
      </c>
      <c r="AG1096" s="109" t="str">
        <f t="shared" si="455"/>
        <v>A</v>
      </c>
      <c r="AM1096" s="109">
        <f t="shared" si="456"/>
        <v>0</v>
      </c>
      <c r="AN1096" s="109">
        <f t="shared" si="457"/>
        <v>0</v>
      </c>
      <c r="AO1096" s="109" t="str">
        <f t="shared" si="458"/>
        <v/>
      </c>
      <c r="AQ1096" s="109" t="str">
        <f t="shared" si="459"/>
        <v/>
      </c>
      <c r="BA1096" s="229">
        <f>MOD(SUM(E1083:E1097),12)</f>
        <v>0</v>
      </c>
    </row>
    <row r="1097" spans="1:53" ht="15.75" thickBot="1" x14ac:dyDescent="0.3">
      <c r="A1097" s="88"/>
      <c r="B1097" s="66" t="s">
        <v>292</v>
      </c>
      <c r="C1097" s="67"/>
      <c r="D1097" s="102"/>
      <c r="E1097" s="32"/>
      <c r="F1097" s="32"/>
      <c r="G1097" s="68" t="s">
        <v>277</v>
      </c>
      <c r="H1097" s="69">
        <f t="shared" si="460"/>
        <v>0</v>
      </c>
      <c r="I1097" s="70">
        <f t="shared" si="461"/>
        <v>0</v>
      </c>
      <c r="J1097" s="73" t="str">
        <f t="shared" si="462"/>
        <v>--</v>
      </c>
      <c r="K1097" s="32"/>
      <c r="L1097" s="233"/>
      <c r="M1097" s="277"/>
      <c r="N1097" s="277"/>
      <c r="O1097" s="277"/>
      <c r="P1097" s="277"/>
      <c r="Q1097" s="277"/>
      <c r="R1097" s="277"/>
      <c r="S1097" s="277"/>
      <c r="T1097" s="277"/>
      <c r="U1097" s="278"/>
      <c r="V1097" s="103"/>
      <c r="W1097" s="84">
        <f>Y1097+1</f>
        <v>37</v>
      </c>
      <c r="X1097" s="84"/>
      <c r="Y1097" s="78">
        <f>SUM(E1083:E1097)</f>
        <v>36</v>
      </c>
      <c r="Z1097" s="72" t="str">
        <f t="shared" si="465"/>
        <v/>
      </c>
      <c r="AA1097" s="72" t="str">
        <f t="shared" ref="AA1097:AA1109" si="466">IF(AND(C1095&lt;&gt;"Field SPL",W1094&lt;=144,Y1095&gt;144),"ERROR","")</f>
        <v/>
      </c>
      <c r="AB1097" s="72"/>
      <c r="AC1097" s="72">
        <f t="shared" si="451"/>
        <v>1</v>
      </c>
      <c r="AD1097" s="72">
        <f t="shared" si="452"/>
        <v>1</v>
      </c>
      <c r="AE1097" s="109" t="str">
        <f t="shared" si="453"/>
        <v>0-0</v>
      </c>
      <c r="AF1097" s="109" t="str">
        <f t="shared" si="454"/>
        <v>Y</v>
      </c>
      <c r="AG1097" s="109" t="str">
        <f t="shared" si="455"/>
        <v>A</v>
      </c>
      <c r="AM1097" s="109">
        <f t="shared" si="456"/>
        <v>0</v>
      </c>
      <c r="AN1097" s="109">
        <f t="shared" si="457"/>
        <v>0</v>
      </c>
      <c r="AO1097" s="109" t="str">
        <f t="shared" si="458"/>
        <v/>
      </c>
      <c r="AQ1097" s="109" t="str">
        <f t="shared" si="459"/>
        <v/>
      </c>
      <c r="BA1097" s="229">
        <f>MOD(SUM(E1083:E1098),12)</f>
        <v>0</v>
      </c>
    </row>
    <row r="1098" spans="1:53" ht="15.75" thickBot="1" x14ac:dyDescent="0.3">
      <c r="A1098" s="88"/>
      <c r="B1098" s="66" t="s">
        <v>293</v>
      </c>
      <c r="C1098" s="67"/>
      <c r="D1098" s="102"/>
      <c r="E1098" s="32"/>
      <c r="F1098" s="32"/>
      <c r="G1098" s="68" t="s">
        <v>277</v>
      </c>
      <c r="H1098" s="69">
        <f t="shared" si="460"/>
        <v>0</v>
      </c>
      <c r="I1098" s="70">
        <f t="shared" si="461"/>
        <v>0</v>
      </c>
      <c r="J1098" s="73" t="str">
        <f t="shared" si="462"/>
        <v>--</v>
      </c>
      <c r="K1098" s="32"/>
      <c r="L1098" s="233"/>
      <c r="M1098" s="277"/>
      <c r="N1098" s="277"/>
      <c r="O1098" s="277"/>
      <c r="P1098" s="277"/>
      <c r="Q1098" s="277"/>
      <c r="R1098" s="277"/>
      <c r="S1098" s="277"/>
      <c r="T1098" s="277"/>
      <c r="U1098" s="278"/>
      <c r="V1098" s="103"/>
      <c r="W1098" s="84">
        <f t="shared" ref="W1098:W1106" si="467">Y1098+1</f>
        <v>37</v>
      </c>
      <c r="X1098" s="84"/>
      <c r="Y1098" s="78">
        <f>SUM(E1083:E1098)</f>
        <v>36</v>
      </c>
      <c r="Z1098" s="72" t="str">
        <f t="shared" si="465"/>
        <v/>
      </c>
      <c r="AA1098" s="72" t="str">
        <f t="shared" si="466"/>
        <v/>
      </c>
      <c r="AB1098" s="72"/>
      <c r="AC1098" s="72">
        <f t="shared" si="451"/>
        <v>1</v>
      </c>
      <c r="AD1098" s="72">
        <f t="shared" si="452"/>
        <v>1</v>
      </c>
      <c r="AE1098" s="109" t="str">
        <f t="shared" si="453"/>
        <v>0-0</v>
      </c>
      <c r="AF1098" s="109" t="str">
        <f t="shared" si="454"/>
        <v>Y</v>
      </c>
      <c r="AG1098" s="109" t="str">
        <f t="shared" si="455"/>
        <v>A</v>
      </c>
      <c r="AM1098" s="109">
        <f t="shared" si="456"/>
        <v>0</v>
      </c>
      <c r="AN1098" s="109">
        <f t="shared" si="457"/>
        <v>0</v>
      </c>
      <c r="AO1098" s="109" t="str">
        <f t="shared" si="458"/>
        <v/>
      </c>
      <c r="AQ1098" s="109" t="str">
        <f t="shared" si="459"/>
        <v/>
      </c>
      <c r="BA1098" s="229">
        <f>MOD(SUM(E1083:E1099),12)</f>
        <v>0</v>
      </c>
    </row>
    <row r="1099" spans="1:53" ht="15.75" thickBot="1" x14ac:dyDescent="0.3">
      <c r="A1099" s="88"/>
      <c r="B1099" s="66" t="s">
        <v>294</v>
      </c>
      <c r="C1099" s="67"/>
      <c r="D1099" s="102"/>
      <c r="E1099" s="32"/>
      <c r="F1099" s="32"/>
      <c r="G1099" s="68" t="s">
        <v>277</v>
      </c>
      <c r="H1099" s="69">
        <f t="shared" si="460"/>
        <v>0</v>
      </c>
      <c r="I1099" s="70">
        <f t="shared" si="461"/>
        <v>0</v>
      </c>
      <c r="J1099" s="73" t="str">
        <f t="shared" si="462"/>
        <v>--</v>
      </c>
      <c r="K1099" s="32"/>
      <c r="L1099" s="233"/>
      <c r="M1099" s="277"/>
      <c r="N1099" s="277"/>
      <c r="O1099" s="277"/>
      <c r="P1099" s="277"/>
      <c r="Q1099" s="277"/>
      <c r="R1099" s="277"/>
      <c r="S1099" s="277"/>
      <c r="T1099" s="277"/>
      <c r="U1099" s="278"/>
      <c r="V1099" s="103"/>
      <c r="W1099" s="84">
        <f t="shared" si="467"/>
        <v>37</v>
      </c>
      <c r="X1099" s="84"/>
      <c r="Y1099" s="78">
        <f>SUM(E1083:E1099)</f>
        <v>36</v>
      </c>
      <c r="Z1099" s="72" t="str">
        <f t="shared" si="465"/>
        <v/>
      </c>
      <c r="AA1099" s="72" t="str">
        <f t="shared" si="466"/>
        <v/>
      </c>
      <c r="AB1099" s="72"/>
      <c r="AC1099" s="72">
        <f t="shared" si="451"/>
        <v>1</v>
      </c>
      <c r="AD1099" s="72">
        <f t="shared" si="452"/>
        <v>1</v>
      </c>
      <c r="AE1099" s="109" t="str">
        <f t="shared" si="453"/>
        <v>0-0</v>
      </c>
      <c r="AF1099" s="109" t="str">
        <f t="shared" si="454"/>
        <v>Y</v>
      </c>
      <c r="AG1099" s="109" t="str">
        <f t="shared" si="455"/>
        <v>A</v>
      </c>
      <c r="AM1099" s="109">
        <f t="shared" si="456"/>
        <v>0</v>
      </c>
      <c r="AN1099" s="109">
        <f t="shared" si="457"/>
        <v>0</v>
      </c>
      <c r="AO1099" s="109" t="str">
        <f t="shared" si="458"/>
        <v/>
      </c>
      <c r="AQ1099" s="109" t="str">
        <f t="shared" si="459"/>
        <v/>
      </c>
      <c r="BA1099" s="229">
        <f>MOD(SUM(E1083:E1100),12)</f>
        <v>0</v>
      </c>
    </row>
    <row r="1100" spans="1:53" ht="15.75" thickBot="1" x14ac:dyDescent="0.3">
      <c r="A1100" s="88"/>
      <c r="B1100" s="66" t="s">
        <v>295</v>
      </c>
      <c r="C1100" s="67"/>
      <c r="D1100" s="102"/>
      <c r="E1100" s="32"/>
      <c r="F1100" s="32"/>
      <c r="G1100" s="68" t="s">
        <v>277</v>
      </c>
      <c r="H1100" s="69">
        <f t="shared" si="460"/>
        <v>0</v>
      </c>
      <c r="I1100" s="70">
        <f t="shared" si="461"/>
        <v>0</v>
      </c>
      <c r="J1100" s="73" t="str">
        <f t="shared" si="462"/>
        <v>--</v>
      </c>
      <c r="K1100" s="32"/>
      <c r="L1100" s="233"/>
      <c r="M1100" s="277"/>
      <c r="N1100" s="277"/>
      <c r="O1100" s="277"/>
      <c r="P1100" s="277"/>
      <c r="Q1100" s="277"/>
      <c r="R1100" s="277"/>
      <c r="S1100" s="277"/>
      <c r="T1100" s="277"/>
      <c r="U1100" s="278"/>
      <c r="V1100" s="103"/>
      <c r="W1100" s="84">
        <f t="shared" si="467"/>
        <v>37</v>
      </c>
      <c r="X1100" s="84"/>
      <c r="Y1100" s="78">
        <f>SUM(E1083:E1100)</f>
        <v>36</v>
      </c>
      <c r="Z1100" s="72" t="str">
        <f t="shared" si="465"/>
        <v/>
      </c>
      <c r="AA1100" s="72" t="str">
        <f t="shared" si="466"/>
        <v/>
      </c>
      <c r="AB1100" s="72"/>
      <c r="AC1100" s="72">
        <f t="shared" si="451"/>
        <v>1</v>
      </c>
      <c r="AD1100" s="72">
        <f t="shared" si="452"/>
        <v>1</v>
      </c>
      <c r="AE1100" s="109" t="str">
        <f t="shared" si="453"/>
        <v>0-0</v>
      </c>
      <c r="AF1100" s="109" t="str">
        <f t="shared" si="454"/>
        <v>Y</v>
      </c>
      <c r="AG1100" s="109" t="str">
        <f t="shared" si="455"/>
        <v>A</v>
      </c>
      <c r="AM1100" s="109">
        <f t="shared" si="456"/>
        <v>0</v>
      </c>
      <c r="AN1100" s="109">
        <f t="shared" si="457"/>
        <v>0</v>
      </c>
      <c r="AO1100" s="109" t="str">
        <f t="shared" si="458"/>
        <v/>
      </c>
      <c r="AQ1100" s="109" t="str">
        <f t="shared" si="459"/>
        <v/>
      </c>
      <c r="BA1100" s="229">
        <f>MOD(SUM(E1083:E1101),12)</f>
        <v>0</v>
      </c>
    </row>
    <row r="1101" spans="1:53" ht="15.75" thickBot="1" x14ac:dyDescent="0.3">
      <c r="A1101" s="88"/>
      <c r="B1101" s="66" t="s">
        <v>296</v>
      </c>
      <c r="C1101" s="67"/>
      <c r="D1101" s="102"/>
      <c r="E1101" s="32"/>
      <c r="F1101" s="32"/>
      <c r="G1101" s="68" t="s">
        <v>277</v>
      </c>
      <c r="H1101" s="69">
        <f t="shared" si="460"/>
        <v>0</v>
      </c>
      <c r="I1101" s="70">
        <f t="shared" si="461"/>
        <v>0</v>
      </c>
      <c r="J1101" s="73" t="str">
        <f t="shared" si="462"/>
        <v>--</v>
      </c>
      <c r="K1101" s="32"/>
      <c r="L1101" s="233"/>
      <c r="M1101" s="277"/>
      <c r="N1101" s="277"/>
      <c r="O1101" s="277"/>
      <c r="P1101" s="277"/>
      <c r="Q1101" s="277"/>
      <c r="R1101" s="277"/>
      <c r="S1101" s="277"/>
      <c r="T1101" s="277"/>
      <c r="U1101" s="278"/>
      <c r="V1101" s="103"/>
      <c r="W1101" s="84">
        <f t="shared" si="467"/>
        <v>37</v>
      </c>
      <c r="X1101" s="84"/>
      <c r="Y1101" s="78">
        <f>SUM(E1083:E1101)</f>
        <v>36</v>
      </c>
      <c r="Z1101" s="72" t="str">
        <f t="shared" si="465"/>
        <v/>
      </c>
      <c r="AA1101" s="72" t="str">
        <f t="shared" si="466"/>
        <v/>
      </c>
      <c r="AB1101" s="72"/>
      <c r="AC1101" s="72">
        <f t="shared" si="451"/>
        <v>1</v>
      </c>
      <c r="AD1101" s="72">
        <f t="shared" si="452"/>
        <v>1</v>
      </c>
      <c r="AE1101" s="109" t="str">
        <f t="shared" si="453"/>
        <v>0-0</v>
      </c>
      <c r="AF1101" s="109" t="str">
        <f t="shared" si="454"/>
        <v>Y</v>
      </c>
      <c r="AG1101" s="109" t="str">
        <f t="shared" si="455"/>
        <v>A</v>
      </c>
      <c r="AM1101" s="109">
        <f t="shared" si="456"/>
        <v>0</v>
      </c>
      <c r="AN1101" s="109">
        <f t="shared" si="457"/>
        <v>0</v>
      </c>
      <c r="AO1101" s="109" t="str">
        <f t="shared" si="458"/>
        <v/>
      </c>
      <c r="AQ1101" s="109" t="str">
        <f t="shared" si="459"/>
        <v/>
      </c>
      <c r="BA1101" s="229">
        <f>MOD(SUM(E1083:E1102),12)</f>
        <v>0</v>
      </c>
    </row>
    <row r="1102" spans="1:53" ht="15.75" thickBot="1" x14ac:dyDescent="0.3">
      <c r="A1102" s="88"/>
      <c r="B1102" s="66" t="s">
        <v>297</v>
      </c>
      <c r="C1102" s="67"/>
      <c r="D1102" s="102"/>
      <c r="E1102" s="32"/>
      <c r="F1102" s="32"/>
      <c r="G1102" s="68" t="s">
        <v>277</v>
      </c>
      <c r="H1102" s="69">
        <f t="shared" si="460"/>
        <v>0</v>
      </c>
      <c r="I1102" s="70">
        <f t="shared" si="461"/>
        <v>0</v>
      </c>
      <c r="J1102" s="73" t="str">
        <f t="shared" si="462"/>
        <v>--</v>
      </c>
      <c r="K1102" s="32"/>
      <c r="L1102" s="233"/>
      <c r="M1102" s="277"/>
      <c r="N1102" s="277"/>
      <c r="O1102" s="277"/>
      <c r="P1102" s="277"/>
      <c r="Q1102" s="277"/>
      <c r="R1102" s="277"/>
      <c r="S1102" s="277"/>
      <c r="T1102" s="277"/>
      <c r="U1102" s="278"/>
      <c r="V1102" s="103"/>
      <c r="W1102" s="84">
        <f t="shared" si="467"/>
        <v>37</v>
      </c>
      <c r="X1102" s="84"/>
      <c r="Y1102" s="78">
        <f>SUM(E1083:E1102)</f>
        <v>36</v>
      </c>
      <c r="Z1102" s="72" t="str">
        <f t="shared" si="465"/>
        <v/>
      </c>
      <c r="AA1102" s="72" t="str">
        <f t="shared" si="466"/>
        <v/>
      </c>
      <c r="AB1102" s="72"/>
      <c r="AC1102" s="72">
        <f t="shared" si="451"/>
        <v>1</v>
      </c>
      <c r="AD1102" s="72">
        <f t="shared" si="452"/>
        <v>1</v>
      </c>
      <c r="AE1102" s="109" t="str">
        <f t="shared" si="453"/>
        <v>0-0</v>
      </c>
      <c r="AF1102" s="109" t="str">
        <f t="shared" si="454"/>
        <v>Y</v>
      </c>
      <c r="AG1102" s="109" t="str">
        <f t="shared" si="455"/>
        <v>A</v>
      </c>
      <c r="AM1102" s="109">
        <f t="shared" si="456"/>
        <v>0</v>
      </c>
      <c r="AN1102" s="109">
        <f t="shared" si="457"/>
        <v>0</v>
      </c>
      <c r="AO1102" s="109" t="str">
        <f t="shared" si="458"/>
        <v/>
      </c>
      <c r="AQ1102" s="109" t="str">
        <f t="shared" si="459"/>
        <v/>
      </c>
      <c r="BA1102" s="229">
        <f>MOD(SUM(E1083:E1103),12)</f>
        <v>0</v>
      </c>
    </row>
    <row r="1103" spans="1:53" ht="15.75" thickBot="1" x14ac:dyDescent="0.3">
      <c r="A1103" s="88"/>
      <c r="B1103" s="66" t="s">
        <v>298</v>
      </c>
      <c r="C1103" s="67"/>
      <c r="D1103" s="102"/>
      <c r="E1103" s="32"/>
      <c r="F1103" s="32"/>
      <c r="G1103" s="68" t="s">
        <v>277</v>
      </c>
      <c r="H1103" s="69">
        <f t="shared" si="460"/>
        <v>0</v>
      </c>
      <c r="I1103" s="70">
        <f t="shared" si="461"/>
        <v>0</v>
      </c>
      <c r="J1103" s="73" t="str">
        <f t="shared" si="462"/>
        <v>--</v>
      </c>
      <c r="K1103" s="32"/>
      <c r="L1103" s="233"/>
      <c r="M1103" s="277"/>
      <c r="N1103" s="277"/>
      <c r="O1103" s="277"/>
      <c r="P1103" s="277"/>
      <c r="Q1103" s="277"/>
      <c r="R1103" s="277"/>
      <c r="S1103" s="277"/>
      <c r="T1103" s="277"/>
      <c r="U1103" s="278"/>
      <c r="V1103" s="103"/>
      <c r="W1103" s="84">
        <f t="shared" si="467"/>
        <v>37</v>
      </c>
      <c r="X1103" s="84"/>
      <c r="Y1103" s="78">
        <f>SUM(E1083:E1103)</f>
        <v>36</v>
      </c>
      <c r="Z1103" s="72" t="str">
        <f t="shared" si="465"/>
        <v/>
      </c>
      <c r="AA1103" s="72" t="str">
        <f t="shared" si="466"/>
        <v/>
      </c>
      <c r="AB1103" s="72"/>
      <c r="AC1103" s="72">
        <f t="shared" si="451"/>
        <v>1</v>
      </c>
      <c r="AD1103" s="72">
        <f t="shared" si="452"/>
        <v>1</v>
      </c>
      <c r="AE1103" s="109" t="str">
        <f t="shared" si="453"/>
        <v>0-0</v>
      </c>
      <c r="AF1103" s="109" t="str">
        <f t="shared" si="454"/>
        <v>Y</v>
      </c>
      <c r="AG1103" s="109" t="str">
        <f t="shared" si="455"/>
        <v>A</v>
      </c>
      <c r="AM1103" s="109">
        <f t="shared" si="456"/>
        <v>0</v>
      </c>
      <c r="AN1103" s="109">
        <f t="shared" si="457"/>
        <v>0</v>
      </c>
      <c r="AO1103" s="109" t="str">
        <f t="shared" si="458"/>
        <v/>
      </c>
      <c r="AQ1103" s="109" t="str">
        <f t="shared" si="459"/>
        <v/>
      </c>
      <c r="BA1103" s="229">
        <f>MOD(SUM(E1083:E1104),12)</f>
        <v>0</v>
      </c>
    </row>
    <row r="1104" spans="1:53" ht="15.75" thickBot="1" x14ac:dyDescent="0.3">
      <c r="A1104" s="88"/>
      <c r="B1104" s="66" t="s">
        <v>299</v>
      </c>
      <c r="C1104" s="67"/>
      <c r="D1104" s="102"/>
      <c r="E1104" s="32"/>
      <c r="F1104" s="32"/>
      <c r="G1104" s="68" t="s">
        <v>277</v>
      </c>
      <c r="H1104" s="69">
        <f t="shared" si="460"/>
        <v>0</v>
      </c>
      <c r="I1104" s="70">
        <f t="shared" si="461"/>
        <v>0</v>
      </c>
      <c r="J1104" s="73" t="str">
        <f t="shared" si="462"/>
        <v>--</v>
      </c>
      <c r="K1104" s="32"/>
      <c r="L1104" s="233"/>
      <c r="M1104" s="277"/>
      <c r="N1104" s="277"/>
      <c r="O1104" s="277"/>
      <c r="P1104" s="277"/>
      <c r="Q1104" s="277"/>
      <c r="R1104" s="277"/>
      <c r="S1104" s="277"/>
      <c r="T1104" s="277"/>
      <c r="U1104" s="278"/>
      <c r="V1104" s="103"/>
      <c r="W1104" s="84">
        <f t="shared" si="467"/>
        <v>37</v>
      </c>
      <c r="X1104" s="84"/>
      <c r="Y1104" s="78">
        <f>SUM(E1083:E1104)</f>
        <v>36</v>
      </c>
      <c r="Z1104" s="72" t="str">
        <f t="shared" si="465"/>
        <v/>
      </c>
      <c r="AA1104" s="72" t="str">
        <f t="shared" si="466"/>
        <v/>
      </c>
      <c r="AB1104" s="72"/>
      <c r="AC1104" s="72">
        <f t="shared" si="451"/>
        <v>1</v>
      </c>
      <c r="AD1104" s="72">
        <f t="shared" si="452"/>
        <v>1</v>
      </c>
      <c r="AE1104" s="109" t="str">
        <f t="shared" si="453"/>
        <v>0-0</v>
      </c>
      <c r="AF1104" s="109" t="str">
        <f t="shared" si="454"/>
        <v>Y</v>
      </c>
      <c r="AG1104" s="109" t="str">
        <f t="shared" si="455"/>
        <v>A</v>
      </c>
      <c r="AM1104" s="109">
        <f t="shared" si="456"/>
        <v>0</v>
      </c>
      <c r="AN1104" s="109">
        <f t="shared" si="457"/>
        <v>0</v>
      </c>
      <c r="AO1104" s="109" t="str">
        <f t="shared" si="458"/>
        <v/>
      </c>
      <c r="AQ1104" s="109" t="str">
        <f t="shared" si="459"/>
        <v/>
      </c>
      <c r="BA1104" s="229">
        <f>MOD(SUM(E1083:E1105),12)</f>
        <v>0</v>
      </c>
    </row>
    <row r="1105" spans="1:53" ht="15.75" thickBot="1" x14ac:dyDescent="0.3">
      <c r="A1105" s="88"/>
      <c r="B1105" s="66" t="s">
        <v>300</v>
      </c>
      <c r="C1105" s="67"/>
      <c r="D1105" s="102"/>
      <c r="E1105" s="32"/>
      <c r="F1105" s="32"/>
      <c r="G1105" s="68" t="s">
        <v>277</v>
      </c>
      <c r="H1105" s="69">
        <f t="shared" si="460"/>
        <v>0</v>
      </c>
      <c r="I1105" s="70">
        <f t="shared" si="461"/>
        <v>0</v>
      </c>
      <c r="J1105" s="73" t="str">
        <f t="shared" si="462"/>
        <v>--</v>
      </c>
      <c r="K1105" s="32"/>
      <c r="L1105" s="233"/>
      <c r="M1105" s="277"/>
      <c r="N1105" s="277"/>
      <c r="O1105" s="277"/>
      <c r="P1105" s="277"/>
      <c r="Q1105" s="277"/>
      <c r="R1105" s="277"/>
      <c r="S1105" s="277"/>
      <c r="T1105" s="277"/>
      <c r="U1105" s="278"/>
      <c r="V1105" s="103"/>
      <c r="W1105" s="84">
        <f t="shared" si="467"/>
        <v>37</v>
      </c>
      <c r="X1105" s="84"/>
      <c r="Y1105" s="78">
        <f>SUM(E1083:E1105)</f>
        <v>36</v>
      </c>
      <c r="Z1105" s="72" t="str">
        <f t="shared" si="465"/>
        <v/>
      </c>
      <c r="AA1105" s="72" t="str">
        <f t="shared" si="466"/>
        <v/>
      </c>
      <c r="AB1105" s="72"/>
      <c r="AC1105" s="72">
        <f t="shared" si="451"/>
        <v>1</v>
      </c>
      <c r="AD1105" s="72">
        <f t="shared" si="452"/>
        <v>1</v>
      </c>
      <c r="AE1105" s="109" t="str">
        <f t="shared" si="453"/>
        <v>0-0</v>
      </c>
      <c r="AF1105" s="109" t="str">
        <f t="shared" si="454"/>
        <v>Y</v>
      </c>
      <c r="AG1105" s="109" t="str">
        <f t="shared" si="455"/>
        <v>A</v>
      </c>
      <c r="AM1105" s="109">
        <f t="shared" si="456"/>
        <v>0</v>
      </c>
      <c r="AN1105" s="109">
        <f t="shared" si="457"/>
        <v>0</v>
      </c>
      <c r="AO1105" s="109" t="str">
        <f t="shared" si="458"/>
        <v/>
      </c>
      <c r="AQ1105" s="109" t="str">
        <f t="shared" si="459"/>
        <v/>
      </c>
      <c r="BA1105" s="229">
        <f>MOD(SUM(E1083:E1106),12)</f>
        <v>0</v>
      </c>
    </row>
    <row r="1106" spans="1:53" ht="15.75" thickBot="1" x14ac:dyDescent="0.3">
      <c r="A1106" s="88"/>
      <c r="B1106" s="66" t="s">
        <v>301</v>
      </c>
      <c r="C1106" s="67"/>
      <c r="D1106" s="102"/>
      <c r="E1106" s="32"/>
      <c r="F1106" s="32"/>
      <c r="G1106" s="68" t="s">
        <v>277</v>
      </c>
      <c r="H1106" s="69">
        <f t="shared" si="460"/>
        <v>0</v>
      </c>
      <c r="I1106" s="70">
        <f t="shared" si="461"/>
        <v>0</v>
      </c>
      <c r="J1106" s="73" t="str">
        <f t="shared" si="462"/>
        <v>--</v>
      </c>
      <c r="K1106" s="32"/>
      <c r="L1106" s="233"/>
      <c r="M1106" s="277"/>
      <c r="N1106" s="277"/>
      <c r="O1106" s="277"/>
      <c r="P1106" s="277"/>
      <c r="Q1106" s="277"/>
      <c r="R1106" s="277"/>
      <c r="S1106" s="277"/>
      <c r="T1106" s="277"/>
      <c r="U1106" s="278"/>
      <c r="V1106" s="103"/>
      <c r="W1106" s="84">
        <f t="shared" si="467"/>
        <v>37</v>
      </c>
      <c r="X1106" s="84"/>
      <c r="Y1106" s="78">
        <f>SUM(E1083:E1106)</f>
        <v>36</v>
      </c>
      <c r="Z1106" s="72" t="str">
        <f t="shared" si="465"/>
        <v/>
      </c>
      <c r="AA1106" s="72" t="str">
        <f t="shared" si="466"/>
        <v/>
      </c>
      <c r="AB1106" s="72"/>
      <c r="AC1106" s="72">
        <f t="shared" si="451"/>
        <v>1</v>
      </c>
      <c r="AD1106" s="72">
        <f t="shared" si="452"/>
        <v>1</v>
      </c>
      <c r="AE1106" s="109" t="str">
        <f t="shared" si="453"/>
        <v>0-0</v>
      </c>
      <c r="AF1106" s="109" t="str">
        <f t="shared" si="454"/>
        <v>Y</v>
      </c>
      <c r="AG1106" s="109" t="str">
        <f t="shared" si="455"/>
        <v>A</v>
      </c>
      <c r="AM1106" s="109">
        <f t="shared" si="456"/>
        <v>0</v>
      </c>
      <c r="AN1106" s="109">
        <f t="shared" si="457"/>
        <v>0</v>
      </c>
      <c r="AO1106" s="109" t="str">
        <f t="shared" si="458"/>
        <v/>
      </c>
      <c r="AQ1106" s="109" t="str">
        <f t="shared" si="459"/>
        <v/>
      </c>
      <c r="BA1106" s="229">
        <f>MOD(SUM(E1083:E1107),12)</f>
        <v>0</v>
      </c>
    </row>
    <row r="1107" spans="1:53" ht="15.75" thickBot="1" x14ac:dyDescent="0.3">
      <c r="A1107" s="88"/>
      <c r="B1107" s="66" t="s">
        <v>302</v>
      </c>
      <c r="C1107" s="67"/>
      <c r="D1107" s="102"/>
      <c r="E1107" s="32"/>
      <c r="F1107" s="32"/>
      <c r="G1107" s="68" t="s">
        <v>277</v>
      </c>
      <c r="H1107" s="69">
        <f t="shared" si="460"/>
        <v>0</v>
      </c>
      <c r="I1107" s="70">
        <f t="shared" si="461"/>
        <v>0</v>
      </c>
      <c r="J1107" s="73" t="str">
        <f t="shared" si="462"/>
        <v>--</v>
      </c>
      <c r="K1107" s="32"/>
      <c r="L1107" s="234"/>
      <c r="M1107" s="277"/>
      <c r="N1107" s="277"/>
      <c r="O1107" s="277"/>
      <c r="P1107" s="277"/>
      <c r="Q1107" s="277"/>
      <c r="R1107" s="277"/>
      <c r="S1107" s="277"/>
      <c r="T1107" s="277"/>
      <c r="U1107" s="278"/>
      <c r="V1107" s="103"/>
      <c r="W1107" s="72"/>
      <c r="X1107" s="72"/>
      <c r="Y1107" s="78">
        <f>SUM(E1083:E1107)</f>
        <v>36</v>
      </c>
      <c r="Z1107" s="72" t="str">
        <f t="shared" si="465"/>
        <v/>
      </c>
      <c r="AA1107" s="72" t="str">
        <f t="shared" si="466"/>
        <v/>
      </c>
      <c r="AB1107" s="72"/>
      <c r="AC1107" s="72">
        <f t="shared" si="451"/>
        <v>1</v>
      </c>
      <c r="AD1107" s="72">
        <f t="shared" si="452"/>
        <v>1</v>
      </c>
      <c r="AE1107" s="109" t="str">
        <f t="shared" si="453"/>
        <v>0-0</v>
      </c>
      <c r="AF1107" s="109" t="str">
        <f t="shared" si="454"/>
        <v>Y</v>
      </c>
      <c r="AG1107" s="109" t="str">
        <f t="shared" si="455"/>
        <v>A</v>
      </c>
      <c r="AM1107" s="109">
        <f t="shared" si="456"/>
        <v>0</v>
      </c>
      <c r="AN1107" s="109">
        <f t="shared" si="457"/>
        <v>0</v>
      </c>
      <c r="AO1107" s="109" t="str">
        <f t="shared" si="458"/>
        <v/>
      </c>
      <c r="AQ1107" s="109" t="str">
        <f t="shared" si="459"/>
        <v/>
      </c>
      <c r="BA1107" s="228"/>
    </row>
    <row r="1108" spans="1:53" ht="16.5" thickBot="1" x14ac:dyDescent="0.3">
      <c r="A1108" s="88"/>
      <c r="B1108" s="319" t="s">
        <v>357</v>
      </c>
      <c r="C1108" s="320"/>
      <c r="D1108" s="79"/>
      <c r="E1108" s="80"/>
      <c r="F1108" s="80"/>
      <c r="G1108" s="81"/>
      <c r="H1108" s="192"/>
      <c r="I1108" s="192"/>
      <c r="J1108" s="192"/>
      <c r="K1108" s="82"/>
      <c r="L1108" s="319" t="s">
        <v>306</v>
      </c>
      <c r="M1108" s="330"/>
      <c r="N1108" s="330"/>
      <c r="O1108" s="330"/>
      <c r="P1108" s="330"/>
      <c r="Q1108" s="330"/>
      <c r="R1108" s="330"/>
      <c r="S1108" s="330"/>
      <c r="T1108" s="330"/>
      <c r="U1108" s="320"/>
      <c r="V1108" s="104"/>
      <c r="W1108" s="72"/>
      <c r="X1108" s="72"/>
      <c r="Y1108" s="72"/>
      <c r="Z1108" s="72"/>
      <c r="AA1108" s="72" t="str">
        <f t="shared" si="466"/>
        <v/>
      </c>
      <c r="AB1108" s="72"/>
      <c r="AC1108" s="72">
        <f>SUM(AC1083:AC1107)</f>
        <v>25</v>
      </c>
      <c r="AD1108" s="72">
        <f>SUM(AD1083:AD1107)</f>
        <v>22</v>
      </c>
      <c r="AM1108" s="109">
        <f>SUM(AM1083:AM1107)</f>
        <v>1</v>
      </c>
      <c r="AN1108" s="109">
        <f>SUM(AN1083:AN1107)</f>
        <v>1</v>
      </c>
      <c r="AO1108" s="109">
        <f>((COUNTIF(AO1083:AO1107,"Y")/3)*2)</f>
        <v>0</v>
      </c>
      <c r="AP1108" s="109">
        <f>(COUNTIF(AO1083:AO1107,"Y")/3)</f>
        <v>0</v>
      </c>
      <c r="AQ1108" s="109">
        <f>(COUNTIF(AQ1083:AQ1107,"Y")/2)</f>
        <v>0</v>
      </c>
      <c r="AR1108" s="109">
        <f>(COUNTIF(AQ1083:AQ1107,"Y")/2)</f>
        <v>0</v>
      </c>
      <c r="BA1108" s="228"/>
    </row>
    <row r="1109" spans="1:53" ht="16.5" thickBot="1" x14ac:dyDescent="0.3">
      <c r="A1109" s="88"/>
      <c r="B1109" s="319" t="s">
        <v>307</v>
      </c>
      <c r="C1109" s="320"/>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66"/>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312" t="s">
        <v>222</v>
      </c>
      <c r="C1113" s="313"/>
      <c r="D1113" s="314" t="s">
        <v>223</v>
      </c>
      <c r="E1113" s="305"/>
      <c r="F1113" s="88"/>
      <c r="G1113" s="315" t="s">
        <v>224</v>
      </c>
      <c r="H1113" s="316"/>
      <c r="I1113" s="28">
        <f>SUM(E1124:E1148)</f>
        <v>24</v>
      </c>
      <c r="J1113" s="317" t="s">
        <v>225</v>
      </c>
      <c r="K1113" s="318"/>
      <c r="L1113" s="305"/>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5" t="s">
        <v>226</v>
      </c>
      <c r="AA1113" s="296"/>
      <c r="AB1113" s="297"/>
      <c r="AC1113" s="25"/>
      <c r="AD1113" s="25"/>
      <c r="AH1113" s="109">
        <v>2</v>
      </c>
      <c r="AI1113" s="109" t="str">
        <f>IF($E1114="SS",COUNTIFS($C1124:$C1148,"FST",$E1124:$E1148,"2"),"0")</f>
        <v>0</v>
      </c>
      <c r="AJ1113" s="109" t="str">
        <f>IF($E1114="RPX",COUNTIFS($C1124:$C1148,"FST",$E1124:$E1148,"2"),"0")</f>
        <v>0</v>
      </c>
      <c r="AK1113" s="109">
        <f>IF($E1114="EUC",COUNTIFS($C1124:$C1148,"FST",$E1124:$E1148,"2"),"0")</f>
        <v>0</v>
      </c>
      <c r="AL1113" s="109" t="str">
        <f>IF($E1114="RPX-T",COUNTIFS($C1124:$C1148,"FST",$E1124:$E1148,"2"),"0")</f>
        <v>0</v>
      </c>
      <c r="AT1113" s="110" t="s">
        <v>227</v>
      </c>
      <c r="AU1113" s="108" t="str">
        <f>IF(OR($AS1114="Y",$AS1115="Y",$AS1116="Y"),"",COUNTIFS($E1114,"SS",$E1119,"Y"))</f>
        <v/>
      </c>
      <c r="AV1113" s="111" t="str">
        <f>IF(OR($AS1114="Y",$AS1115="Y",$AS1116="Y"),"",COUNTIFS($E1114,"RPX",$E1119,"Y"))</f>
        <v/>
      </c>
      <c r="AW1113" s="111" t="str">
        <f>IF(OR($AS1114="Y",$AS1115="Y",$AS1116="Y"),"",COUNTIFS($E1114,"EUC",$E1119,"Y"))</f>
        <v/>
      </c>
      <c r="AX1113" s="109" t="str">
        <f>IF(OR($AS1114="Y",$AS1115="Y",$AS1116="Y"),"",COUNTIFS($E1114,"RPX-T",$E1119,"Y"))</f>
        <v/>
      </c>
      <c r="BA1113" s="226"/>
    </row>
    <row r="1114" spans="1:53" ht="16.5" customHeight="1" thickTop="1" thickBot="1" x14ac:dyDescent="0.3">
      <c r="A1114" s="88"/>
      <c r="B1114" s="29" t="s">
        <v>228</v>
      </c>
      <c r="C1114" s="30">
        <v>0</v>
      </c>
      <c r="D1114" s="31" t="s">
        <v>229</v>
      </c>
      <c r="E1114" s="66" t="str">
        <f>TEXT(IF('Cable Calculator'!EI7="","",'Cable Calculator'!EI7),)</f>
        <v>EUC</v>
      </c>
      <c r="F1114" s="88"/>
      <c r="G1114" s="304" t="s">
        <v>230</v>
      </c>
      <c r="H1114" s="305"/>
      <c r="I1114" s="33">
        <f>E1115-I1113</f>
        <v>0</v>
      </c>
      <c r="J1114" s="289" t="s">
        <v>231</v>
      </c>
      <c r="K1114" s="290"/>
      <c r="L1114" s="34">
        <f>I1118</f>
        <v>385</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1</v>
      </c>
      <c r="V1114" s="35">
        <v>0</v>
      </c>
      <c r="W1114" s="34">
        <f>COUNTIFS($E1124:$E1148,"4",$F1124:$F1148,"HH",$C1124:$C1148,"FST")</f>
        <v>1</v>
      </c>
      <c r="X1114" s="35">
        <f>COUNTIFS($E1124:$E1148,"4",$F1124:$F1148,"Ped",$C1124:$C1148,"FST")</f>
        <v>0</v>
      </c>
      <c r="Y1114" s="25"/>
      <c r="Z1114" s="298" t="s">
        <v>232</v>
      </c>
      <c r="AA1114" s="300" t="s">
        <v>233</v>
      </c>
      <c r="AB1114" s="301"/>
      <c r="AC1114" s="25"/>
      <c r="AD1114" s="25"/>
      <c r="AH1114" s="109">
        <v>4</v>
      </c>
      <c r="AI1114" s="109" t="str">
        <f>IF($E1114="SS",COUNTIFS($C1124:$C1148,"FST",$E1124:$E1148,"4"),"0")</f>
        <v>0</v>
      </c>
      <c r="AJ1114" s="109" t="str">
        <f>IF($E1114="RPX",COUNTIFS($C1124:$C1148,"FST",$E1124:$E1148,"4"),"0")</f>
        <v>0</v>
      </c>
      <c r="AK1114" s="109">
        <f>IF($E1114="EUC",COUNTIFS($C1124:$C1148,"FST",$E1124:$E1148,"4"),"0")</f>
        <v>1</v>
      </c>
      <c r="AL1114" s="109" t="str">
        <f>IF($E1114="RPX-T",COUNTIFS($C1124:$C1148,"FST",$E1124:$E1148,"4"),"0")</f>
        <v>0</v>
      </c>
      <c r="AS1114" s="109" t="str">
        <f>IF(AND(E1119="Y",E1115=24,E1116=0),"Y","N")</f>
        <v>Y</v>
      </c>
      <c r="AT1114" s="110" t="s">
        <v>234</v>
      </c>
      <c r="AU1114" s="109">
        <f>COUNTIFS($E1114,"SS",$AS1114,"Y")</f>
        <v>0</v>
      </c>
      <c r="AV1114" s="111">
        <f>COUNTIFS($E1114,"RPX",$AS1114,"Y")</f>
        <v>0</v>
      </c>
      <c r="AW1114" s="111">
        <f>COUNTIFS($E1114,"EUC",$AS1114,"Y")</f>
        <v>1</v>
      </c>
      <c r="AX1114" s="109">
        <f>COUNTIFS($E1114,"RPX-T",$AS1114,"Y")</f>
        <v>0</v>
      </c>
      <c r="BA1114" s="227"/>
    </row>
    <row r="1115" spans="1:53" ht="16.5" thickTop="1" thickBot="1" x14ac:dyDescent="0.3">
      <c r="A1115" s="88"/>
      <c r="B1115" s="36" t="s">
        <v>235</v>
      </c>
      <c r="C1115" s="37">
        <v>0</v>
      </c>
      <c r="D1115" s="38" t="s">
        <v>236</v>
      </c>
      <c r="E1115" s="32">
        <v>24</v>
      </c>
      <c r="F1115" s="88"/>
      <c r="G1115" s="291" t="s">
        <v>237</v>
      </c>
      <c r="H1115" s="292"/>
      <c r="I1115" s="35">
        <f>IF(E1115=0,0,12-(MOD(I1113,12)))</f>
        <v>12</v>
      </c>
      <c r="J1115" s="289" t="s">
        <v>238</v>
      </c>
      <c r="K1115" s="290"/>
      <c r="L1115" s="39">
        <f>I1119-I1113</f>
        <v>384</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299"/>
      <c r="AA1115" s="302"/>
      <c r="AB1115" s="303"/>
      <c r="AC1115" s="25"/>
      <c r="AD1115" s="25"/>
      <c r="AH1115" s="109">
        <v>6</v>
      </c>
      <c r="AI1115" s="109" t="str">
        <f>IF($E1114="SS",COUNTIFS($C1124:$C1148,"FST",$E1124:$E1148,"6"),"0")</f>
        <v>0</v>
      </c>
      <c r="AJ1115" s="109" t="str">
        <f>IF($E1114="RPX",COUNTIFS($C1124:$C1148,"FST",$E1124:$E1148,"6"),"0")</f>
        <v>0</v>
      </c>
      <c r="AK1115" s="109">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v>0</v>
      </c>
      <c r="F1116" s="88"/>
      <c r="G1116" s="321" t="s">
        <v>242</v>
      </c>
      <c r="H1116" s="43" t="s">
        <v>243</v>
      </c>
      <c r="I1116" s="35">
        <f>IF(E1116&lt;&gt;0,1,0)</f>
        <v>0</v>
      </c>
      <c r="J1116" s="291" t="s">
        <v>244</v>
      </c>
      <c r="K1116" s="292"/>
      <c r="L1116" s="44">
        <f>'Cable Calculator'!EI3</f>
        <v>2040</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1</v>
      </c>
      <c r="V1116" s="35">
        <v>0</v>
      </c>
      <c r="W1116" s="34">
        <f>COUNTIFS($E1124:$E1148,"8",$F1124:$F1148,"HH",$C1124:$C1148,"FST")</f>
        <v>1</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f>IF($E1114="EUC",COUNTIFS($C1124:$C1148,"FST",$E1124:$E1148,"8"),"0")</f>
        <v>1</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v>385</v>
      </c>
      <c r="F1117" s="88"/>
      <c r="G1117" s="322"/>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f>IF($E1114="EUC",SUM(AK1117,AL1128,AM1149,AO1149,AQ1149),"0")</f>
        <v>1</v>
      </c>
      <c r="V1117" s="35">
        <f>IF($E1114="EUC",SUM($AN1149,AP1149,AR1149),"0")</f>
        <v>0</v>
      </c>
      <c r="W1117" s="34">
        <f>COUNTIFS($E1124:$E1148,"12",$F1124:$F1148,"HH",$C1124:$C1148,"FST")</f>
        <v>1</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f>IF($E1114="EUC",COUNTIFS($C1124:$C1148,"FST",$E1124:$E1148,"12"),"0")</f>
        <v>1</v>
      </c>
      <c r="AL1117" s="109" t="str">
        <f>IF($E1114="RPX-T",COUNTIFS($C1124:$C1148,"FST",$E1124:$E1148,"12"),"0")</f>
        <v>0</v>
      </c>
      <c r="BA1117" s="227"/>
    </row>
    <row r="1118" spans="1:53" ht="16.5" customHeight="1" thickTop="1" thickBot="1" x14ac:dyDescent="0.3">
      <c r="A1118" s="88"/>
      <c r="B1118" s="36" t="s">
        <v>249</v>
      </c>
      <c r="C1118" s="30">
        <v>0</v>
      </c>
      <c r="D1118" s="49" t="s">
        <v>250</v>
      </c>
      <c r="E1118" s="50">
        <f>E1115/12</f>
        <v>2</v>
      </c>
      <c r="F1118" s="88"/>
      <c r="G1118" s="321" t="s">
        <v>251</v>
      </c>
      <c r="H1118" s="51" t="s">
        <v>252</v>
      </c>
      <c r="I1118" s="112">
        <f>E1117</f>
        <v>385</v>
      </c>
      <c r="J1118" s="323" t="s">
        <v>253</v>
      </c>
      <c r="K1118" s="324"/>
      <c r="L1118" s="325"/>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Y</v>
      </c>
      <c r="F1119" s="88"/>
      <c r="G1119" s="322"/>
      <c r="H1119" s="47" t="s">
        <v>257</v>
      </c>
      <c r="I1119" s="35">
        <f>IF(E1117="","0",IF(AND(E1114="EUC",E1115=432), I1118+(203-E1116),IF(E1117=0,0,(E1117+(E1115-E1116)-1))))</f>
        <v>408</v>
      </c>
      <c r="J1119" s="285" t="str">
        <f>IFERROR(IF(OR(E1114="EUC",E1114="SS"),"---",IF(OR(P1113,S1113),"NO 2F Tethers for RPX!",IF(OR(P1115,S1115),"NO 6F Tethers for RPX!","---"))),"---")</f>
        <v>---</v>
      </c>
      <c r="K1119" s="286"/>
      <c r="L1119" s="287"/>
      <c r="M1119" s="285" t="str">
        <f>IF(E1116&gt;60,"Dead Count &gt;60: Consider Downsize","---")</f>
        <v>---</v>
      </c>
      <c r="N1119" s="286"/>
      <c r="O1119" s="286"/>
      <c r="P1119" s="286"/>
      <c r="Q1119" s="286"/>
      <c r="R1119" s="286"/>
      <c r="S1119" s="286"/>
      <c r="T1119" s="286"/>
      <c r="U1119" s="287"/>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24</v>
      </c>
      <c r="D1120" s="31" t="s">
        <v>259</v>
      </c>
      <c r="E1120" s="101" t="str">
        <f>IF(AS1114="Y","DBL",IF(AS1115="Y","TRPL",IF(AS1116="Y","QUAD","")))</f>
        <v>DBL</v>
      </c>
      <c r="F1120" s="88"/>
      <c r="G1120" s="192"/>
      <c r="H1120" s="57"/>
      <c r="I1120" s="192"/>
      <c r="J1120" s="285"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86"/>
      <c r="L1120" s="287"/>
      <c r="M1120" s="285" t="str">
        <f>IF(AND(OR(E1114="SS",E1114="RPX",E1114="EUC",E1114="RPX-T"),(OR(C1124="",C1124="Field SPL"))),"Cannot have FlexNap cables without tethers","---")</f>
        <v>---</v>
      </c>
      <c r="N1120" s="286"/>
      <c r="O1120" s="286"/>
      <c r="P1120" s="286"/>
      <c r="Q1120" s="286"/>
      <c r="R1120" s="286"/>
      <c r="S1120" s="286"/>
      <c r="T1120" s="286"/>
      <c r="U1120" s="287"/>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85" t="str">
        <f>IF(AND(OR(E1114="RPX", E1114="RPX-T", E1114="SS"),E1115=216),"NO 216 For RPX, RPX-T, OR SS CABLE","---")</f>
        <v>---</v>
      </c>
      <c r="K1121" s="286"/>
      <c r="L1121" s="287"/>
      <c r="M1121" s="285" t="str" cm="1">
        <f t="array" ref="M1121">IF(AND(E1114="",OR(C1124:C1148="FST",C1124:C1148="REV T",C1124:C1148="DBL REV",C1124:C1148="TPL REV", C1124:C1148="QD REV")),"Non-FlexNap cables cannot have tethers","---")</f>
        <v>---</v>
      </c>
      <c r="N1121" s="286"/>
      <c r="O1121" s="286"/>
      <c r="P1121" s="286"/>
      <c r="Q1121" s="286"/>
      <c r="R1121" s="286"/>
      <c r="S1121" s="286"/>
      <c r="T1121" s="286"/>
      <c r="U1121" s="287"/>
      <c r="V1121" s="25"/>
      <c r="W1121" s="58"/>
      <c r="X1121" s="58"/>
      <c r="Y1121" s="25"/>
      <c r="Z1121" s="45">
        <v>6</v>
      </c>
      <c r="AA1121" s="65">
        <v>61</v>
      </c>
      <c r="AB1121" s="65">
        <v>72</v>
      </c>
      <c r="AC1121" s="25"/>
      <c r="AD1121" s="25"/>
      <c r="BA1121" s="226"/>
    </row>
    <row r="1122" spans="1:53" ht="15.75" customHeight="1" thickBot="1" x14ac:dyDescent="0.3">
      <c r="A1122" s="88"/>
      <c r="B1122" s="321" t="s">
        <v>260</v>
      </c>
      <c r="C1122" s="293" t="s">
        <v>261</v>
      </c>
      <c r="D1122" s="293" t="s">
        <v>262</v>
      </c>
      <c r="E1122" s="306" t="s">
        <v>263</v>
      </c>
      <c r="F1122" s="293" t="s">
        <v>264</v>
      </c>
      <c r="G1122" s="308" t="s">
        <v>265</v>
      </c>
      <c r="H1122" s="308" t="s">
        <v>266</v>
      </c>
      <c r="I1122" s="308" t="s">
        <v>267</v>
      </c>
      <c r="J1122" s="310" t="s">
        <v>268</v>
      </c>
      <c r="K1122" s="293" t="s">
        <v>269</v>
      </c>
      <c r="L1122" s="279" t="s">
        <v>270</v>
      </c>
      <c r="M1122" s="281" t="s">
        <v>271</v>
      </c>
      <c r="N1122" s="281"/>
      <c r="O1122" s="281"/>
      <c r="P1122" s="281"/>
      <c r="Q1122" s="281"/>
      <c r="R1122" s="281"/>
      <c r="S1122" s="281"/>
      <c r="T1122" s="281"/>
      <c r="U1122" s="282"/>
      <c r="V1122" s="107"/>
      <c r="W1122" s="72"/>
      <c r="X1122" s="72"/>
      <c r="Y1122" s="72"/>
      <c r="Z1122" s="45">
        <v>7</v>
      </c>
      <c r="AA1122" s="65">
        <v>73</v>
      </c>
      <c r="AB1122" s="65">
        <v>84</v>
      </c>
      <c r="AC1122" s="25"/>
      <c r="AD1122" s="25"/>
      <c r="BA1122" s="228"/>
    </row>
    <row r="1123" spans="1:53" ht="15.75" thickBot="1" x14ac:dyDescent="0.3">
      <c r="A1123" s="88"/>
      <c r="B1123" s="322"/>
      <c r="C1123" s="294"/>
      <c r="D1123" s="294"/>
      <c r="E1123" s="307"/>
      <c r="F1123" s="294"/>
      <c r="G1123" s="309"/>
      <c r="H1123" s="309"/>
      <c r="I1123" s="309"/>
      <c r="J1123" s="311"/>
      <c r="K1123" s="294"/>
      <c r="L1123" s="280"/>
      <c r="M1123" s="283"/>
      <c r="N1123" s="283"/>
      <c r="O1123" s="283"/>
      <c r="P1123" s="283"/>
      <c r="Q1123" s="283"/>
      <c r="R1123" s="283"/>
      <c r="S1123" s="283"/>
      <c r="T1123" s="283"/>
      <c r="U1123" s="284"/>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t="s">
        <v>484</v>
      </c>
      <c r="D1124" s="102" t="s">
        <v>790</v>
      </c>
      <c r="E1124" s="32">
        <v>4</v>
      </c>
      <c r="F1124" s="32" t="s">
        <v>488</v>
      </c>
      <c r="G1124" s="68" t="s">
        <v>277</v>
      </c>
      <c r="H1124" s="69">
        <f>IF(I1124=0,0,I1124-(E1124-1))</f>
        <v>405</v>
      </c>
      <c r="I1124" s="70">
        <f>IF(E1124=0,0,I1119)</f>
        <v>408</v>
      </c>
      <c r="J1124" s="71" t="s">
        <v>278</v>
      </c>
      <c r="K1124" s="32"/>
      <c r="L1124" s="233"/>
      <c r="M1124" s="277"/>
      <c r="N1124" s="277"/>
      <c r="O1124" s="277"/>
      <c r="P1124" s="277"/>
      <c r="Q1124" s="277"/>
      <c r="R1124" s="277"/>
      <c r="S1124" s="277"/>
      <c r="T1124" s="277"/>
      <c r="U1124" s="278"/>
      <c r="V1124" s="103"/>
      <c r="W1124" s="72"/>
      <c r="X1124" s="72"/>
      <c r="Y1124" s="72"/>
      <c r="Z1124" s="45">
        <v>9</v>
      </c>
      <c r="AA1124" s="46">
        <v>97</v>
      </c>
      <c r="AB1124" s="46">
        <v>108</v>
      </c>
      <c r="AC1124" s="72">
        <f t="shared" ref="AC1124:AC1148" si="468">IF(B1124&lt;&gt;"FST",1,0)</f>
        <v>1</v>
      </c>
      <c r="AD1124" s="72">
        <f t="shared" ref="AD1124:AD1148" si="469">IF(C1124&lt;&gt;"FST",1,0)</f>
        <v>0</v>
      </c>
      <c r="AE1124" s="109" t="str">
        <f t="shared" ref="AE1124:AE1148" si="470">CONCATENATE(H1124,"-",I1124)</f>
        <v>405-408</v>
      </c>
      <c r="AF1124" s="109" t="str">
        <f t="shared" ref="AF1124:AF1148" si="471">IF(C1124="Field SPL","N","Y")</f>
        <v>Y</v>
      </c>
      <c r="AG1124" s="109" t="str">
        <f t="shared" ref="AG1124:AG1148" si="472">IF(OR(E$1114="RPX",E$1114="SS"),"A","B")</f>
        <v>B</v>
      </c>
      <c r="AH1124" s="109">
        <v>2</v>
      </c>
      <c r="AI1124" s="109" t="str">
        <f>IF(E1114="SS",COUNTIFS(C1124:C1148,"TCF",E1124:E1148,"2"),"")</f>
        <v/>
      </c>
      <c r="AJ1124" s="109" t="str">
        <f>IF(E1114="RPX",COUNTIFS(C1124:C1148,"TCF",E1124:E1148,"2"),"")</f>
        <v/>
      </c>
      <c r="AK1124" s="109" t="str">
        <f>IF(E1114="RPX-T",COUNTIFS(C1124:C1148,"TCF",E1124:E1148,"2"),"")</f>
        <v/>
      </c>
      <c r="AL1124" s="109">
        <f>IF(E1114="EUC",COUNTIFS(C1124:C1148,"TCF",E1124:E1148,"2"),"")</f>
        <v>0</v>
      </c>
      <c r="AM1124" s="109">
        <f t="shared" ref="AM1124:AM1148" si="473">VALUE(IF(C1124="FST","0",IF(C1124="REV T","1",IF(C1124="DBL REV",".5","0"))))</f>
        <v>0</v>
      </c>
      <c r="AN1124" s="109">
        <f t="shared" ref="AN1124:AN1148" si="474">VALUE(IF(C1124="FST","0",IF(C1124="REV T","0",IF(C1124="DBL REV",".5","0"))))</f>
        <v>0</v>
      </c>
      <c r="AO1124" s="109" t="str">
        <f t="shared" ref="AO1124:AO1148" si="475">IF(C1124="TPL REV","Y","")</f>
        <v/>
      </c>
      <c r="AQ1124" s="109" t="str">
        <f t="shared" ref="AQ1124:AQ1148" si="476">IF(C1124="QD REV","Y","")</f>
        <v/>
      </c>
      <c r="BA1124" s="229">
        <f>MOD(E1124,12)</f>
        <v>4</v>
      </c>
    </row>
    <row r="1125" spans="1:53" ht="15.75" thickBot="1" x14ac:dyDescent="0.3">
      <c r="A1125" s="88"/>
      <c r="B1125" s="66" t="s">
        <v>279</v>
      </c>
      <c r="C1125" s="67" t="s">
        <v>484</v>
      </c>
      <c r="D1125" s="102" t="s">
        <v>789</v>
      </c>
      <c r="E1125" s="32">
        <v>8</v>
      </c>
      <c r="F1125" s="32" t="s">
        <v>488</v>
      </c>
      <c r="G1125" s="68" t="s">
        <v>277</v>
      </c>
      <c r="H1125" s="69">
        <f t="shared" ref="H1125:H1148" si="477">IF(E1125=0,0,I1125-(E1125-1))</f>
        <v>397</v>
      </c>
      <c r="I1125" s="70">
        <f t="shared" ref="I1125:I1148" si="478">IF(E1125=0,0,H1124-1)</f>
        <v>404</v>
      </c>
      <c r="J1125" s="73" t="str">
        <f>IF(C1125="","--",IF(AND(C1125&lt;&gt;"FST",C1125&lt;&gt;"TCF",BA1124&lt;&gt;0),BA1124,"--"))</f>
        <v>--</v>
      </c>
      <c r="K1125" s="32"/>
      <c r="L1125" s="233"/>
      <c r="M1125" s="277"/>
      <c r="N1125" s="277"/>
      <c r="O1125" s="277"/>
      <c r="P1125" s="277"/>
      <c r="Q1125" s="277"/>
      <c r="R1125" s="277"/>
      <c r="S1125" s="277"/>
      <c r="T1125" s="277"/>
      <c r="U1125" s="278"/>
      <c r="V1125" s="103"/>
      <c r="W1125" s="72"/>
      <c r="X1125" s="72"/>
      <c r="Y1125" s="72"/>
      <c r="Z1125" s="45">
        <v>10</v>
      </c>
      <c r="AA1125" s="46">
        <v>109</v>
      </c>
      <c r="AB1125" s="46">
        <v>120</v>
      </c>
      <c r="AC1125" s="72">
        <f t="shared" si="468"/>
        <v>1</v>
      </c>
      <c r="AD1125" s="72">
        <f t="shared" si="469"/>
        <v>0</v>
      </c>
      <c r="AE1125" s="109" t="str">
        <f t="shared" si="470"/>
        <v>397-404</v>
      </c>
      <c r="AF1125" s="109" t="str">
        <f t="shared" si="471"/>
        <v>Y</v>
      </c>
      <c r="AG1125" s="109" t="str">
        <f t="shared" si="472"/>
        <v>B</v>
      </c>
      <c r="AH1125" s="109">
        <v>4</v>
      </c>
      <c r="AI1125" s="109" t="str">
        <f>IF(E1114="SS",COUNTIFS(C1124:C1148,"TCF",E1124:E1148,"4"),"")</f>
        <v/>
      </c>
      <c r="AJ1125" s="109" t="str">
        <f>IF(E1114="RPX",COUNTIFS(C1124:C1148,"TCF",E1124:E1148,"4"),"")</f>
        <v/>
      </c>
      <c r="AK1125" s="109" t="str">
        <f>IF(E1114="RPX-T",COUNTIFS(C1124:C1148,"TCF",E1124:E1148,"4"),"")</f>
        <v/>
      </c>
      <c r="AL1125" s="109">
        <f>IF(E1114="EUC",COUNTIFS(C1124:C1148,"TCF",E1124:E1148,"4"),"")</f>
        <v>0</v>
      </c>
      <c r="AM1125" s="109">
        <f t="shared" si="473"/>
        <v>0</v>
      </c>
      <c r="AN1125" s="109">
        <f t="shared" si="474"/>
        <v>0</v>
      </c>
      <c r="AO1125" s="109" t="str">
        <f t="shared" si="475"/>
        <v/>
      </c>
      <c r="AQ1125" s="109" t="str">
        <f t="shared" si="476"/>
        <v/>
      </c>
      <c r="BA1125" s="229">
        <f>MOD(SUM(E1124:E1125),12)</f>
        <v>0</v>
      </c>
    </row>
    <row r="1126" spans="1:53" ht="15.75" thickBot="1" x14ac:dyDescent="0.3">
      <c r="A1126" s="88"/>
      <c r="B1126" s="74" t="s">
        <v>280</v>
      </c>
      <c r="C1126" s="67" t="s">
        <v>484</v>
      </c>
      <c r="D1126" s="102" t="s">
        <v>791</v>
      </c>
      <c r="E1126" s="32">
        <v>12</v>
      </c>
      <c r="F1126" s="32" t="s">
        <v>488</v>
      </c>
      <c r="G1126" s="75" t="s">
        <v>277</v>
      </c>
      <c r="H1126" s="69">
        <f t="shared" si="477"/>
        <v>385</v>
      </c>
      <c r="I1126" s="70">
        <f t="shared" si="478"/>
        <v>396</v>
      </c>
      <c r="J1126" s="73" t="str">
        <f t="shared" ref="J1126:J1148" si="479">IF(C1126="","--",IF(AND(C1126&lt;&gt;"FST",C1126&lt;&gt;"TCF",BA1125&lt;&gt;0),BA1125,"--"))</f>
        <v>--</v>
      </c>
      <c r="K1126" s="32"/>
      <c r="L1126" s="233"/>
      <c r="M1126" s="277"/>
      <c r="N1126" s="277"/>
      <c r="O1126" s="277"/>
      <c r="P1126" s="277"/>
      <c r="Q1126" s="277"/>
      <c r="R1126" s="277"/>
      <c r="S1126" s="277"/>
      <c r="T1126" s="277"/>
      <c r="U1126" s="278"/>
      <c r="V1126" s="103"/>
      <c r="W1126" s="72"/>
      <c r="X1126" s="72"/>
      <c r="Y1126" s="72"/>
      <c r="Z1126" s="45">
        <v>11</v>
      </c>
      <c r="AA1126" s="46">
        <v>121</v>
      </c>
      <c r="AB1126" s="46">
        <v>132</v>
      </c>
      <c r="AC1126" s="72">
        <f t="shared" si="468"/>
        <v>1</v>
      </c>
      <c r="AD1126" s="72">
        <f t="shared" si="469"/>
        <v>0</v>
      </c>
      <c r="AE1126" s="109" t="str">
        <f t="shared" si="470"/>
        <v>385-396</v>
      </c>
      <c r="AF1126" s="109" t="str">
        <f t="shared" si="471"/>
        <v>Y</v>
      </c>
      <c r="AG1126" s="109" t="str">
        <f t="shared" si="472"/>
        <v>B</v>
      </c>
      <c r="AH1126" s="109">
        <v>6</v>
      </c>
      <c r="AI1126" s="109" t="str">
        <f>IF(E1114="SS",COUNTIFS(C1124:C1148,"TCF",E1124:E1148,"6"),"")</f>
        <v/>
      </c>
      <c r="AJ1126" s="109" t="str">
        <f>IF(E1114="RPX",COUNTIFS(C1124:C1148,"TCF",E1124:E1148,"6"),"")</f>
        <v/>
      </c>
      <c r="AK1126" s="109" t="str">
        <f>IF(E1114="RPX-T",COUNTIFS(C1124:C1148,"TCF",E1124:E1148,"6"),"")</f>
        <v/>
      </c>
      <c r="AL1126" s="109">
        <f>IF(E1114="EUC",COUNTIFS(C1124:C1148,"TCF",E1124:E1148,"6"),"")</f>
        <v>0</v>
      </c>
      <c r="AM1126" s="109">
        <f t="shared" si="473"/>
        <v>0</v>
      </c>
      <c r="AN1126" s="109">
        <f t="shared" si="474"/>
        <v>0</v>
      </c>
      <c r="AO1126" s="109" t="str">
        <f t="shared" si="475"/>
        <v/>
      </c>
      <c r="AQ1126" s="109" t="str">
        <f t="shared" si="476"/>
        <v/>
      </c>
      <c r="BA1126" s="229">
        <f>MOD(SUM(E1124:E1127),12)</f>
        <v>0</v>
      </c>
    </row>
    <row r="1127" spans="1:53" ht="15.75" thickBot="1" x14ac:dyDescent="0.3">
      <c r="A1127" s="88"/>
      <c r="B1127" s="66" t="s">
        <v>281</v>
      </c>
      <c r="C1127" s="67"/>
      <c r="D1127" s="102"/>
      <c r="E1127" s="32"/>
      <c r="F1127" s="32"/>
      <c r="G1127" s="68" t="s">
        <v>277</v>
      </c>
      <c r="H1127" s="69">
        <f t="shared" si="477"/>
        <v>0</v>
      </c>
      <c r="I1127" s="70">
        <f t="shared" si="478"/>
        <v>0</v>
      </c>
      <c r="J1127" s="73" t="str">
        <f t="shared" si="479"/>
        <v>--</v>
      </c>
      <c r="K1127" s="32"/>
      <c r="L1127" s="233"/>
      <c r="M1127" s="277"/>
      <c r="N1127" s="277"/>
      <c r="O1127" s="277"/>
      <c r="P1127" s="277"/>
      <c r="Q1127" s="277"/>
      <c r="R1127" s="277"/>
      <c r="S1127" s="277"/>
      <c r="T1127" s="277"/>
      <c r="U1127" s="278"/>
      <c r="V1127" s="103"/>
      <c r="W1127" s="72"/>
      <c r="X1127" s="72"/>
      <c r="Y1127" s="72"/>
      <c r="Z1127" s="45">
        <v>12</v>
      </c>
      <c r="AA1127" s="76">
        <v>133</v>
      </c>
      <c r="AB1127" s="76">
        <v>144</v>
      </c>
      <c r="AC1127" s="72">
        <f t="shared" si="468"/>
        <v>1</v>
      </c>
      <c r="AD1127" s="72">
        <f t="shared" si="469"/>
        <v>1</v>
      </c>
      <c r="AE1127" s="109" t="str">
        <f t="shared" si="470"/>
        <v>0-0</v>
      </c>
      <c r="AF1127" s="109" t="str">
        <f t="shared" si="471"/>
        <v>Y</v>
      </c>
      <c r="AG1127" s="109" t="str">
        <f t="shared" si="472"/>
        <v>B</v>
      </c>
      <c r="AH1127" s="109">
        <v>8</v>
      </c>
      <c r="AI1127" s="109" t="str">
        <f>IF(E1114="SS",COUNTIFS(C1124:C1148,"TCF",E1124:E1148,"8"),"")</f>
        <v/>
      </c>
      <c r="AJ1127" s="109" t="str">
        <f>IF(E1114="RPX",COUNTIFS(C1124:C1148,"TCF",E1124:E1148,"8"),"")</f>
        <v/>
      </c>
      <c r="AK1127" s="109" t="str">
        <f>IF(E1114="RPX-T",COUNTIFS(C1124:C1148,"TCF",E1124:E1148,"8"),"")</f>
        <v/>
      </c>
      <c r="AL1127" s="109">
        <f>IF(E1114="EUC",COUNTIFS(C1124:C1148,"TCF",E1124:E1148,"8"),"")</f>
        <v>0</v>
      </c>
      <c r="AM1127" s="109">
        <f t="shared" si="473"/>
        <v>0</v>
      </c>
      <c r="AN1127" s="109">
        <f t="shared" si="474"/>
        <v>0</v>
      </c>
      <c r="AO1127" s="109" t="str">
        <f t="shared" si="475"/>
        <v/>
      </c>
      <c r="AQ1127" s="109" t="str">
        <f t="shared" si="476"/>
        <v/>
      </c>
      <c r="BA1127" s="229">
        <f>MOD(SUM(E1124:E1128),12)</f>
        <v>0</v>
      </c>
    </row>
    <row r="1128" spans="1:53" ht="15.75" thickBot="1" x14ac:dyDescent="0.3">
      <c r="A1128" s="88"/>
      <c r="B1128" s="66" t="s">
        <v>282</v>
      </c>
      <c r="C1128" s="67"/>
      <c r="D1128" s="102"/>
      <c r="E1128" s="32"/>
      <c r="F1128" s="32"/>
      <c r="G1128" s="68" t="s">
        <v>277</v>
      </c>
      <c r="H1128" s="69">
        <f t="shared" si="477"/>
        <v>0</v>
      </c>
      <c r="I1128" s="70">
        <f t="shared" si="478"/>
        <v>0</v>
      </c>
      <c r="J1128" s="73" t="str">
        <f t="shared" si="479"/>
        <v>--</v>
      </c>
      <c r="K1128" s="32"/>
      <c r="L1128" s="233"/>
      <c r="M1128" s="277"/>
      <c r="N1128" s="277"/>
      <c r="O1128" s="277"/>
      <c r="P1128" s="277"/>
      <c r="Q1128" s="277"/>
      <c r="R1128" s="277"/>
      <c r="S1128" s="277"/>
      <c r="T1128" s="277"/>
      <c r="U1128" s="278"/>
      <c r="V1128" s="103"/>
      <c r="W1128" s="72"/>
      <c r="X1128" s="72"/>
      <c r="Y1128" s="72"/>
      <c r="Z1128" s="45">
        <v>13</v>
      </c>
      <c r="AA1128" s="77">
        <f t="shared" ref="AA1128:AA1133" si="480">AB1127+1</f>
        <v>145</v>
      </c>
      <c r="AB1128" s="77">
        <f t="shared" ref="AB1128:AB1133" si="481">AB1127+12</f>
        <v>156</v>
      </c>
      <c r="AC1128" s="72">
        <f t="shared" si="468"/>
        <v>1</v>
      </c>
      <c r="AD1128" s="72">
        <f t="shared" si="469"/>
        <v>1</v>
      </c>
      <c r="AE1128" s="109" t="str">
        <f t="shared" si="470"/>
        <v>0-0</v>
      </c>
      <c r="AF1128" s="109" t="str">
        <f t="shared" si="471"/>
        <v>Y</v>
      </c>
      <c r="AG1128" s="109" t="str">
        <f t="shared" si="472"/>
        <v>B</v>
      </c>
      <c r="AH1128" s="109">
        <v>12</v>
      </c>
      <c r="AI1128" s="109" t="str">
        <f>IF(E1114="SS",COUNTIFS(C1124:C1148,"TCF",E1124:E1148,"12"),"")</f>
        <v/>
      </c>
      <c r="AJ1128" s="109" t="str">
        <f>IF(E1114="RPX",COUNTIFS(C1124:C1148,"TCF",E1124:E1148,"12"),"")</f>
        <v/>
      </c>
      <c r="AK1128" s="109" t="str">
        <f>IF(E1114="RPX-T",COUNTIFS(C1124:C1148,"TCF",E1124:E1148,"12"),"")</f>
        <v/>
      </c>
      <c r="AL1128" s="109">
        <f>IF(E1114="EUC",COUNTIFS(C1124:C1148,"TCF",E1124:E1148,"12"),"")</f>
        <v>0</v>
      </c>
      <c r="AM1128" s="109">
        <f t="shared" si="473"/>
        <v>0</v>
      </c>
      <c r="AN1128" s="109">
        <f t="shared" si="474"/>
        <v>0</v>
      </c>
      <c r="AO1128" s="109" t="str">
        <f t="shared" si="475"/>
        <v/>
      </c>
      <c r="AQ1128" s="109" t="str">
        <f t="shared" si="476"/>
        <v/>
      </c>
      <c r="BA1128" s="229">
        <f>MOD(SUM(E1124:E1129),12)</f>
        <v>0</v>
      </c>
    </row>
    <row r="1129" spans="1:53" ht="15.75" thickBot="1" x14ac:dyDescent="0.3">
      <c r="A1129" s="88"/>
      <c r="B1129" s="66" t="s">
        <v>283</v>
      </c>
      <c r="C1129" s="67"/>
      <c r="D1129" s="102"/>
      <c r="E1129" s="32"/>
      <c r="F1129" s="32"/>
      <c r="G1129" s="68" t="s">
        <v>277</v>
      </c>
      <c r="H1129" s="69">
        <f t="shared" si="477"/>
        <v>0</v>
      </c>
      <c r="I1129" s="70">
        <f t="shared" si="478"/>
        <v>0</v>
      </c>
      <c r="J1129" s="73" t="str">
        <f t="shared" si="479"/>
        <v>--</v>
      </c>
      <c r="K1129" s="32"/>
      <c r="L1129" s="233"/>
      <c r="M1129" s="277"/>
      <c r="N1129" s="277"/>
      <c r="O1129" s="277"/>
      <c r="P1129" s="277"/>
      <c r="Q1129" s="277"/>
      <c r="R1129" s="277"/>
      <c r="S1129" s="277"/>
      <c r="T1129" s="277"/>
      <c r="U1129" s="278"/>
      <c r="V1129" s="103"/>
      <c r="W1129" s="72"/>
      <c r="X1129" s="72"/>
      <c r="Y1129" s="72"/>
      <c r="Z1129" s="45">
        <v>14</v>
      </c>
      <c r="AA1129" s="77">
        <f t="shared" si="480"/>
        <v>157</v>
      </c>
      <c r="AB1129" s="77">
        <f t="shared" si="481"/>
        <v>168</v>
      </c>
      <c r="AC1129" s="72">
        <f t="shared" si="468"/>
        <v>1</v>
      </c>
      <c r="AD1129" s="72">
        <f t="shared" si="469"/>
        <v>1</v>
      </c>
      <c r="AE1129" s="109" t="str">
        <f t="shared" si="470"/>
        <v>0-0</v>
      </c>
      <c r="AF1129" s="109" t="str">
        <f t="shared" si="471"/>
        <v>Y</v>
      </c>
      <c r="AG1129" s="109" t="str">
        <f t="shared" si="472"/>
        <v>B</v>
      </c>
      <c r="AM1129" s="109">
        <f t="shared" si="473"/>
        <v>0</v>
      </c>
      <c r="AN1129" s="109">
        <f t="shared" si="474"/>
        <v>0</v>
      </c>
      <c r="AO1129" s="109" t="str">
        <f t="shared" si="475"/>
        <v/>
      </c>
      <c r="AQ1129" s="109" t="str">
        <f t="shared" si="476"/>
        <v/>
      </c>
      <c r="BA1129" s="229">
        <f>MOD(SUM(E1124:E1130),12)</f>
        <v>0</v>
      </c>
    </row>
    <row r="1130" spans="1:53" ht="15.75" thickBot="1" x14ac:dyDescent="0.3">
      <c r="A1130" s="88"/>
      <c r="B1130" s="66" t="s">
        <v>284</v>
      </c>
      <c r="C1130" s="67"/>
      <c r="D1130" s="102"/>
      <c r="E1130" s="32"/>
      <c r="F1130" s="32"/>
      <c r="G1130" s="68" t="s">
        <v>277</v>
      </c>
      <c r="H1130" s="69">
        <f t="shared" si="477"/>
        <v>0</v>
      </c>
      <c r="I1130" s="70">
        <f t="shared" si="478"/>
        <v>0</v>
      </c>
      <c r="J1130" s="73" t="str">
        <f t="shared" si="479"/>
        <v>--</v>
      </c>
      <c r="K1130" s="32"/>
      <c r="L1130" s="233"/>
      <c r="M1130" s="277"/>
      <c r="N1130" s="277"/>
      <c r="O1130" s="277"/>
      <c r="P1130" s="277"/>
      <c r="Q1130" s="277"/>
      <c r="R1130" s="277"/>
      <c r="S1130" s="277"/>
      <c r="T1130" s="277"/>
      <c r="U1130" s="278"/>
      <c r="V1130" s="103"/>
      <c r="W1130" s="72"/>
      <c r="X1130" s="72"/>
      <c r="Y1130" s="72"/>
      <c r="Z1130" s="45">
        <v>15</v>
      </c>
      <c r="AA1130" s="77">
        <f t="shared" si="480"/>
        <v>169</v>
      </c>
      <c r="AB1130" s="77">
        <f t="shared" si="481"/>
        <v>180</v>
      </c>
      <c r="AC1130" s="72">
        <f t="shared" si="468"/>
        <v>1</v>
      </c>
      <c r="AD1130" s="72">
        <f t="shared" si="469"/>
        <v>1</v>
      </c>
      <c r="AE1130" s="109" t="str">
        <f t="shared" si="470"/>
        <v>0-0</v>
      </c>
      <c r="AF1130" s="109" t="str">
        <f t="shared" si="471"/>
        <v>Y</v>
      </c>
      <c r="AG1130" s="109" t="str">
        <f t="shared" si="472"/>
        <v>B</v>
      </c>
      <c r="AM1130" s="109">
        <f t="shared" si="473"/>
        <v>0</v>
      </c>
      <c r="AN1130" s="109">
        <f t="shared" si="474"/>
        <v>0</v>
      </c>
      <c r="AO1130" s="109" t="str">
        <f t="shared" si="475"/>
        <v/>
      </c>
      <c r="AQ1130" s="109" t="str">
        <f t="shared" si="476"/>
        <v/>
      </c>
      <c r="BA1130" s="229">
        <f>MOD(SUM(E1124:E1131),12)</f>
        <v>0</v>
      </c>
    </row>
    <row r="1131" spans="1:53" ht="15.75" thickBot="1" x14ac:dyDescent="0.3">
      <c r="A1131" s="88"/>
      <c r="B1131" s="66" t="s">
        <v>285</v>
      </c>
      <c r="C1131" s="67"/>
      <c r="D1131" s="102"/>
      <c r="E1131" s="32"/>
      <c r="F1131" s="32"/>
      <c r="G1131" s="68" t="s">
        <v>277</v>
      </c>
      <c r="H1131" s="69">
        <f t="shared" si="477"/>
        <v>0</v>
      </c>
      <c r="I1131" s="70">
        <f t="shared" si="478"/>
        <v>0</v>
      </c>
      <c r="J1131" s="73" t="str">
        <f t="shared" si="479"/>
        <v>--</v>
      </c>
      <c r="K1131" s="32"/>
      <c r="L1131" s="233"/>
      <c r="M1131" s="277"/>
      <c r="N1131" s="277"/>
      <c r="O1131" s="277"/>
      <c r="P1131" s="277"/>
      <c r="Q1131" s="277"/>
      <c r="R1131" s="277"/>
      <c r="S1131" s="277"/>
      <c r="T1131" s="277"/>
      <c r="U1131" s="278"/>
      <c r="V1131" s="103"/>
      <c r="W1131" s="72"/>
      <c r="X1131" s="72"/>
      <c r="Y1131" s="72"/>
      <c r="Z1131" s="45">
        <f>Z1130+1</f>
        <v>16</v>
      </c>
      <c r="AA1131" s="77">
        <f t="shared" si="480"/>
        <v>181</v>
      </c>
      <c r="AB1131" s="77">
        <f t="shared" si="481"/>
        <v>192</v>
      </c>
      <c r="AC1131" s="72">
        <f t="shared" si="468"/>
        <v>1</v>
      </c>
      <c r="AD1131" s="72">
        <f t="shared" si="469"/>
        <v>1</v>
      </c>
      <c r="AE1131" s="109" t="str">
        <f t="shared" si="470"/>
        <v>0-0</v>
      </c>
      <c r="AF1131" s="109" t="str">
        <f t="shared" si="471"/>
        <v>Y</v>
      </c>
      <c r="AG1131" s="109" t="str">
        <f t="shared" si="472"/>
        <v>B</v>
      </c>
      <c r="AM1131" s="109">
        <f t="shared" si="473"/>
        <v>0</v>
      </c>
      <c r="AN1131" s="109">
        <f t="shared" si="474"/>
        <v>0</v>
      </c>
      <c r="AO1131" s="109" t="str">
        <f t="shared" si="475"/>
        <v/>
      </c>
      <c r="AQ1131" s="109" t="str">
        <f t="shared" si="476"/>
        <v/>
      </c>
      <c r="BA1131" s="229">
        <f>MOD(SUM(E1124:E1132),12)</f>
        <v>0</v>
      </c>
    </row>
    <row r="1132" spans="1:53" ht="15.75" thickBot="1" x14ac:dyDescent="0.3">
      <c r="A1132" s="88"/>
      <c r="B1132" s="66" t="s">
        <v>286</v>
      </c>
      <c r="C1132" s="67"/>
      <c r="D1132" s="102"/>
      <c r="E1132" s="32"/>
      <c r="F1132" s="32"/>
      <c r="G1132" s="68" t="s">
        <v>277</v>
      </c>
      <c r="H1132" s="69">
        <f t="shared" si="477"/>
        <v>0</v>
      </c>
      <c r="I1132" s="70">
        <f t="shared" si="478"/>
        <v>0</v>
      </c>
      <c r="J1132" s="73" t="str">
        <f t="shared" si="479"/>
        <v>--</v>
      </c>
      <c r="K1132" s="32"/>
      <c r="L1132" s="233"/>
      <c r="M1132" s="277"/>
      <c r="N1132" s="277"/>
      <c r="O1132" s="277"/>
      <c r="P1132" s="277"/>
      <c r="Q1132" s="277"/>
      <c r="R1132" s="277"/>
      <c r="S1132" s="277"/>
      <c r="T1132" s="277"/>
      <c r="U1132" s="278"/>
      <c r="V1132" s="103"/>
      <c r="W1132" s="72"/>
      <c r="X1132" s="72"/>
      <c r="Y1132" s="72"/>
      <c r="Z1132" s="45">
        <f>Z1131+1</f>
        <v>17</v>
      </c>
      <c r="AA1132" s="77">
        <f t="shared" si="480"/>
        <v>193</v>
      </c>
      <c r="AB1132" s="77">
        <f t="shared" si="481"/>
        <v>204</v>
      </c>
      <c r="AC1132" s="72">
        <f t="shared" si="468"/>
        <v>1</v>
      </c>
      <c r="AD1132" s="72">
        <f t="shared" si="469"/>
        <v>1</v>
      </c>
      <c r="AE1132" s="109" t="str">
        <f t="shared" si="470"/>
        <v>0-0</v>
      </c>
      <c r="AF1132" s="109" t="str">
        <f t="shared" si="471"/>
        <v>Y</v>
      </c>
      <c r="AG1132" s="109" t="str">
        <f t="shared" si="472"/>
        <v>B</v>
      </c>
      <c r="AM1132" s="109">
        <f t="shared" si="473"/>
        <v>0</v>
      </c>
      <c r="AN1132" s="109">
        <f t="shared" si="474"/>
        <v>0</v>
      </c>
      <c r="AO1132" s="109" t="str">
        <f t="shared" si="475"/>
        <v/>
      </c>
      <c r="AQ1132" s="109" t="str">
        <f t="shared" si="476"/>
        <v/>
      </c>
      <c r="BA1132" s="229">
        <f>MOD(SUM(E1124:E1133),12)</f>
        <v>0</v>
      </c>
    </row>
    <row r="1133" spans="1:53" ht="15.75" thickBot="1" x14ac:dyDescent="0.3">
      <c r="A1133" s="88"/>
      <c r="B1133" s="66" t="s">
        <v>287</v>
      </c>
      <c r="C1133" s="67"/>
      <c r="D1133" s="102"/>
      <c r="E1133" s="32"/>
      <c r="F1133" s="32"/>
      <c r="G1133" s="68" t="s">
        <v>277</v>
      </c>
      <c r="H1133" s="69">
        <f t="shared" si="477"/>
        <v>0</v>
      </c>
      <c r="I1133" s="70">
        <f t="shared" si="478"/>
        <v>0</v>
      </c>
      <c r="J1133" s="73" t="str">
        <f t="shared" si="479"/>
        <v>--</v>
      </c>
      <c r="K1133" s="32"/>
      <c r="L1133" s="233"/>
      <c r="M1133" s="277"/>
      <c r="N1133" s="277"/>
      <c r="O1133" s="277"/>
      <c r="P1133" s="277"/>
      <c r="Q1133" s="277"/>
      <c r="R1133" s="277"/>
      <c r="S1133" s="277"/>
      <c r="T1133" s="277"/>
      <c r="U1133" s="278"/>
      <c r="V1133" s="103"/>
      <c r="W1133" s="72"/>
      <c r="X1133" s="72"/>
      <c r="Y1133" s="72"/>
      <c r="Z1133" s="45">
        <f>Z1132+1</f>
        <v>18</v>
      </c>
      <c r="AA1133" s="77">
        <f t="shared" si="480"/>
        <v>205</v>
      </c>
      <c r="AB1133" s="77">
        <f t="shared" si="481"/>
        <v>216</v>
      </c>
      <c r="AC1133" s="72">
        <f t="shared" si="468"/>
        <v>1</v>
      </c>
      <c r="AD1133" s="72">
        <f t="shared" si="469"/>
        <v>1</v>
      </c>
      <c r="AE1133" s="109" t="str">
        <f t="shared" si="470"/>
        <v>0-0</v>
      </c>
      <c r="AF1133" s="109" t="str">
        <f t="shared" si="471"/>
        <v>Y</v>
      </c>
      <c r="AG1133" s="109" t="str">
        <f t="shared" si="472"/>
        <v>B</v>
      </c>
      <c r="AM1133" s="109">
        <f t="shared" si="473"/>
        <v>0</v>
      </c>
      <c r="AN1133" s="109">
        <f t="shared" si="474"/>
        <v>0</v>
      </c>
      <c r="AO1133" s="109" t="str">
        <f t="shared" si="475"/>
        <v/>
      </c>
      <c r="AQ1133" s="109" t="str">
        <f t="shared" si="476"/>
        <v/>
      </c>
      <c r="BA1133" s="229">
        <f>MOD(SUM(E1124:E1134),12)</f>
        <v>0</v>
      </c>
    </row>
    <row r="1134" spans="1:53" ht="15.75" thickBot="1" x14ac:dyDescent="0.3">
      <c r="A1134" s="88"/>
      <c r="B1134" s="66" t="s">
        <v>288</v>
      </c>
      <c r="C1134" s="67"/>
      <c r="D1134" s="102"/>
      <c r="E1134" s="32"/>
      <c r="F1134" s="32"/>
      <c r="G1134" s="68" t="s">
        <v>277</v>
      </c>
      <c r="H1134" s="69">
        <f t="shared" si="477"/>
        <v>0</v>
      </c>
      <c r="I1134" s="70">
        <f t="shared" si="478"/>
        <v>0</v>
      </c>
      <c r="J1134" s="73" t="str">
        <f t="shared" si="479"/>
        <v>--</v>
      </c>
      <c r="K1134" s="32"/>
      <c r="L1134" s="233"/>
      <c r="M1134" s="277"/>
      <c r="N1134" s="277"/>
      <c r="O1134" s="277"/>
      <c r="P1134" s="277"/>
      <c r="Q1134" s="277"/>
      <c r="R1134" s="277"/>
      <c r="S1134" s="277"/>
      <c r="T1134" s="277"/>
      <c r="U1134" s="278"/>
      <c r="V1134" s="103"/>
      <c r="W1134" s="84"/>
      <c r="X1134" s="84"/>
      <c r="Y1134" s="72"/>
      <c r="Z1134" s="72"/>
      <c r="AA1134" s="72"/>
      <c r="AB1134" s="72"/>
      <c r="AC1134" s="72">
        <f t="shared" si="468"/>
        <v>1</v>
      </c>
      <c r="AD1134" s="72">
        <f t="shared" si="469"/>
        <v>1</v>
      </c>
      <c r="AE1134" s="109" t="str">
        <f t="shared" si="470"/>
        <v>0-0</v>
      </c>
      <c r="AF1134" s="109" t="str">
        <f t="shared" si="471"/>
        <v>Y</v>
      </c>
      <c r="AG1134" s="109" t="str">
        <f t="shared" si="472"/>
        <v>B</v>
      </c>
      <c r="AM1134" s="109">
        <f t="shared" si="473"/>
        <v>0</v>
      </c>
      <c r="AN1134" s="109">
        <f t="shared" si="474"/>
        <v>0</v>
      </c>
      <c r="AO1134" s="109" t="str">
        <f t="shared" si="475"/>
        <v/>
      </c>
      <c r="AQ1134" s="109" t="str">
        <f t="shared" si="476"/>
        <v/>
      </c>
      <c r="BA1134" s="229">
        <f>MOD(SUM(E1124:E1135),12)</f>
        <v>0</v>
      </c>
    </row>
    <row r="1135" spans="1:53" ht="15.75" thickBot="1" x14ac:dyDescent="0.3">
      <c r="A1135" s="88"/>
      <c r="B1135" s="66" t="s">
        <v>289</v>
      </c>
      <c r="C1135" s="67"/>
      <c r="D1135" s="102"/>
      <c r="E1135" s="32"/>
      <c r="F1135" s="32"/>
      <c r="G1135" s="68" t="s">
        <v>277</v>
      </c>
      <c r="H1135" s="69">
        <f t="shared" si="477"/>
        <v>0</v>
      </c>
      <c r="I1135" s="70">
        <f t="shared" si="478"/>
        <v>0</v>
      </c>
      <c r="J1135" s="73" t="str">
        <f t="shared" si="479"/>
        <v>--</v>
      </c>
      <c r="K1135" s="32"/>
      <c r="L1135" s="233"/>
      <c r="M1135" s="277"/>
      <c r="N1135" s="277"/>
      <c r="O1135" s="277"/>
      <c r="P1135" s="277"/>
      <c r="Q1135" s="277"/>
      <c r="R1135" s="277"/>
      <c r="S1135" s="277"/>
      <c r="T1135" s="277"/>
      <c r="U1135" s="278"/>
      <c r="V1135" s="103"/>
      <c r="W1135" s="84">
        <f>Y1135+1</f>
        <v>25</v>
      </c>
      <c r="X1135" s="84"/>
      <c r="Y1135" s="78">
        <f>SUM(E1124:E1135)</f>
        <v>24</v>
      </c>
      <c r="Z1135" s="72"/>
      <c r="AA1135" s="72"/>
      <c r="AB1135" s="72"/>
      <c r="AC1135" s="72">
        <f t="shared" si="468"/>
        <v>1</v>
      </c>
      <c r="AD1135" s="72">
        <f t="shared" si="469"/>
        <v>1</v>
      </c>
      <c r="AE1135" s="109" t="str">
        <f t="shared" si="470"/>
        <v>0-0</v>
      </c>
      <c r="AF1135" s="109" t="str">
        <f t="shared" si="471"/>
        <v>Y</v>
      </c>
      <c r="AG1135" s="109" t="str">
        <f t="shared" si="472"/>
        <v>B</v>
      </c>
      <c r="AM1135" s="109">
        <f t="shared" si="473"/>
        <v>0</v>
      </c>
      <c r="AN1135" s="109">
        <f t="shared" si="474"/>
        <v>0</v>
      </c>
      <c r="AO1135" s="109" t="str">
        <f t="shared" si="475"/>
        <v/>
      </c>
      <c r="AQ1135" s="109" t="str">
        <f t="shared" si="476"/>
        <v/>
      </c>
      <c r="BA1135" s="229">
        <f>MOD(SUM(E1124:E1136),12)</f>
        <v>0</v>
      </c>
    </row>
    <row r="1136" spans="1:53" ht="15.75" thickBot="1" x14ac:dyDescent="0.3">
      <c r="A1136" s="88"/>
      <c r="B1136" s="66" t="s">
        <v>290</v>
      </c>
      <c r="C1136" s="67"/>
      <c r="D1136" s="102"/>
      <c r="E1136" s="32"/>
      <c r="F1136" s="32"/>
      <c r="G1136" s="68" t="s">
        <v>277</v>
      </c>
      <c r="H1136" s="69">
        <f t="shared" si="477"/>
        <v>0</v>
      </c>
      <c r="I1136" s="70">
        <f t="shared" si="478"/>
        <v>0</v>
      </c>
      <c r="J1136" s="73" t="str">
        <f t="shared" si="479"/>
        <v>--</v>
      </c>
      <c r="K1136" s="32"/>
      <c r="L1136" s="233"/>
      <c r="M1136" s="277"/>
      <c r="N1136" s="277"/>
      <c r="O1136" s="277"/>
      <c r="P1136" s="277"/>
      <c r="Q1136" s="277"/>
      <c r="R1136" s="277"/>
      <c r="S1136" s="277"/>
      <c r="T1136" s="277"/>
      <c r="U1136" s="278"/>
      <c r="V1136" s="103"/>
      <c r="W1136" s="84">
        <f>Y1136+1</f>
        <v>25</v>
      </c>
      <c r="X1136" s="84"/>
      <c r="Y1136" s="78">
        <f>SUM(E1124:E1136)</f>
        <v>24</v>
      </c>
      <c r="Z1136" s="72" t="str">
        <f t="shared" ref="Z1136:Z1148" si="482">IF(OR(AND(E$8=216,C1135="DBL REV",C1136="DBL REV",Y1135&lt;=144,Y1136&gt;144),AND(E$8=216,C1135="TPL REV",C1136="TPL REV",Y1135&lt;=144,Y1136&gt;144),AND(E$8=216,C1135="QD REV",C1136="QD REV",Y1135&lt;=144,Y1136&gt;144)),"ERROR","")</f>
        <v/>
      </c>
      <c r="AA1136" s="72"/>
      <c r="AB1136" s="72"/>
      <c r="AC1136" s="72">
        <f t="shared" si="468"/>
        <v>1</v>
      </c>
      <c r="AD1136" s="72">
        <f t="shared" si="469"/>
        <v>1</v>
      </c>
      <c r="AE1136" s="109" t="str">
        <f t="shared" si="470"/>
        <v>0-0</v>
      </c>
      <c r="AF1136" s="109" t="str">
        <f t="shared" si="471"/>
        <v>Y</v>
      </c>
      <c r="AG1136" s="109" t="str">
        <f t="shared" si="472"/>
        <v>B</v>
      </c>
      <c r="AM1136" s="109">
        <f t="shared" si="473"/>
        <v>0</v>
      </c>
      <c r="AN1136" s="109">
        <f t="shared" si="474"/>
        <v>0</v>
      </c>
      <c r="AO1136" s="109" t="str">
        <f t="shared" si="475"/>
        <v/>
      </c>
      <c r="AQ1136" s="109" t="str">
        <f t="shared" si="476"/>
        <v/>
      </c>
      <c r="BA1136" s="229">
        <f>MOD(SUM(E1124:E1137),12)</f>
        <v>0</v>
      </c>
    </row>
    <row r="1137" spans="1:53" ht="15.75" thickBot="1" x14ac:dyDescent="0.3">
      <c r="A1137" s="88"/>
      <c r="B1137" s="66" t="s">
        <v>291</v>
      </c>
      <c r="C1137" s="67"/>
      <c r="D1137" s="102"/>
      <c r="E1137" s="32"/>
      <c r="F1137" s="32"/>
      <c r="G1137" s="68" t="s">
        <v>277</v>
      </c>
      <c r="H1137" s="69">
        <f t="shared" si="477"/>
        <v>0</v>
      </c>
      <c r="I1137" s="70">
        <f t="shared" si="478"/>
        <v>0</v>
      </c>
      <c r="J1137" s="73" t="str">
        <f t="shared" si="479"/>
        <v>--</v>
      </c>
      <c r="K1137" s="32"/>
      <c r="L1137" s="233"/>
      <c r="M1137" s="277"/>
      <c r="N1137" s="277"/>
      <c r="O1137" s="277"/>
      <c r="P1137" s="277"/>
      <c r="Q1137" s="277"/>
      <c r="R1137" s="277"/>
      <c r="S1137" s="277"/>
      <c r="T1137" s="277"/>
      <c r="U1137" s="278"/>
      <c r="V1137" s="103"/>
      <c r="W1137" s="84">
        <f>Y1137+1</f>
        <v>25</v>
      </c>
      <c r="X1137" s="84"/>
      <c r="Y1137" s="78">
        <f>SUM(E1124:E1137)</f>
        <v>24</v>
      </c>
      <c r="Z1137" s="72" t="str">
        <f t="shared" si="482"/>
        <v/>
      </c>
      <c r="AA1137" s="72"/>
      <c r="AB1137" s="72"/>
      <c r="AC1137" s="72">
        <f t="shared" si="468"/>
        <v>1</v>
      </c>
      <c r="AD1137" s="72">
        <f t="shared" si="469"/>
        <v>1</v>
      </c>
      <c r="AE1137" s="109" t="str">
        <f t="shared" si="470"/>
        <v>0-0</v>
      </c>
      <c r="AF1137" s="109" t="str">
        <f t="shared" si="471"/>
        <v>Y</v>
      </c>
      <c r="AG1137" s="109" t="str">
        <f t="shared" si="472"/>
        <v>B</v>
      </c>
      <c r="AM1137" s="109">
        <f t="shared" si="473"/>
        <v>0</v>
      </c>
      <c r="AN1137" s="109">
        <f t="shared" si="474"/>
        <v>0</v>
      </c>
      <c r="AO1137" s="109" t="str">
        <f t="shared" si="475"/>
        <v/>
      </c>
      <c r="AQ1137" s="109" t="str">
        <f t="shared" si="476"/>
        <v/>
      </c>
      <c r="BA1137" s="229">
        <f>MOD(SUM(E1124:E1138),12)</f>
        <v>0</v>
      </c>
    </row>
    <row r="1138" spans="1:53" ht="15.75" thickBot="1" x14ac:dyDescent="0.3">
      <c r="A1138" s="88"/>
      <c r="B1138" s="66" t="s">
        <v>292</v>
      </c>
      <c r="C1138" s="67"/>
      <c r="D1138" s="102"/>
      <c r="E1138" s="32"/>
      <c r="F1138" s="32"/>
      <c r="G1138" s="68" t="s">
        <v>277</v>
      </c>
      <c r="H1138" s="69">
        <f t="shared" si="477"/>
        <v>0</v>
      </c>
      <c r="I1138" s="70">
        <f t="shared" si="478"/>
        <v>0</v>
      </c>
      <c r="J1138" s="73" t="str">
        <f t="shared" si="479"/>
        <v>--</v>
      </c>
      <c r="K1138" s="32"/>
      <c r="L1138" s="233"/>
      <c r="M1138" s="277"/>
      <c r="N1138" s="277"/>
      <c r="O1138" s="277"/>
      <c r="P1138" s="277"/>
      <c r="Q1138" s="277"/>
      <c r="R1138" s="277"/>
      <c r="S1138" s="277"/>
      <c r="T1138" s="277"/>
      <c r="U1138" s="278"/>
      <c r="V1138" s="103"/>
      <c r="W1138" s="84">
        <f>Y1138+1</f>
        <v>25</v>
      </c>
      <c r="X1138" s="84"/>
      <c r="Y1138" s="78">
        <f>SUM(E1124:E1138)</f>
        <v>24</v>
      </c>
      <c r="Z1138" s="72" t="str">
        <f t="shared" si="482"/>
        <v/>
      </c>
      <c r="AA1138" s="72" t="str">
        <f t="shared" ref="AA1138:AA1150" si="483">IF(AND(C1136&lt;&gt;"Field SPL",W1135&lt;=144,Y1136&gt;144),"ERROR","")</f>
        <v/>
      </c>
      <c r="AB1138" s="72"/>
      <c r="AC1138" s="72">
        <f t="shared" si="468"/>
        <v>1</v>
      </c>
      <c r="AD1138" s="72">
        <f t="shared" si="469"/>
        <v>1</v>
      </c>
      <c r="AE1138" s="109" t="str">
        <f t="shared" si="470"/>
        <v>0-0</v>
      </c>
      <c r="AF1138" s="109" t="str">
        <f t="shared" si="471"/>
        <v>Y</v>
      </c>
      <c r="AG1138" s="109" t="str">
        <f t="shared" si="472"/>
        <v>B</v>
      </c>
      <c r="AM1138" s="109">
        <f t="shared" si="473"/>
        <v>0</v>
      </c>
      <c r="AN1138" s="109">
        <f t="shared" si="474"/>
        <v>0</v>
      </c>
      <c r="AO1138" s="109" t="str">
        <f t="shared" si="475"/>
        <v/>
      </c>
      <c r="AQ1138" s="109" t="str">
        <f t="shared" si="476"/>
        <v/>
      </c>
      <c r="BA1138" s="229">
        <f>MOD(SUM(E1124:E1139),12)</f>
        <v>0</v>
      </c>
    </row>
    <row r="1139" spans="1:53" ht="15.75" thickBot="1" x14ac:dyDescent="0.3">
      <c r="A1139" s="88"/>
      <c r="B1139" s="66" t="s">
        <v>293</v>
      </c>
      <c r="C1139" s="67"/>
      <c r="D1139" s="102"/>
      <c r="E1139" s="32"/>
      <c r="F1139" s="32"/>
      <c r="G1139" s="68" t="s">
        <v>277</v>
      </c>
      <c r="H1139" s="69">
        <f t="shared" si="477"/>
        <v>0</v>
      </c>
      <c r="I1139" s="70">
        <f t="shared" si="478"/>
        <v>0</v>
      </c>
      <c r="J1139" s="73" t="str">
        <f t="shared" si="479"/>
        <v>--</v>
      </c>
      <c r="K1139" s="32"/>
      <c r="L1139" s="233"/>
      <c r="M1139" s="277"/>
      <c r="N1139" s="277"/>
      <c r="O1139" s="277"/>
      <c r="P1139" s="277"/>
      <c r="Q1139" s="277"/>
      <c r="R1139" s="277"/>
      <c r="S1139" s="277"/>
      <c r="T1139" s="277"/>
      <c r="U1139" s="278"/>
      <c r="V1139" s="103"/>
      <c r="W1139" s="84">
        <f t="shared" ref="W1139:W1147" si="484">Y1139+1</f>
        <v>25</v>
      </c>
      <c r="X1139" s="84"/>
      <c r="Y1139" s="78">
        <f>SUM(E1124:E1139)</f>
        <v>24</v>
      </c>
      <c r="Z1139" s="72" t="str">
        <f t="shared" si="482"/>
        <v/>
      </c>
      <c r="AA1139" s="72" t="str">
        <f t="shared" si="483"/>
        <v/>
      </c>
      <c r="AB1139" s="72"/>
      <c r="AC1139" s="72">
        <f t="shared" si="468"/>
        <v>1</v>
      </c>
      <c r="AD1139" s="72">
        <f t="shared" si="469"/>
        <v>1</v>
      </c>
      <c r="AE1139" s="109" t="str">
        <f t="shared" si="470"/>
        <v>0-0</v>
      </c>
      <c r="AF1139" s="109" t="str">
        <f t="shared" si="471"/>
        <v>Y</v>
      </c>
      <c r="AG1139" s="109" t="str">
        <f t="shared" si="472"/>
        <v>B</v>
      </c>
      <c r="AM1139" s="109">
        <f t="shared" si="473"/>
        <v>0</v>
      </c>
      <c r="AN1139" s="109">
        <f t="shared" si="474"/>
        <v>0</v>
      </c>
      <c r="AO1139" s="109" t="str">
        <f t="shared" si="475"/>
        <v/>
      </c>
      <c r="AQ1139" s="109" t="str">
        <f t="shared" si="476"/>
        <v/>
      </c>
      <c r="BA1139" s="229">
        <f>MOD(SUM(E1124:E1140),12)</f>
        <v>0</v>
      </c>
    </row>
    <row r="1140" spans="1:53" ht="15.75" thickBot="1" x14ac:dyDescent="0.3">
      <c r="A1140" s="88"/>
      <c r="B1140" s="66" t="s">
        <v>294</v>
      </c>
      <c r="C1140" s="67"/>
      <c r="D1140" s="102"/>
      <c r="E1140" s="32"/>
      <c r="F1140" s="32"/>
      <c r="G1140" s="68" t="s">
        <v>277</v>
      </c>
      <c r="H1140" s="69">
        <f t="shared" si="477"/>
        <v>0</v>
      </c>
      <c r="I1140" s="70">
        <f t="shared" si="478"/>
        <v>0</v>
      </c>
      <c r="J1140" s="73" t="str">
        <f t="shared" si="479"/>
        <v>--</v>
      </c>
      <c r="K1140" s="32"/>
      <c r="L1140" s="233"/>
      <c r="M1140" s="277"/>
      <c r="N1140" s="277"/>
      <c r="O1140" s="277"/>
      <c r="P1140" s="277"/>
      <c r="Q1140" s="277"/>
      <c r="R1140" s="277"/>
      <c r="S1140" s="277"/>
      <c r="T1140" s="277"/>
      <c r="U1140" s="278"/>
      <c r="V1140" s="103"/>
      <c r="W1140" s="84">
        <f t="shared" si="484"/>
        <v>25</v>
      </c>
      <c r="X1140" s="84"/>
      <c r="Y1140" s="78">
        <f>SUM(E1124:E1140)</f>
        <v>24</v>
      </c>
      <c r="Z1140" s="72" t="str">
        <f t="shared" si="482"/>
        <v/>
      </c>
      <c r="AA1140" s="72" t="str">
        <f t="shared" si="483"/>
        <v/>
      </c>
      <c r="AB1140" s="72"/>
      <c r="AC1140" s="72">
        <f t="shared" si="468"/>
        <v>1</v>
      </c>
      <c r="AD1140" s="72">
        <f t="shared" si="469"/>
        <v>1</v>
      </c>
      <c r="AE1140" s="109" t="str">
        <f t="shared" si="470"/>
        <v>0-0</v>
      </c>
      <c r="AF1140" s="109" t="str">
        <f t="shared" si="471"/>
        <v>Y</v>
      </c>
      <c r="AG1140" s="109" t="str">
        <f t="shared" si="472"/>
        <v>B</v>
      </c>
      <c r="AM1140" s="109">
        <f t="shared" si="473"/>
        <v>0</v>
      </c>
      <c r="AN1140" s="109">
        <f t="shared" si="474"/>
        <v>0</v>
      </c>
      <c r="AO1140" s="109" t="str">
        <f t="shared" si="475"/>
        <v/>
      </c>
      <c r="AQ1140" s="109" t="str">
        <f t="shared" si="476"/>
        <v/>
      </c>
      <c r="BA1140" s="229">
        <f>MOD(SUM(E1124:E1141),12)</f>
        <v>0</v>
      </c>
    </row>
    <row r="1141" spans="1:53" ht="15.75" thickBot="1" x14ac:dyDescent="0.3">
      <c r="A1141" s="88"/>
      <c r="B1141" s="66" t="s">
        <v>295</v>
      </c>
      <c r="C1141" s="67"/>
      <c r="D1141" s="102"/>
      <c r="E1141" s="32"/>
      <c r="F1141" s="32"/>
      <c r="G1141" s="68" t="s">
        <v>277</v>
      </c>
      <c r="H1141" s="69">
        <f t="shared" si="477"/>
        <v>0</v>
      </c>
      <c r="I1141" s="70">
        <f t="shared" si="478"/>
        <v>0</v>
      </c>
      <c r="J1141" s="73" t="str">
        <f t="shared" si="479"/>
        <v>--</v>
      </c>
      <c r="K1141" s="32"/>
      <c r="L1141" s="233"/>
      <c r="M1141" s="277"/>
      <c r="N1141" s="277"/>
      <c r="O1141" s="277"/>
      <c r="P1141" s="277"/>
      <c r="Q1141" s="277"/>
      <c r="R1141" s="277"/>
      <c r="S1141" s="277"/>
      <c r="T1141" s="277"/>
      <c r="U1141" s="278"/>
      <c r="V1141" s="103"/>
      <c r="W1141" s="84">
        <f t="shared" si="484"/>
        <v>25</v>
      </c>
      <c r="X1141" s="84"/>
      <c r="Y1141" s="78">
        <f>SUM(E1124:E1141)</f>
        <v>24</v>
      </c>
      <c r="Z1141" s="72" t="str">
        <f t="shared" si="482"/>
        <v/>
      </c>
      <c r="AA1141" s="72" t="str">
        <f t="shared" si="483"/>
        <v/>
      </c>
      <c r="AB1141" s="72"/>
      <c r="AC1141" s="72">
        <f t="shared" si="468"/>
        <v>1</v>
      </c>
      <c r="AD1141" s="72">
        <f t="shared" si="469"/>
        <v>1</v>
      </c>
      <c r="AE1141" s="109" t="str">
        <f t="shared" si="470"/>
        <v>0-0</v>
      </c>
      <c r="AF1141" s="109" t="str">
        <f t="shared" si="471"/>
        <v>Y</v>
      </c>
      <c r="AG1141" s="109" t="str">
        <f t="shared" si="472"/>
        <v>B</v>
      </c>
      <c r="AM1141" s="109">
        <f t="shared" si="473"/>
        <v>0</v>
      </c>
      <c r="AN1141" s="109">
        <f t="shared" si="474"/>
        <v>0</v>
      </c>
      <c r="AO1141" s="109" t="str">
        <f t="shared" si="475"/>
        <v/>
      </c>
      <c r="AQ1141" s="109" t="str">
        <f t="shared" si="476"/>
        <v/>
      </c>
      <c r="BA1141" s="229">
        <f>MOD(SUM(E1124:E1142),12)</f>
        <v>0</v>
      </c>
    </row>
    <row r="1142" spans="1:53" ht="15.75" thickBot="1" x14ac:dyDescent="0.3">
      <c r="A1142" s="88"/>
      <c r="B1142" s="66" t="s">
        <v>296</v>
      </c>
      <c r="C1142" s="67"/>
      <c r="D1142" s="102"/>
      <c r="E1142" s="32"/>
      <c r="F1142" s="32"/>
      <c r="G1142" s="68" t="s">
        <v>277</v>
      </c>
      <c r="H1142" s="69">
        <f t="shared" si="477"/>
        <v>0</v>
      </c>
      <c r="I1142" s="70">
        <f t="shared" si="478"/>
        <v>0</v>
      </c>
      <c r="J1142" s="73" t="str">
        <f t="shared" si="479"/>
        <v>--</v>
      </c>
      <c r="K1142" s="32"/>
      <c r="L1142" s="233"/>
      <c r="M1142" s="277"/>
      <c r="N1142" s="277"/>
      <c r="O1142" s="277"/>
      <c r="P1142" s="277"/>
      <c r="Q1142" s="277"/>
      <c r="R1142" s="277"/>
      <c r="S1142" s="277"/>
      <c r="T1142" s="277"/>
      <c r="U1142" s="278"/>
      <c r="V1142" s="103"/>
      <c r="W1142" s="84">
        <f t="shared" si="484"/>
        <v>25</v>
      </c>
      <c r="X1142" s="84"/>
      <c r="Y1142" s="78">
        <f>SUM(E1124:E1142)</f>
        <v>24</v>
      </c>
      <c r="Z1142" s="72" t="str">
        <f t="shared" si="482"/>
        <v/>
      </c>
      <c r="AA1142" s="72" t="str">
        <f t="shared" si="483"/>
        <v/>
      </c>
      <c r="AB1142" s="72"/>
      <c r="AC1142" s="72">
        <f t="shared" si="468"/>
        <v>1</v>
      </c>
      <c r="AD1142" s="72">
        <f t="shared" si="469"/>
        <v>1</v>
      </c>
      <c r="AE1142" s="109" t="str">
        <f t="shared" si="470"/>
        <v>0-0</v>
      </c>
      <c r="AF1142" s="109" t="str">
        <f t="shared" si="471"/>
        <v>Y</v>
      </c>
      <c r="AG1142" s="109" t="str">
        <f t="shared" si="472"/>
        <v>B</v>
      </c>
      <c r="AM1142" s="109">
        <f t="shared" si="473"/>
        <v>0</v>
      </c>
      <c r="AN1142" s="109">
        <f t="shared" si="474"/>
        <v>0</v>
      </c>
      <c r="AO1142" s="109" t="str">
        <f t="shared" si="475"/>
        <v/>
      </c>
      <c r="AQ1142" s="109" t="str">
        <f t="shared" si="476"/>
        <v/>
      </c>
      <c r="BA1142" s="229">
        <f>MOD(SUM(E1124:E1143),12)</f>
        <v>0</v>
      </c>
    </row>
    <row r="1143" spans="1:53" ht="15.75" thickBot="1" x14ac:dyDescent="0.3">
      <c r="A1143" s="88"/>
      <c r="B1143" s="66" t="s">
        <v>297</v>
      </c>
      <c r="C1143" s="67"/>
      <c r="D1143" s="102"/>
      <c r="E1143" s="32"/>
      <c r="F1143" s="32"/>
      <c r="G1143" s="68" t="s">
        <v>277</v>
      </c>
      <c r="H1143" s="69">
        <f t="shared" si="477"/>
        <v>0</v>
      </c>
      <c r="I1143" s="70">
        <f t="shared" si="478"/>
        <v>0</v>
      </c>
      <c r="J1143" s="73" t="str">
        <f t="shared" si="479"/>
        <v>--</v>
      </c>
      <c r="K1143" s="32"/>
      <c r="L1143" s="233"/>
      <c r="M1143" s="277"/>
      <c r="N1143" s="277"/>
      <c r="O1143" s="277"/>
      <c r="P1143" s="277"/>
      <c r="Q1143" s="277"/>
      <c r="R1143" s="277"/>
      <c r="S1143" s="277"/>
      <c r="T1143" s="277"/>
      <c r="U1143" s="278"/>
      <c r="V1143" s="103"/>
      <c r="W1143" s="84">
        <f t="shared" si="484"/>
        <v>25</v>
      </c>
      <c r="X1143" s="84"/>
      <c r="Y1143" s="78">
        <f>SUM(E1124:E1143)</f>
        <v>24</v>
      </c>
      <c r="Z1143" s="72" t="str">
        <f t="shared" si="482"/>
        <v/>
      </c>
      <c r="AA1143" s="72" t="str">
        <f t="shared" si="483"/>
        <v/>
      </c>
      <c r="AB1143" s="72"/>
      <c r="AC1143" s="72">
        <f t="shared" si="468"/>
        <v>1</v>
      </c>
      <c r="AD1143" s="72">
        <f t="shared" si="469"/>
        <v>1</v>
      </c>
      <c r="AE1143" s="109" t="str">
        <f t="shared" si="470"/>
        <v>0-0</v>
      </c>
      <c r="AF1143" s="109" t="str">
        <f t="shared" si="471"/>
        <v>Y</v>
      </c>
      <c r="AG1143" s="109" t="str">
        <f t="shared" si="472"/>
        <v>B</v>
      </c>
      <c r="AM1143" s="109">
        <f t="shared" si="473"/>
        <v>0</v>
      </c>
      <c r="AN1143" s="109">
        <f t="shared" si="474"/>
        <v>0</v>
      </c>
      <c r="AO1143" s="109" t="str">
        <f t="shared" si="475"/>
        <v/>
      </c>
      <c r="AQ1143" s="109" t="str">
        <f t="shared" si="476"/>
        <v/>
      </c>
      <c r="BA1143" s="229">
        <f>MOD(SUM(E1124:E1144),12)</f>
        <v>0</v>
      </c>
    </row>
    <row r="1144" spans="1:53" ht="15.75" thickBot="1" x14ac:dyDescent="0.3">
      <c r="A1144" s="88"/>
      <c r="B1144" s="66" t="s">
        <v>298</v>
      </c>
      <c r="C1144" s="67"/>
      <c r="D1144" s="102"/>
      <c r="E1144" s="32"/>
      <c r="F1144" s="32"/>
      <c r="G1144" s="68" t="s">
        <v>277</v>
      </c>
      <c r="H1144" s="69">
        <f t="shared" si="477"/>
        <v>0</v>
      </c>
      <c r="I1144" s="70">
        <f t="shared" si="478"/>
        <v>0</v>
      </c>
      <c r="J1144" s="73" t="str">
        <f t="shared" si="479"/>
        <v>--</v>
      </c>
      <c r="K1144" s="32"/>
      <c r="L1144" s="233"/>
      <c r="M1144" s="277"/>
      <c r="N1144" s="277"/>
      <c r="O1144" s="277"/>
      <c r="P1144" s="277"/>
      <c r="Q1144" s="277"/>
      <c r="R1144" s="277"/>
      <c r="S1144" s="277"/>
      <c r="T1144" s="277"/>
      <c r="U1144" s="278"/>
      <c r="V1144" s="103"/>
      <c r="W1144" s="84">
        <f t="shared" si="484"/>
        <v>25</v>
      </c>
      <c r="X1144" s="84"/>
      <c r="Y1144" s="78">
        <f>SUM(E1124:E1144)</f>
        <v>24</v>
      </c>
      <c r="Z1144" s="72" t="str">
        <f t="shared" si="482"/>
        <v/>
      </c>
      <c r="AA1144" s="72" t="str">
        <f t="shared" si="483"/>
        <v/>
      </c>
      <c r="AB1144" s="72"/>
      <c r="AC1144" s="72">
        <f t="shared" si="468"/>
        <v>1</v>
      </c>
      <c r="AD1144" s="72">
        <f t="shared" si="469"/>
        <v>1</v>
      </c>
      <c r="AE1144" s="109" t="str">
        <f t="shared" si="470"/>
        <v>0-0</v>
      </c>
      <c r="AF1144" s="109" t="str">
        <f t="shared" si="471"/>
        <v>Y</v>
      </c>
      <c r="AG1144" s="109" t="str">
        <f t="shared" si="472"/>
        <v>B</v>
      </c>
      <c r="AM1144" s="109">
        <f t="shared" si="473"/>
        <v>0</v>
      </c>
      <c r="AN1144" s="109">
        <f t="shared" si="474"/>
        <v>0</v>
      </c>
      <c r="AO1144" s="109" t="str">
        <f t="shared" si="475"/>
        <v/>
      </c>
      <c r="AQ1144" s="109" t="str">
        <f t="shared" si="476"/>
        <v/>
      </c>
      <c r="BA1144" s="229">
        <f>MOD(SUM(E1124:E1145),12)</f>
        <v>0</v>
      </c>
    </row>
    <row r="1145" spans="1:53" ht="15.75" thickBot="1" x14ac:dyDescent="0.3">
      <c r="A1145" s="88"/>
      <c r="B1145" s="66" t="s">
        <v>299</v>
      </c>
      <c r="C1145" s="67"/>
      <c r="D1145" s="102"/>
      <c r="E1145" s="32"/>
      <c r="F1145" s="32"/>
      <c r="G1145" s="68" t="s">
        <v>277</v>
      </c>
      <c r="H1145" s="69">
        <f t="shared" si="477"/>
        <v>0</v>
      </c>
      <c r="I1145" s="70">
        <f t="shared" si="478"/>
        <v>0</v>
      </c>
      <c r="J1145" s="73" t="str">
        <f t="shared" si="479"/>
        <v>--</v>
      </c>
      <c r="K1145" s="32"/>
      <c r="L1145" s="233"/>
      <c r="M1145" s="277"/>
      <c r="N1145" s="277"/>
      <c r="O1145" s="277"/>
      <c r="P1145" s="277"/>
      <c r="Q1145" s="277"/>
      <c r="R1145" s="277"/>
      <c r="S1145" s="277"/>
      <c r="T1145" s="277"/>
      <c r="U1145" s="278"/>
      <c r="V1145" s="103"/>
      <c r="W1145" s="84">
        <f t="shared" si="484"/>
        <v>25</v>
      </c>
      <c r="X1145" s="84"/>
      <c r="Y1145" s="78">
        <f>SUM(E1124:E1145)</f>
        <v>24</v>
      </c>
      <c r="Z1145" s="72" t="str">
        <f t="shared" si="482"/>
        <v/>
      </c>
      <c r="AA1145" s="72" t="str">
        <f t="shared" si="483"/>
        <v/>
      </c>
      <c r="AB1145" s="72"/>
      <c r="AC1145" s="72">
        <f t="shared" si="468"/>
        <v>1</v>
      </c>
      <c r="AD1145" s="72">
        <f t="shared" si="469"/>
        <v>1</v>
      </c>
      <c r="AE1145" s="109" t="str">
        <f t="shared" si="470"/>
        <v>0-0</v>
      </c>
      <c r="AF1145" s="109" t="str">
        <f t="shared" si="471"/>
        <v>Y</v>
      </c>
      <c r="AG1145" s="109" t="str">
        <f t="shared" si="472"/>
        <v>B</v>
      </c>
      <c r="AM1145" s="109">
        <f t="shared" si="473"/>
        <v>0</v>
      </c>
      <c r="AN1145" s="109">
        <f t="shared" si="474"/>
        <v>0</v>
      </c>
      <c r="AO1145" s="109" t="str">
        <f t="shared" si="475"/>
        <v/>
      </c>
      <c r="AQ1145" s="109" t="str">
        <f t="shared" si="476"/>
        <v/>
      </c>
      <c r="BA1145" s="229">
        <f>MOD(SUM(E1124:E1146),12)</f>
        <v>0</v>
      </c>
    </row>
    <row r="1146" spans="1:53" ht="15.75" thickBot="1" x14ac:dyDescent="0.3">
      <c r="A1146" s="88"/>
      <c r="B1146" s="66" t="s">
        <v>300</v>
      </c>
      <c r="C1146" s="67"/>
      <c r="D1146" s="102"/>
      <c r="E1146" s="32"/>
      <c r="F1146" s="32"/>
      <c r="G1146" s="68" t="s">
        <v>277</v>
      </c>
      <c r="H1146" s="69">
        <f t="shared" si="477"/>
        <v>0</v>
      </c>
      <c r="I1146" s="70">
        <f t="shared" si="478"/>
        <v>0</v>
      </c>
      <c r="J1146" s="73" t="str">
        <f t="shared" si="479"/>
        <v>--</v>
      </c>
      <c r="K1146" s="32"/>
      <c r="L1146" s="233"/>
      <c r="M1146" s="277"/>
      <c r="N1146" s="277"/>
      <c r="O1146" s="277"/>
      <c r="P1146" s="277"/>
      <c r="Q1146" s="277"/>
      <c r="R1146" s="277"/>
      <c r="S1146" s="277"/>
      <c r="T1146" s="277"/>
      <c r="U1146" s="278"/>
      <c r="V1146" s="103"/>
      <c r="W1146" s="84">
        <f t="shared" si="484"/>
        <v>25</v>
      </c>
      <c r="X1146" s="84"/>
      <c r="Y1146" s="78">
        <f>SUM(E1124:E1146)</f>
        <v>24</v>
      </c>
      <c r="Z1146" s="72" t="str">
        <f t="shared" si="482"/>
        <v/>
      </c>
      <c r="AA1146" s="72" t="str">
        <f t="shared" si="483"/>
        <v/>
      </c>
      <c r="AB1146" s="72"/>
      <c r="AC1146" s="72">
        <f t="shared" si="468"/>
        <v>1</v>
      </c>
      <c r="AD1146" s="72">
        <f t="shared" si="469"/>
        <v>1</v>
      </c>
      <c r="AE1146" s="109" t="str">
        <f t="shared" si="470"/>
        <v>0-0</v>
      </c>
      <c r="AF1146" s="109" t="str">
        <f t="shared" si="471"/>
        <v>Y</v>
      </c>
      <c r="AG1146" s="109" t="str">
        <f t="shared" si="472"/>
        <v>B</v>
      </c>
      <c r="AM1146" s="109">
        <f t="shared" si="473"/>
        <v>0</v>
      </c>
      <c r="AN1146" s="109">
        <f t="shared" si="474"/>
        <v>0</v>
      </c>
      <c r="AO1146" s="109" t="str">
        <f t="shared" si="475"/>
        <v/>
      </c>
      <c r="AQ1146" s="109" t="str">
        <f t="shared" si="476"/>
        <v/>
      </c>
      <c r="BA1146" s="229">
        <f>MOD(SUM(E1124:E1147),12)</f>
        <v>0</v>
      </c>
    </row>
    <row r="1147" spans="1:53" ht="15.75" thickBot="1" x14ac:dyDescent="0.3">
      <c r="A1147" s="88"/>
      <c r="B1147" s="66" t="s">
        <v>301</v>
      </c>
      <c r="C1147" s="67"/>
      <c r="D1147" s="102"/>
      <c r="E1147" s="32"/>
      <c r="F1147" s="32"/>
      <c r="G1147" s="68" t="s">
        <v>277</v>
      </c>
      <c r="H1147" s="69">
        <f t="shared" si="477"/>
        <v>0</v>
      </c>
      <c r="I1147" s="70">
        <f t="shared" si="478"/>
        <v>0</v>
      </c>
      <c r="J1147" s="73" t="str">
        <f t="shared" si="479"/>
        <v>--</v>
      </c>
      <c r="K1147" s="32"/>
      <c r="L1147" s="233"/>
      <c r="M1147" s="277"/>
      <c r="N1147" s="277"/>
      <c r="O1147" s="277"/>
      <c r="P1147" s="277"/>
      <c r="Q1147" s="277"/>
      <c r="R1147" s="277"/>
      <c r="S1147" s="277"/>
      <c r="T1147" s="277"/>
      <c r="U1147" s="278"/>
      <c r="V1147" s="103"/>
      <c r="W1147" s="84">
        <f t="shared" si="484"/>
        <v>25</v>
      </c>
      <c r="X1147" s="84"/>
      <c r="Y1147" s="78">
        <f>SUM(E1124:E1147)</f>
        <v>24</v>
      </c>
      <c r="Z1147" s="72" t="str">
        <f t="shared" si="482"/>
        <v/>
      </c>
      <c r="AA1147" s="72" t="str">
        <f t="shared" si="483"/>
        <v/>
      </c>
      <c r="AB1147" s="72"/>
      <c r="AC1147" s="72">
        <f t="shared" si="468"/>
        <v>1</v>
      </c>
      <c r="AD1147" s="72">
        <f t="shared" si="469"/>
        <v>1</v>
      </c>
      <c r="AE1147" s="109" t="str">
        <f t="shared" si="470"/>
        <v>0-0</v>
      </c>
      <c r="AF1147" s="109" t="str">
        <f t="shared" si="471"/>
        <v>Y</v>
      </c>
      <c r="AG1147" s="109" t="str">
        <f t="shared" si="472"/>
        <v>B</v>
      </c>
      <c r="AM1147" s="109">
        <f t="shared" si="473"/>
        <v>0</v>
      </c>
      <c r="AN1147" s="109">
        <f t="shared" si="474"/>
        <v>0</v>
      </c>
      <c r="AO1147" s="109" t="str">
        <f t="shared" si="475"/>
        <v/>
      </c>
      <c r="AQ1147" s="109" t="str">
        <f t="shared" si="476"/>
        <v/>
      </c>
      <c r="BA1147" s="229">
        <f>MOD(SUM(E1124:E1148),12)</f>
        <v>0</v>
      </c>
    </row>
    <row r="1148" spans="1:53" ht="15.75" thickBot="1" x14ac:dyDescent="0.3">
      <c r="A1148" s="88"/>
      <c r="B1148" s="66" t="s">
        <v>302</v>
      </c>
      <c r="C1148" s="67"/>
      <c r="D1148" s="102"/>
      <c r="E1148" s="32"/>
      <c r="F1148" s="32"/>
      <c r="G1148" s="68" t="s">
        <v>277</v>
      </c>
      <c r="H1148" s="69">
        <f t="shared" si="477"/>
        <v>0</v>
      </c>
      <c r="I1148" s="70">
        <f t="shared" si="478"/>
        <v>0</v>
      </c>
      <c r="J1148" s="73" t="str">
        <f t="shared" si="479"/>
        <v>--</v>
      </c>
      <c r="K1148" s="32"/>
      <c r="L1148" s="234"/>
      <c r="M1148" s="277"/>
      <c r="N1148" s="277"/>
      <c r="O1148" s="277"/>
      <c r="P1148" s="277"/>
      <c r="Q1148" s="277"/>
      <c r="R1148" s="277"/>
      <c r="S1148" s="277"/>
      <c r="T1148" s="277"/>
      <c r="U1148" s="278"/>
      <c r="V1148" s="103"/>
      <c r="W1148" s="72"/>
      <c r="X1148" s="72"/>
      <c r="Y1148" s="78">
        <f>SUM(E1124:E1148)</f>
        <v>24</v>
      </c>
      <c r="Z1148" s="72" t="str">
        <f t="shared" si="482"/>
        <v/>
      </c>
      <c r="AA1148" s="72" t="str">
        <f t="shared" si="483"/>
        <v/>
      </c>
      <c r="AB1148" s="72"/>
      <c r="AC1148" s="72">
        <f t="shared" si="468"/>
        <v>1</v>
      </c>
      <c r="AD1148" s="72">
        <f t="shared" si="469"/>
        <v>1</v>
      </c>
      <c r="AE1148" s="109" t="str">
        <f t="shared" si="470"/>
        <v>0-0</v>
      </c>
      <c r="AF1148" s="109" t="str">
        <f t="shared" si="471"/>
        <v>Y</v>
      </c>
      <c r="AG1148" s="109" t="str">
        <f t="shared" si="472"/>
        <v>B</v>
      </c>
      <c r="AM1148" s="109">
        <f t="shared" si="473"/>
        <v>0</v>
      </c>
      <c r="AN1148" s="109">
        <f t="shared" si="474"/>
        <v>0</v>
      </c>
      <c r="AO1148" s="109" t="str">
        <f t="shared" si="475"/>
        <v/>
      </c>
      <c r="AQ1148" s="109" t="str">
        <f t="shared" si="476"/>
        <v/>
      </c>
      <c r="BA1148" s="228"/>
    </row>
    <row r="1149" spans="1:53" ht="16.5" thickBot="1" x14ac:dyDescent="0.3">
      <c r="A1149" s="88"/>
      <c r="B1149" s="319" t="s">
        <v>359</v>
      </c>
      <c r="C1149" s="320"/>
      <c r="D1149" s="79"/>
      <c r="E1149" s="80"/>
      <c r="F1149" s="80"/>
      <c r="G1149" s="81"/>
      <c r="H1149" s="192"/>
      <c r="I1149" s="192"/>
      <c r="J1149" s="192"/>
      <c r="K1149" s="82"/>
      <c r="L1149" s="319" t="s">
        <v>306</v>
      </c>
      <c r="M1149" s="330"/>
      <c r="N1149" s="330"/>
      <c r="O1149" s="330"/>
      <c r="P1149" s="330"/>
      <c r="Q1149" s="330"/>
      <c r="R1149" s="330"/>
      <c r="S1149" s="330"/>
      <c r="T1149" s="330"/>
      <c r="U1149" s="320"/>
      <c r="V1149" s="104"/>
      <c r="W1149" s="72"/>
      <c r="X1149" s="72"/>
      <c r="Y1149" s="72"/>
      <c r="Z1149" s="72"/>
      <c r="AA1149" s="72" t="str">
        <f t="shared" si="483"/>
        <v/>
      </c>
      <c r="AB1149" s="72"/>
      <c r="AC1149" s="72">
        <f>SUM(AC1124:AC1148)</f>
        <v>25</v>
      </c>
      <c r="AD1149" s="72">
        <f>SUM(AD1124:AD1148)</f>
        <v>22</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319" t="s">
        <v>307</v>
      </c>
      <c r="C1150" s="320"/>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83"/>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312" t="s">
        <v>222</v>
      </c>
      <c r="C1154" s="313"/>
      <c r="D1154" s="314" t="s">
        <v>223</v>
      </c>
      <c r="E1154" s="305"/>
      <c r="F1154" s="88"/>
      <c r="G1154" s="315" t="s">
        <v>224</v>
      </c>
      <c r="H1154" s="316"/>
      <c r="I1154" s="28">
        <f>SUM(E1165:E1189)</f>
        <v>12</v>
      </c>
      <c r="J1154" s="317" t="s">
        <v>225</v>
      </c>
      <c r="K1154" s="318"/>
      <c r="L1154" s="305"/>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5" t="s">
        <v>226</v>
      </c>
      <c r="AA1154" s="296"/>
      <c r="AB1154" s="297"/>
      <c r="AC1154" s="25"/>
      <c r="AD1154" s="25"/>
      <c r="AH1154" s="109">
        <v>2</v>
      </c>
      <c r="AI1154" s="109" t="str">
        <f>IF($E1155="SS",COUNTIFS($C1165:$C1189,"FST",$E1165:$E1189,"2"),"0")</f>
        <v>0</v>
      </c>
      <c r="AJ1154" s="109" t="str">
        <f>IF($E1155="RPX",COUNTIFS($C1165:$C1189,"FST",$E1165:$E1189,"2"),"0")</f>
        <v>0</v>
      </c>
      <c r="AK1154" s="109">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1</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EUC</v>
      </c>
      <c r="F1155" s="88"/>
      <c r="G1155" s="304" t="s">
        <v>230</v>
      </c>
      <c r="H1155" s="305"/>
      <c r="I1155" s="33">
        <f>E1156-I1154</f>
        <v>12</v>
      </c>
      <c r="J1155" s="289" t="s">
        <v>231</v>
      </c>
      <c r="K1155" s="290"/>
      <c r="L1155" s="34">
        <f>I1159</f>
        <v>469</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298" t="s">
        <v>232</v>
      </c>
      <c r="AA1155" s="300" t="s">
        <v>233</v>
      </c>
      <c r="AB1155" s="301"/>
      <c r="AC1155" s="25"/>
      <c r="AD1155" s="25"/>
      <c r="AH1155" s="109">
        <v>4</v>
      </c>
      <c r="AI1155" s="109" t="str">
        <f>IF($E1155="SS",COUNTIFS($C1165:$C1189,"FST",$E1165:$E1189,"4"),"0")</f>
        <v>0</v>
      </c>
      <c r="AJ1155" s="109" t="str">
        <f>IF($E1155="RPX",COUNTIFS($C1165:$C1189,"FST",$E1165:$E1189,"4"),"0")</f>
        <v>0</v>
      </c>
      <c r="AK1155" s="109">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v>24</v>
      </c>
      <c r="F1156" s="88"/>
      <c r="G1156" s="291" t="s">
        <v>237</v>
      </c>
      <c r="H1156" s="292"/>
      <c r="I1156" s="35">
        <f>IF(E1156=0,0,12-(MOD(I1154,12)))</f>
        <v>12</v>
      </c>
      <c r="J1156" s="289" t="s">
        <v>238</v>
      </c>
      <c r="K1156" s="290"/>
      <c r="L1156" s="39">
        <f>I1160-I1154</f>
        <v>468</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299"/>
      <c r="AA1156" s="302"/>
      <c r="AB1156" s="303"/>
      <c r="AC1156" s="25"/>
      <c r="AD1156" s="25"/>
      <c r="AH1156" s="109">
        <v>6</v>
      </c>
      <c r="AI1156" s="109" t="str">
        <f>IF($E1155="SS",COUNTIFS($C1165:$C1189,"FST",$E1165:$E1189,"6"),"0")</f>
        <v>0</v>
      </c>
      <c r="AJ1156" s="109" t="str">
        <f>IF($E1155="RPX",COUNTIFS($C1165:$C1189,"FST",$E1165:$E1189,"6"),"0")</f>
        <v>0</v>
      </c>
      <c r="AK1156" s="109">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v>12</v>
      </c>
      <c r="F1157" s="88"/>
      <c r="G1157" s="321" t="s">
        <v>242</v>
      </c>
      <c r="H1157" s="43" t="s">
        <v>243</v>
      </c>
      <c r="I1157" s="35">
        <f>IF(E1157&lt;&gt;0,1,0)</f>
        <v>1</v>
      </c>
      <c r="J1157" s="291" t="s">
        <v>244</v>
      </c>
      <c r="K1157" s="292"/>
      <c r="L1157" s="44">
        <f>'Cable Calculator'!EN3</f>
        <v>850</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v>469</v>
      </c>
      <c r="F1158" s="88"/>
      <c r="G1158" s="322"/>
      <c r="H1158" s="47" t="s">
        <v>248</v>
      </c>
      <c r="I1158" s="35">
        <f>IF(E1157&lt;&gt;0,E1157,0)</f>
        <v>12</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f>IF($E1155="EUC",SUM(AK1158,AL1169,AM1190,AO1190,AQ1190),"0")</f>
        <v>1</v>
      </c>
      <c r="V1158" s="35">
        <f>IF($E1155="EUC",SUM($AN1190,AP1190,AR1190),"0")</f>
        <v>0</v>
      </c>
      <c r="W1158" s="34">
        <f>COUNTIFS($E1165:$E1189,"12",$F1165:$F1189,"HH",$C1165:$C1189,"FST")</f>
        <v>1</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f>IF($E1155="EUC",COUNTIFS($C1165:$C1189,"FST",$E1165:$E1189,"12"),"0")</f>
        <v>1</v>
      </c>
      <c r="AL1158" s="109" t="str">
        <f>IF($E1155="RPX-T",COUNTIFS($C1165:$C1189,"FST",$E1165:$E1189,"12"),"0")</f>
        <v>0</v>
      </c>
      <c r="BA1158" s="227"/>
    </row>
    <row r="1159" spans="1:53" ht="16.5" customHeight="1" thickTop="1" thickBot="1" x14ac:dyDescent="0.3">
      <c r="A1159" s="88"/>
      <c r="B1159" s="36" t="s">
        <v>249</v>
      </c>
      <c r="C1159" s="30">
        <v>0</v>
      </c>
      <c r="D1159" s="49" t="s">
        <v>250</v>
      </c>
      <c r="E1159" s="50">
        <f>E1156/12</f>
        <v>2</v>
      </c>
      <c r="F1159" s="88"/>
      <c r="G1159" s="321" t="s">
        <v>251</v>
      </c>
      <c r="H1159" s="51" t="s">
        <v>252</v>
      </c>
      <c r="I1159" s="112">
        <f>E1158</f>
        <v>469</v>
      </c>
      <c r="J1159" s="323" t="s">
        <v>253</v>
      </c>
      <c r="K1159" s="324"/>
      <c r="L1159" s="325"/>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Y</v>
      </c>
      <c r="F1160" s="88"/>
      <c r="G1160" s="322"/>
      <c r="H1160" s="47" t="s">
        <v>257</v>
      </c>
      <c r="I1160" s="35">
        <f>IF(E1158="","0",IF(AND(E1155="EUC",E1156=432), I1159+(203-E1157),IF(E1158=0,0,(E1158+(E1156-E1157)-1))))</f>
        <v>480</v>
      </c>
      <c r="J1160" s="285" t="str">
        <f>IFERROR(IF(OR(E1155="EUC",E1155="SS"),"---",IF(OR(P1154,S1154),"NO 2F Tethers for RPX!",IF(OR(P1156,S1156),"NO 6F Tethers for RPX!","---"))),"---")</f>
        <v>---</v>
      </c>
      <c r="K1160" s="286"/>
      <c r="L1160" s="287"/>
      <c r="M1160" s="285" t="str">
        <f>IF(E1157&gt;60,"Dead Count &gt;60: Consider Downsize","---")</f>
        <v>---</v>
      </c>
      <c r="N1160" s="286"/>
      <c r="O1160" s="286"/>
      <c r="P1160" s="286"/>
      <c r="Q1160" s="286"/>
      <c r="R1160" s="286"/>
      <c r="S1160" s="286"/>
      <c r="T1160" s="286"/>
      <c r="U1160" s="287"/>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12</v>
      </c>
      <c r="D1161" s="31" t="s">
        <v>259</v>
      </c>
      <c r="E1161" s="101" t="str">
        <f>IF(AS1155="Y","DBL",IF(AS1156="Y","TRPL",IF(AS1157="Y","QUAD","")))</f>
        <v/>
      </c>
      <c r="F1161" s="88"/>
      <c r="G1161" s="192"/>
      <c r="H1161" s="57"/>
      <c r="I1161" s="192"/>
      <c r="J1161" s="285"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86"/>
      <c r="L1161" s="287"/>
      <c r="M1161" s="285" t="str">
        <f>IF(AND(OR(E1155="SS",E1155="RPX",E1155="EUC",E1155="RPX-T"),(OR(C1165="",C1165="Field SPL"))),"Cannot have FlexNap cables without tethers","---")</f>
        <v>---</v>
      </c>
      <c r="N1161" s="286"/>
      <c r="O1161" s="286"/>
      <c r="P1161" s="286"/>
      <c r="Q1161" s="286"/>
      <c r="R1161" s="286"/>
      <c r="S1161" s="286"/>
      <c r="T1161" s="286"/>
      <c r="U1161" s="287"/>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85" t="str">
        <f>IF(AND(OR(E1155="RPX", E1155="RPX-T", E1155="SS"),E1156=216),"NO 216 For RPX, RPX-T, OR SS CABLE","---")</f>
        <v>---</v>
      </c>
      <c r="K1162" s="286"/>
      <c r="L1162" s="287"/>
      <c r="M1162" s="285" t="str" cm="1">
        <f t="array" ref="M1162">IF(AND(E1155="",OR(C1165:C1189="FST",C1165:C1189="REV T",C1165:C1189="DBL REV",C1165:C1189="TPL REV", C1165:C1189="QD REV")),"Non-FlexNap cables cannot have tethers","---")</f>
        <v>---</v>
      </c>
      <c r="N1162" s="286"/>
      <c r="O1162" s="286"/>
      <c r="P1162" s="286"/>
      <c r="Q1162" s="286"/>
      <c r="R1162" s="286"/>
      <c r="S1162" s="286"/>
      <c r="T1162" s="286"/>
      <c r="U1162" s="287"/>
      <c r="V1162" s="25"/>
      <c r="W1162" s="58"/>
      <c r="X1162" s="58"/>
      <c r="Y1162" s="25"/>
      <c r="Z1162" s="45">
        <v>6</v>
      </c>
      <c r="AA1162" s="65">
        <v>61</v>
      </c>
      <c r="AB1162" s="65">
        <v>72</v>
      </c>
      <c r="AC1162" s="25"/>
      <c r="AD1162" s="25"/>
      <c r="BA1162" s="226"/>
    </row>
    <row r="1163" spans="1:53" ht="15.75" customHeight="1" thickBot="1" x14ac:dyDescent="0.3">
      <c r="A1163" s="88"/>
      <c r="B1163" s="321" t="s">
        <v>260</v>
      </c>
      <c r="C1163" s="293" t="s">
        <v>261</v>
      </c>
      <c r="D1163" s="293" t="s">
        <v>262</v>
      </c>
      <c r="E1163" s="306" t="s">
        <v>263</v>
      </c>
      <c r="F1163" s="293" t="s">
        <v>264</v>
      </c>
      <c r="G1163" s="308" t="s">
        <v>265</v>
      </c>
      <c r="H1163" s="308" t="s">
        <v>266</v>
      </c>
      <c r="I1163" s="308" t="s">
        <v>267</v>
      </c>
      <c r="J1163" s="310" t="s">
        <v>268</v>
      </c>
      <c r="K1163" s="293" t="s">
        <v>269</v>
      </c>
      <c r="L1163" s="279" t="s">
        <v>270</v>
      </c>
      <c r="M1163" s="281" t="s">
        <v>271</v>
      </c>
      <c r="N1163" s="281"/>
      <c r="O1163" s="281"/>
      <c r="P1163" s="281"/>
      <c r="Q1163" s="281"/>
      <c r="R1163" s="281"/>
      <c r="S1163" s="281"/>
      <c r="T1163" s="281"/>
      <c r="U1163" s="282"/>
      <c r="V1163" s="107"/>
      <c r="W1163" s="72"/>
      <c r="X1163" s="72"/>
      <c r="Y1163" s="72"/>
      <c r="Z1163" s="45">
        <v>7</v>
      </c>
      <c r="AA1163" s="65">
        <v>73</v>
      </c>
      <c r="AB1163" s="65">
        <v>84</v>
      </c>
      <c r="AC1163" s="25"/>
      <c r="AD1163" s="25"/>
      <c r="BA1163" s="228"/>
    </row>
    <row r="1164" spans="1:53" ht="15.75" thickBot="1" x14ac:dyDescent="0.3">
      <c r="A1164" s="88"/>
      <c r="B1164" s="322"/>
      <c r="C1164" s="294"/>
      <c r="D1164" s="294"/>
      <c r="E1164" s="307"/>
      <c r="F1164" s="294"/>
      <c r="G1164" s="309"/>
      <c r="H1164" s="309"/>
      <c r="I1164" s="309"/>
      <c r="J1164" s="311"/>
      <c r="K1164" s="294"/>
      <c r="L1164" s="280"/>
      <c r="M1164" s="283"/>
      <c r="N1164" s="283"/>
      <c r="O1164" s="283"/>
      <c r="P1164" s="283"/>
      <c r="Q1164" s="283"/>
      <c r="R1164" s="283"/>
      <c r="S1164" s="283"/>
      <c r="T1164" s="283"/>
      <c r="U1164" s="284"/>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t="s">
        <v>484</v>
      </c>
      <c r="D1165" s="102" t="s">
        <v>817</v>
      </c>
      <c r="E1165" s="32">
        <v>12</v>
      </c>
      <c r="F1165" s="32" t="s">
        <v>488</v>
      </c>
      <c r="G1165" s="68" t="s">
        <v>277</v>
      </c>
      <c r="H1165" s="69">
        <f>IF(I1165=0,0,I1165-(E1165-1))</f>
        <v>469</v>
      </c>
      <c r="I1165" s="70">
        <f>IF(E1165=0,0,I1160)</f>
        <v>480</v>
      </c>
      <c r="J1165" s="71" t="s">
        <v>278</v>
      </c>
      <c r="K1165" s="32"/>
      <c r="L1165" s="233"/>
      <c r="M1165" s="277"/>
      <c r="N1165" s="277"/>
      <c r="O1165" s="277"/>
      <c r="P1165" s="277"/>
      <c r="Q1165" s="277"/>
      <c r="R1165" s="277"/>
      <c r="S1165" s="277"/>
      <c r="T1165" s="277"/>
      <c r="U1165" s="278"/>
      <c r="V1165" s="103"/>
      <c r="W1165" s="72"/>
      <c r="X1165" s="72"/>
      <c r="Y1165" s="72"/>
      <c r="Z1165" s="45">
        <v>9</v>
      </c>
      <c r="AA1165" s="46">
        <v>97</v>
      </c>
      <c r="AB1165" s="46">
        <v>108</v>
      </c>
      <c r="AC1165" s="72">
        <f t="shared" ref="AC1165:AC1189" si="485">IF(B1165&lt;&gt;"FST",1,0)</f>
        <v>1</v>
      </c>
      <c r="AD1165" s="72">
        <f t="shared" ref="AD1165:AD1189" si="486">IF(C1165&lt;&gt;"FST",1,0)</f>
        <v>0</v>
      </c>
      <c r="AE1165" s="109" t="str">
        <f t="shared" ref="AE1165:AE1189" si="487">CONCATENATE(H1165,"-",I1165)</f>
        <v>469-480</v>
      </c>
      <c r="AF1165" s="109" t="str">
        <f t="shared" ref="AF1165:AF1189" si="488">IF(C1165="Field SPL","N","Y")</f>
        <v>Y</v>
      </c>
      <c r="AG1165" s="109" t="str">
        <f t="shared" ref="AG1165:AG1189" si="489">IF(OR(E$1155="RPX",E$1155="SS"),"A","B")</f>
        <v>B</v>
      </c>
      <c r="AH1165" s="109">
        <v>2</v>
      </c>
      <c r="AI1165" s="109" t="str">
        <f>IF(E1155="SS",COUNTIFS(C1165:C1189,"TCF",E1165:E1189,"2"),"")</f>
        <v/>
      </c>
      <c r="AJ1165" s="109" t="str">
        <f>IF(E1155="RPX",COUNTIFS(C1165:C1189,"TCF",E1165:E1189,"2"),"")</f>
        <v/>
      </c>
      <c r="AK1165" s="109" t="str">
        <f>IF(E1155="RPX-T",COUNTIFS(C1165:C1189,"TCF",E1165:E1189,"2"),"")</f>
        <v/>
      </c>
      <c r="AL1165" s="109">
        <f>IF(E1155="EUC",COUNTIFS(C1165:C1189,"TCF",E1165:E1189,"2"),"")</f>
        <v>0</v>
      </c>
      <c r="AM1165" s="109">
        <f t="shared" ref="AM1165:AM1189" si="490">VALUE(IF(C1165="FST","0",IF(C1165="REV T","1",IF(C1165="DBL REV",".5","0"))))</f>
        <v>0</v>
      </c>
      <c r="AN1165" s="109">
        <f t="shared" ref="AN1165:AN1189" si="491">VALUE(IF(C1165="FST","0",IF(C1165="REV T","0",IF(C1165="DBL REV",".5","0"))))</f>
        <v>0</v>
      </c>
      <c r="AO1165" s="109" t="str">
        <f t="shared" ref="AO1165:AO1189" si="492">IF(C1165="TPL REV","Y","")</f>
        <v/>
      </c>
      <c r="AQ1165" s="109" t="str">
        <f t="shared" ref="AQ1165:AQ1189" si="493">IF(C1165="QD REV","Y","")</f>
        <v/>
      </c>
      <c r="BA1165" s="229">
        <f>MOD(E1165,12)</f>
        <v>0</v>
      </c>
    </row>
    <row r="1166" spans="1:53" ht="15.75" thickBot="1" x14ac:dyDescent="0.3">
      <c r="A1166" s="88"/>
      <c r="B1166" s="66" t="s">
        <v>279</v>
      </c>
      <c r="C1166" s="67"/>
      <c r="D1166" s="102"/>
      <c r="E1166" s="32"/>
      <c r="F1166" s="32"/>
      <c r="G1166" s="68" t="s">
        <v>277</v>
      </c>
      <c r="H1166" s="69">
        <f t="shared" ref="H1166:H1189" si="494">IF(E1166=0,0,I1166-(E1166-1))</f>
        <v>0</v>
      </c>
      <c r="I1166" s="70">
        <f t="shared" ref="I1166:I1189" si="495">IF(E1166=0,0,H1165-1)</f>
        <v>0</v>
      </c>
      <c r="J1166" s="73" t="str">
        <f>IF(C1166="","--",IF(AND(C1166&lt;&gt;"FST",C1166&lt;&gt;"TCF",BA1165&lt;&gt;0),BA1165,"--"))</f>
        <v>--</v>
      </c>
      <c r="K1166" s="32"/>
      <c r="L1166" s="233"/>
      <c r="M1166" s="277"/>
      <c r="N1166" s="277"/>
      <c r="O1166" s="277"/>
      <c r="P1166" s="277"/>
      <c r="Q1166" s="277"/>
      <c r="R1166" s="277"/>
      <c r="S1166" s="277"/>
      <c r="T1166" s="277"/>
      <c r="U1166" s="278"/>
      <c r="V1166" s="103"/>
      <c r="W1166" s="72"/>
      <c r="X1166" s="72"/>
      <c r="Y1166" s="72"/>
      <c r="Z1166" s="45">
        <v>10</v>
      </c>
      <c r="AA1166" s="46">
        <v>109</v>
      </c>
      <c r="AB1166" s="46">
        <v>120</v>
      </c>
      <c r="AC1166" s="72">
        <f t="shared" si="485"/>
        <v>1</v>
      </c>
      <c r="AD1166" s="72">
        <f t="shared" si="486"/>
        <v>1</v>
      </c>
      <c r="AE1166" s="109" t="str">
        <f t="shared" si="487"/>
        <v>0-0</v>
      </c>
      <c r="AF1166" s="109" t="str">
        <f t="shared" si="488"/>
        <v>Y</v>
      </c>
      <c r="AG1166" s="109" t="str">
        <f t="shared" si="489"/>
        <v>B</v>
      </c>
      <c r="AH1166" s="109">
        <v>4</v>
      </c>
      <c r="AI1166" s="109" t="str">
        <f>IF(E1155="SS",COUNTIFS(C1165:C1189,"TCF",E1165:E1189,"4"),"")</f>
        <v/>
      </c>
      <c r="AJ1166" s="109" t="str">
        <f>IF(E1155="RPX",COUNTIFS(C1165:C1189,"TCF",E1165:E1189,"4"),"")</f>
        <v/>
      </c>
      <c r="AK1166" s="109" t="str">
        <f>IF(E1155="RPX-T",COUNTIFS(C1165:C1189,"TCF",E1165:E1189,"4"),"")</f>
        <v/>
      </c>
      <c r="AL1166" s="109">
        <f>IF(E1155="EUC",COUNTIFS(C1165:C1189,"TCF",E1165:E1189,"4"),"")</f>
        <v>0</v>
      </c>
      <c r="AM1166" s="109">
        <f t="shared" si="490"/>
        <v>0</v>
      </c>
      <c r="AN1166" s="109">
        <f t="shared" si="491"/>
        <v>0</v>
      </c>
      <c r="AO1166" s="109" t="str">
        <f t="shared" si="492"/>
        <v/>
      </c>
      <c r="AQ1166" s="109" t="str">
        <f t="shared" si="493"/>
        <v/>
      </c>
      <c r="BA1166" s="229">
        <f>MOD(SUM(E1165:E1166),12)</f>
        <v>0</v>
      </c>
    </row>
    <row r="1167" spans="1:53" ht="15.75" thickBot="1" x14ac:dyDescent="0.3">
      <c r="A1167" s="88"/>
      <c r="B1167" s="74" t="s">
        <v>280</v>
      </c>
      <c r="C1167" s="67"/>
      <c r="D1167" s="102"/>
      <c r="E1167" s="32"/>
      <c r="F1167" s="32"/>
      <c r="G1167" s="75" t="s">
        <v>277</v>
      </c>
      <c r="H1167" s="69">
        <f t="shared" si="494"/>
        <v>0</v>
      </c>
      <c r="I1167" s="70">
        <f t="shared" si="495"/>
        <v>0</v>
      </c>
      <c r="J1167" s="73" t="str">
        <f t="shared" ref="J1167:J1189" si="496">IF(C1167="","--",IF(AND(C1167&lt;&gt;"FST",C1167&lt;&gt;"TCF",BA1166&lt;&gt;0),BA1166,"--"))</f>
        <v>--</v>
      </c>
      <c r="K1167" s="32"/>
      <c r="L1167" s="233"/>
      <c r="M1167" s="277"/>
      <c r="N1167" s="277"/>
      <c r="O1167" s="277"/>
      <c r="P1167" s="277"/>
      <c r="Q1167" s="277"/>
      <c r="R1167" s="277"/>
      <c r="S1167" s="277"/>
      <c r="T1167" s="277"/>
      <c r="U1167" s="278"/>
      <c r="V1167" s="103"/>
      <c r="W1167" s="72"/>
      <c r="X1167" s="72"/>
      <c r="Y1167" s="72"/>
      <c r="Z1167" s="45">
        <v>11</v>
      </c>
      <c r="AA1167" s="46">
        <v>121</v>
      </c>
      <c r="AB1167" s="46">
        <v>132</v>
      </c>
      <c r="AC1167" s="72">
        <f t="shared" si="485"/>
        <v>1</v>
      </c>
      <c r="AD1167" s="72">
        <f t="shared" si="486"/>
        <v>1</v>
      </c>
      <c r="AE1167" s="109" t="str">
        <f t="shared" si="487"/>
        <v>0-0</v>
      </c>
      <c r="AF1167" s="109" t="str">
        <f t="shared" si="488"/>
        <v>Y</v>
      </c>
      <c r="AG1167" s="109" t="str">
        <f t="shared" si="489"/>
        <v>B</v>
      </c>
      <c r="AH1167" s="109">
        <v>6</v>
      </c>
      <c r="AI1167" s="109" t="str">
        <f>IF(E1155="SS",COUNTIFS(C1165:C1189,"TCF",E1165:E1189,"6"),"")</f>
        <v/>
      </c>
      <c r="AJ1167" s="109" t="str">
        <f>IF(E1155="RPX",COUNTIFS(C1165:C1189,"TCF",E1165:E1189,"6"),"")</f>
        <v/>
      </c>
      <c r="AK1167" s="109" t="str">
        <f>IF(E1155="RPX-T",COUNTIFS(C1165:C1189,"TCF",E1165:E1189,"6"),"")</f>
        <v/>
      </c>
      <c r="AL1167" s="109">
        <f>IF(E1155="EUC",COUNTIFS(C1165:C1189,"TCF",E1165:E1189,"6"),"")</f>
        <v>0</v>
      </c>
      <c r="AM1167" s="109">
        <f t="shared" si="490"/>
        <v>0</v>
      </c>
      <c r="AN1167" s="109">
        <f t="shared" si="491"/>
        <v>0</v>
      </c>
      <c r="AO1167" s="109" t="str">
        <f t="shared" si="492"/>
        <v/>
      </c>
      <c r="AQ1167" s="109" t="str">
        <f t="shared" si="493"/>
        <v/>
      </c>
      <c r="BA1167" s="229">
        <f>MOD(SUM(E1165:E1168),12)</f>
        <v>0</v>
      </c>
    </row>
    <row r="1168" spans="1:53" ht="15.75" thickBot="1" x14ac:dyDescent="0.3">
      <c r="A1168" s="88"/>
      <c r="B1168" s="66" t="s">
        <v>281</v>
      </c>
      <c r="C1168" s="67"/>
      <c r="D1168" s="102"/>
      <c r="E1168" s="32"/>
      <c r="F1168" s="32"/>
      <c r="G1168" s="68" t="s">
        <v>277</v>
      </c>
      <c r="H1168" s="69">
        <f t="shared" si="494"/>
        <v>0</v>
      </c>
      <c r="I1168" s="70">
        <f t="shared" si="495"/>
        <v>0</v>
      </c>
      <c r="J1168" s="73" t="str">
        <f t="shared" si="496"/>
        <v>--</v>
      </c>
      <c r="K1168" s="32"/>
      <c r="L1168" s="233"/>
      <c r="M1168" s="277"/>
      <c r="N1168" s="277"/>
      <c r="O1168" s="277"/>
      <c r="P1168" s="277"/>
      <c r="Q1168" s="277"/>
      <c r="R1168" s="277"/>
      <c r="S1168" s="277"/>
      <c r="T1168" s="277"/>
      <c r="U1168" s="278"/>
      <c r="V1168" s="103"/>
      <c r="W1168" s="72"/>
      <c r="X1168" s="72"/>
      <c r="Y1168" s="72"/>
      <c r="Z1168" s="45">
        <v>12</v>
      </c>
      <c r="AA1168" s="76">
        <v>133</v>
      </c>
      <c r="AB1168" s="76">
        <v>144</v>
      </c>
      <c r="AC1168" s="72">
        <f t="shared" si="485"/>
        <v>1</v>
      </c>
      <c r="AD1168" s="72">
        <f t="shared" si="486"/>
        <v>1</v>
      </c>
      <c r="AE1168" s="109" t="str">
        <f t="shared" si="487"/>
        <v>0-0</v>
      </c>
      <c r="AF1168" s="109" t="str">
        <f t="shared" si="488"/>
        <v>Y</v>
      </c>
      <c r="AG1168" s="109" t="str">
        <f t="shared" si="489"/>
        <v>B</v>
      </c>
      <c r="AH1168" s="109">
        <v>8</v>
      </c>
      <c r="AI1168" s="109" t="str">
        <f>IF(E1155="SS",COUNTIFS(C1165:C1189,"TCF",E1165:E1189,"8"),"")</f>
        <v/>
      </c>
      <c r="AJ1168" s="109" t="str">
        <f>IF(E1155="RPX",COUNTIFS(C1165:C1189,"TCF",E1165:E1189,"8"),"")</f>
        <v/>
      </c>
      <c r="AK1168" s="109" t="str">
        <f>IF(E1155="RPX-T",COUNTIFS(C1165:C1189,"TCF",E1165:E1189,"8"),"")</f>
        <v/>
      </c>
      <c r="AL1168" s="109">
        <f>IF(E1155="EUC",COUNTIFS(C1165:C1189,"TCF",E1165:E1189,"8"),"")</f>
        <v>0</v>
      </c>
      <c r="AM1168" s="109">
        <f t="shared" si="490"/>
        <v>0</v>
      </c>
      <c r="AN1168" s="109">
        <f t="shared" si="491"/>
        <v>0</v>
      </c>
      <c r="AO1168" s="109" t="str">
        <f t="shared" si="492"/>
        <v/>
      </c>
      <c r="AQ1168" s="109" t="str">
        <f t="shared" si="493"/>
        <v/>
      </c>
      <c r="BA1168" s="229">
        <f>MOD(SUM(E1165:E1169),12)</f>
        <v>0</v>
      </c>
    </row>
    <row r="1169" spans="1:53" ht="15.75" thickBot="1" x14ac:dyDescent="0.3">
      <c r="A1169" s="88"/>
      <c r="B1169" s="66" t="s">
        <v>282</v>
      </c>
      <c r="C1169" s="67"/>
      <c r="D1169" s="102"/>
      <c r="E1169" s="32"/>
      <c r="F1169" s="32"/>
      <c r="G1169" s="68" t="s">
        <v>277</v>
      </c>
      <c r="H1169" s="69">
        <f t="shared" si="494"/>
        <v>0</v>
      </c>
      <c r="I1169" s="70">
        <f t="shared" si="495"/>
        <v>0</v>
      </c>
      <c r="J1169" s="73" t="str">
        <f t="shared" si="496"/>
        <v>--</v>
      </c>
      <c r="K1169" s="32"/>
      <c r="L1169" s="233"/>
      <c r="M1169" s="277"/>
      <c r="N1169" s="277"/>
      <c r="O1169" s="277"/>
      <c r="P1169" s="277"/>
      <c r="Q1169" s="277"/>
      <c r="R1169" s="277"/>
      <c r="S1169" s="277"/>
      <c r="T1169" s="277"/>
      <c r="U1169" s="278"/>
      <c r="V1169" s="103"/>
      <c r="W1169" s="72"/>
      <c r="X1169" s="72"/>
      <c r="Y1169" s="72"/>
      <c r="Z1169" s="45">
        <v>13</v>
      </c>
      <c r="AA1169" s="77">
        <f t="shared" ref="AA1169:AA1174" si="497">AB1168+1</f>
        <v>145</v>
      </c>
      <c r="AB1169" s="77">
        <f t="shared" ref="AB1169:AB1174" si="498">AB1168+12</f>
        <v>156</v>
      </c>
      <c r="AC1169" s="72">
        <f t="shared" si="485"/>
        <v>1</v>
      </c>
      <c r="AD1169" s="72">
        <f t="shared" si="486"/>
        <v>1</v>
      </c>
      <c r="AE1169" s="109" t="str">
        <f t="shared" si="487"/>
        <v>0-0</v>
      </c>
      <c r="AF1169" s="109" t="str">
        <f t="shared" si="488"/>
        <v>Y</v>
      </c>
      <c r="AG1169" s="109" t="str">
        <f t="shared" si="489"/>
        <v>B</v>
      </c>
      <c r="AH1169" s="109">
        <v>12</v>
      </c>
      <c r="AI1169" s="109" t="str">
        <f>IF(E1155="SS",COUNTIFS(C1165:C1189,"TCF",E1165:E1189,"12"),"")</f>
        <v/>
      </c>
      <c r="AJ1169" s="109" t="str">
        <f>IF(E1155="RPX",COUNTIFS(C1165:C1189,"TCF",E1165:E1189,"12"),"")</f>
        <v/>
      </c>
      <c r="AK1169" s="109" t="str">
        <f>IF(E1155="RPX-T",COUNTIFS(C1165:C1189,"TCF",E1165:E1189,"12"),"")</f>
        <v/>
      </c>
      <c r="AL1169" s="109">
        <f>IF(E1155="EUC",COUNTIFS(C1165:C1189,"TCF",E1165:E1189,"12"),"")</f>
        <v>0</v>
      </c>
      <c r="AM1169" s="109">
        <f t="shared" si="490"/>
        <v>0</v>
      </c>
      <c r="AN1169" s="109">
        <f t="shared" si="491"/>
        <v>0</v>
      </c>
      <c r="AO1169" s="109" t="str">
        <f t="shared" si="492"/>
        <v/>
      </c>
      <c r="AQ1169" s="109" t="str">
        <f t="shared" si="493"/>
        <v/>
      </c>
      <c r="BA1169" s="229">
        <f>MOD(SUM(E1165:E1170),12)</f>
        <v>0</v>
      </c>
    </row>
    <row r="1170" spans="1:53" ht="15.75" thickBot="1" x14ac:dyDescent="0.3">
      <c r="A1170" s="88"/>
      <c r="B1170" s="66" t="s">
        <v>283</v>
      </c>
      <c r="C1170" s="67"/>
      <c r="D1170" s="102"/>
      <c r="E1170" s="32"/>
      <c r="F1170" s="32"/>
      <c r="G1170" s="68" t="s">
        <v>277</v>
      </c>
      <c r="H1170" s="69">
        <f t="shared" si="494"/>
        <v>0</v>
      </c>
      <c r="I1170" s="70">
        <f t="shared" si="495"/>
        <v>0</v>
      </c>
      <c r="J1170" s="73" t="str">
        <f t="shared" si="496"/>
        <v>--</v>
      </c>
      <c r="K1170" s="32"/>
      <c r="L1170" s="233"/>
      <c r="M1170" s="277"/>
      <c r="N1170" s="277"/>
      <c r="O1170" s="277"/>
      <c r="P1170" s="277"/>
      <c r="Q1170" s="277"/>
      <c r="R1170" s="277"/>
      <c r="S1170" s="277"/>
      <c r="T1170" s="277"/>
      <c r="U1170" s="278"/>
      <c r="V1170" s="103"/>
      <c r="W1170" s="72"/>
      <c r="X1170" s="72"/>
      <c r="Y1170" s="72"/>
      <c r="Z1170" s="45">
        <v>14</v>
      </c>
      <c r="AA1170" s="77">
        <f t="shared" si="497"/>
        <v>157</v>
      </c>
      <c r="AB1170" s="77">
        <f t="shared" si="498"/>
        <v>168</v>
      </c>
      <c r="AC1170" s="72">
        <f t="shared" si="485"/>
        <v>1</v>
      </c>
      <c r="AD1170" s="72">
        <f t="shared" si="486"/>
        <v>1</v>
      </c>
      <c r="AE1170" s="109" t="str">
        <f t="shared" si="487"/>
        <v>0-0</v>
      </c>
      <c r="AF1170" s="109" t="str">
        <f t="shared" si="488"/>
        <v>Y</v>
      </c>
      <c r="AG1170" s="109" t="str">
        <f t="shared" si="489"/>
        <v>B</v>
      </c>
      <c r="AM1170" s="109">
        <f t="shared" si="490"/>
        <v>0</v>
      </c>
      <c r="AN1170" s="109">
        <f t="shared" si="491"/>
        <v>0</v>
      </c>
      <c r="AO1170" s="109" t="str">
        <f t="shared" si="492"/>
        <v/>
      </c>
      <c r="AQ1170" s="109" t="str">
        <f t="shared" si="493"/>
        <v/>
      </c>
      <c r="BA1170" s="229">
        <f>MOD(SUM(E1165:E1171),12)</f>
        <v>0</v>
      </c>
    </row>
    <row r="1171" spans="1:53" ht="15.75" thickBot="1" x14ac:dyDescent="0.3">
      <c r="A1171" s="88"/>
      <c r="B1171" s="66" t="s">
        <v>284</v>
      </c>
      <c r="C1171" s="67"/>
      <c r="D1171" s="102"/>
      <c r="E1171" s="32"/>
      <c r="F1171" s="32"/>
      <c r="G1171" s="68" t="s">
        <v>277</v>
      </c>
      <c r="H1171" s="69">
        <f t="shared" si="494"/>
        <v>0</v>
      </c>
      <c r="I1171" s="70">
        <f t="shared" si="495"/>
        <v>0</v>
      </c>
      <c r="J1171" s="73" t="str">
        <f t="shared" si="496"/>
        <v>--</v>
      </c>
      <c r="K1171" s="32"/>
      <c r="L1171" s="233"/>
      <c r="M1171" s="277"/>
      <c r="N1171" s="277"/>
      <c r="O1171" s="277"/>
      <c r="P1171" s="277"/>
      <c r="Q1171" s="277"/>
      <c r="R1171" s="277"/>
      <c r="S1171" s="277"/>
      <c r="T1171" s="277"/>
      <c r="U1171" s="278"/>
      <c r="V1171" s="103"/>
      <c r="W1171" s="72"/>
      <c r="X1171" s="72"/>
      <c r="Y1171" s="72"/>
      <c r="Z1171" s="45">
        <v>15</v>
      </c>
      <c r="AA1171" s="77">
        <f t="shared" si="497"/>
        <v>169</v>
      </c>
      <c r="AB1171" s="77">
        <f t="shared" si="498"/>
        <v>180</v>
      </c>
      <c r="AC1171" s="72">
        <f t="shared" si="485"/>
        <v>1</v>
      </c>
      <c r="AD1171" s="72">
        <f t="shared" si="486"/>
        <v>1</v>
      </c>
      <c r="AE1171" s="109" t="str">
        <f t="shared" si="487"/>
        <v>0-0</v>
      </c>
      <c r="AF1171" s="109" t="str">
        <f t="shared" si="488"/>
        <v>Y</v>
      </c>
      <c r="AG1171" s="109" t="str">
        <f t="shared" si="489"/>
        <v>B</v>
      </c>
      <c r="AM1171" s="109">
        <f t="shared" si="490"/>
        <v>0</v>
      </c>
      <c r="AN1171" s="109">
        <f t="shared" si="491"/>
        <v>0</v>
      </c>
      <c r="AO1171" s="109" t="str">
        <f t="shared" si="492"/>
        <v/>
      </c>
      <c r="AQ1171" s="109" t="str">
        <f t="shared" si="493"/>
        <v/>
      </c>
      <c r="BA1171" s="229">
        <f>MOD(SUM(E1165:E1172),12)</f>
        <v>0</v>
      </c>
    </row>
    <row r="1172" spans="1:53" ht="15.75" thickBot="1" x14ac:dyDescent="0.3">
      <c r="A1172" s="88"/>
      <c r="B1172" s="66" t="s">
        <v>285</v>
      </c>
      <c r="C1172" s="67"/>
      <c r="D1172" s="102"/>
      <c r="E1172" s="32"/>
      <c r="F1172" s="32"/>
      <c r="G1172" s="68" t="s">
        <v>277</v>
      </c>
      <c r="H1172" s="69">
        <f t="shared" si="494"/>
        <v>0</v>
      </c>
      <c r="I1172" s="70">
        <f t="shared" si="495"/>
        <v>0</v>
      </c>
      <c r="J1172" s="73" t="str">
        <f t="shared" si="496"/>
        <v>--</v>
      </c>
      <c r="K1172" s="32"/>
      <c r="L1172" s="233"/>
      <c r="M1172" s="277"/>
      <c r="N1172" s="277"/>
      <c r="O1172" s="277"/>
      <c r="P1172" s="277"/>
      <c r="Q1172" s="277"/>
      <c r="R1172" s="277"/>
      <c r="S1172" s="277"/>
      <c r="T1172" s="277"/>
      <c r="U1172" s="278"/>
      <c r="V1172" s="103"/>
      <c r="W1172" s="72"/>
      <c r="X1172" s="72"/>
      <c r="Y1172" s="72"/>
      <c r="Z1172" s="45">
        <f>Z1171+1</f>
        <v>16</v>
      </c>
      <c r="AA1172" s="77">
        <f t="shared" si="497"/>
        <v>181</v>
      </c>
      <c r="AB1172" s="77">
        <f t="shared" si="498"/>
        <v>192</v>
      </c>
      <c r="AC1172" s="72">
        <f t="shared" si="485"/>
        <v>1</v>
      </c>
      <c r="AD1172" s="72">
        <f t="shared" si="486"/>
        <v>1</v>
      </c>
      <c r="AE1172" s="109" t="str">
        <f t="shared" si="487"/>
        <v>0-0</v>
      </c>
      <c r="AF1172" s="109" t="str">
        <f t="shared" si="488"/>
        <v>Y</v>
      </c>
      <c r="AG1172" s="109" t="str">
        <f t="shared" si="489"/>
        <v>B</v>
      </c>
      <c r="AM1172" s="109">
        <f t="shared" si="490"/>
        <v>0</v>
      </c>
      <c r="AN1172" s="109">
        <f t="shared" si="491"/>
        <v>0</v>
      </c>
      <c r="AO1172" s="109" t="str">
        <f t="shared" si="492"/>
        <v/>
      </c>
      <c r="AQ1172" s="109" t="str">
        <f t="shared" si="493"/>
        <v/>
      </c>
      <c r="BA1172" s="229">
        <f>MOD(SUM(E1165:E1173),12)</f>
        <v>0</v>
      </c>
    </row>
    <row r="1173" spans="1:53" ht="15.75" thickBot="1" x14ac:dyDescent="0.3">
      <c r="A1173" s="88"/>
      <c r="B1173" s="66" t="s">
        <v>286</v>
      </c>
      <c r="C1173" s="67"/>
      <c r="D1173" s="102"/>
      <c r="E1173" s="32"/>
      <c r="F1173" s="32"/>
      <c r="G1173" s="68" t="s">
        <v>277</v>
      </c>
      <c r="H1173" s="69">
        <f t="shared" si="494"/>
        <v>0</v>
      </c>
      <c r="I1173" s="70">
        <f t="shared" si="495"/>
        <v>0</v>
      </c>
      <c r="J1173" s="73" t="str">
        <f t="shared" si="496"/>
        <v>--</v>
      </c>
      <c r="K1173" s="32"/>
      <c r="L1173" s="233"/>
      <c r="M1173" s="277"/>
      <c r="N1173" s="277"/>
      <c r="O1173" s="277"/>
      <c r="P1173" s="277"/>
      <c r="Q1173" s="277"/>
      <c r="R1173" s="277"/>
      <c r="S1173" s="277"/>
      <c r="T1173" s="277"/>
      <c r="U1173" s="278"/>
      <c r="V1173" s="103"/>
      <c r="W1173" s="72"/>
      <c r="X1173" s="72"/>
      <c r="Y1173" s="72"/>
      <c r="Z1173" s="45">
        <f>Z1172+1</f>
        <v>17</v>
      </c>
      <c r="AA1173" s="77">
        <f t="shared" si="497"/>
        <v>193</v>
      </c>
      <c r="AB1173" s="77">
        <f t="shared" si="498"/>
        <v>204</v>
      </c>
      <c r="AC1173" s="72">
        <f t="shared" si="485"/>
        <v>1</v>
      </c>
      <c r="AD1173" s="72">
        <f t="shared" si="486"/>
        <v>1</v>
      </c>
      <c r="AE1173" s="109" t="str">
        <f t="shared" si="487"/>
        <v>0-0</v>
      </c>
      <c r="AF1173" s="109" t="str">
        <f t="shared" si="488"/>
        <v>Y</v>
      </c>
      <c r="AG1173" s="109" t="str">
        <f t="shared" si="489"/>
        <v>B</v>
      </c>
      <c r="AM1173" s="109">
        <f t="shared" si="490"/>
        <v>0</v>
      </c>
      <c r="AN1173" s="109">
        <f t="shared" si="491"/>
        <v>0</v>
      </c>
      <c r="AO1173" s="109" t="str">
        <f t="shared" si="492"/>
        <v/>
      </c>
      <c r="AQ1173" s="109" t="str">
        <f t="shared" si="493"/>
        <v/>
      </c>
      <c r="BA1173" s="229">
        <f>MOD(SUM(E1165:E1174),12)</f>
        <v>0</v>
      </c>
    </row>
    <row r="1174" spans="1:53" ht="15.75" thickBot="1" x14ac:dyDescent="0.3">
      <c r="A1174" s="88"/>
      <c r="B1174" s="66" t="s">
        <v>287</v>
      </c>
      <c r="C1174" s="67"/>
      <c r="D1174" s="102"/>
      <c r="E1174" s="32"/>
      <c r="F1174" s="32"/>
      <c r="G1174" s="68" t="s">
        <v>277</v>
      </c>
      <c r="H1174" s="69">
        <f t="shared" si="494"/>
        <v>0</v>
      </c>
      <c r="I1174" s="70">
        <f t="shared" si="495"/>
        <v>0</v>
      </c>
      <c r="J1174" s="73" t="str">
        <f t="shared" si="496"/>
        <v>--</v>
      </c>
      <c r="K1174" s="32"/>
      <c r="L1174" s="233"/>
      <c r="M1174" s="277"/>
      <c r="N1174" s="277"/>
      <c r="O1174" s="277"/>
      <c r="P1174" s="277"/>
      <c r="Q1174" s="277"/>
      <c r="R1174" s="277"/>
      <c r="S1174" s="277"/>
      <c r="T1174" s="277"/>
      <c r="U1174" s="278"/>
      <c r="V1174" s="103"/>
      <c r="W1174" s="72"/>
      <c r="X1174" s="72"/>
      <c r="Y1174" s="72"/>
      <c r="Z1174" s="45">
        <f>Z1173+1</f>
        <v>18</v>
      </c>
      <c r="AA1174" s="77">
        <f t="shared" si="497"/>
        <v>205</v>
      </c>
      <c r="AB1174" s="77">
        <f t="shared" si="498"/>
        <v>216</v>
      </c>
      <c r="AC1174" s="72">
        <f t="shared" si="485"/>
        <v>1</v>
      </c>
      <c r="AD1174" s="72">
        <f t="shared" si="486"/>
        <v>1</v>
      </c>
      <c r="AE1174" s="109" t="str">
        <f t="shared" si="487"/>
        <v>0-0</v>
      </c>
      <c r="AF1174" s="109" t="str">
        <f t="shared" si="488"/>
        <v>Y</v>
      </c>
      <c r="AG1174" s="109" t="str">
        <f t="shared" si="489"/>
        <v>B</v>
      </c>
      <c r="AM1174" s="109">
        <f t="shared" si="490"/>
        <v>0</v>
      </c>
      <c r="AN1174" s="109">
        <f t="shared" si="491"/>
        <v>0</v>
      </c>
      <c r="AO1174" s="109" t="str">
        <f t="shared" si="492"/>
        <v/>
      </c>
      <c r="AQ1174" s="109" t="str">
        <f t="shared" si="493"/>
        <v/>
      </c>
      <c r="BA1174" s="229">
        <f>MOD(SUM(E1165:E1175),12)</f>
        <v>0</v>
      </c>
    </row>
    <row r="1175" spans="1:53" ht="15.75" thickBot="1" x14ac:dyDescent="0.3">
      <c r="A1175" s="88"/>
      <c r="B1175" s="66" t="s">
        <v>288</v>
      </c>
      <c r="C1175" s="67"/>
      <c r="D1175" s="102"/>
      <c r="E1175" s="32"/>
      <c r="F1175" s="32"/>
      <c r="G1175" s="68" t="s">
        <v>277</v>
      </c>
      <c r="H1175" s="69">
        <f t="shared" si="494"/>
        <v>0</v>
      </c>
      <c r="I1175" s="70">
        <f t="shared" si="495"/>
        <v>0</v>
      </c>
      <c r="J1175" s="73" t="str">
        <f t="shared" si="496"/>
        <v>--</v>
      </c>
      <c r="K1175" s="32"/>
      <c r="L1175" s="233"/>
      <c r="M1175" s="277"/>
      <c r="N1175" s="277"/>
      <c r="O1175" s="277"/>
      <c r="P1175" s="277"/>
      <c r="Q1175" s="277"/>
      <c r="R1175" s="277"/>
      <c r="S1175" s="277"/>
      <c r="T1175" s="277"/>
      <c r="U1175" s="278"/>
      <c r="V1175" s="103"/>
      <c r="W1175" s="84"/>
      <c r="X1175" s="84"/>
      <c r="Y1175" s="72"/>
      <c r="Z1175" s="72"/>
      <c r="AA1175" s="72"/>
      <c r="AB1175" s="72"/>
      <c r="AC1175" s="72">
        <f t="shared" si="485"/>
        <v>1</v>
      </c>
      <c r="AD1175" s="72">
        <f t="shared" si="486"/>
        <v>1</v>
      </c>
      <c r="AE1175" s="109" t="str">
        <f t="shared" si="487"/>
        <v>0-0</v>
      </c>
      <c r="AF1175" s="109" t="str">
        <f t="shared" si="488"/>
        <v>Y</v>
      </c>
      <c r="AG1175" s="109" t="str">
        <f t="shared" si="489"/>
        <v>B</v>
      </c>
      <c r="AM1175" s="109">
        <f t="shared" si="490"/>
        <v>0</v>
      </c>
      <c r="AN1175" s="109">
        <f t="shared" si="491"/>
        <v>0</v>
      </c>
      <c r="AO1175" s="109" t="str">
        <f t="shared" si="492"/>
        <v/>
      </c>
      <c r="AQ1175" s="109" t="str">
        <f t="shared" si="493"/>
        <v/>
      </c>
      <c r="BA1175" s="229">
        <f>MOD(SUM(E1165:E1176),12)</f>
        <v>0</v>
      </c>
    </row>
    <row r="1176" spans="1:53" ht="15.75" thickBot="1" x14ac:dyDescent="0.3">
      <c r="A1176" s="88"/>
      <c r="B1176" s="66" t="s">
        <v>289</v>
      </c>
      <c r="C1176" s="67"/>
      <c r="D1176" s="102"/>
      <c r="E1176" s="32"/>
      <c r="F1176" s="32"/>
      <c r="G1176" s="68" t="s">
        <v>277</v>
      </c>
      <c r="H1176" s="69">
        <f t="shared" si="494"/>
        <v>0</v>
      </c>
      <c r="I1176" s="70">
        <f t="shared" si="495"/>
        <v>0</v>
      </c>
      <c r="J1176" s="73" t="str">
        <f t="shared" si="496"/>
        <v>--</v>
      </c>
      <c r="K1176" s="32"/>
      <c r="L1176" s="233"/>
      <c r="M1176" s="277"/>
      <c r="N1176" s="277"/>
      <c r="O1176" s="277"/>
      <c r="P1176" s="277"/>
      <c r="Q1176" s="277"/>
      <c r="R1176" s="277"/>
      <c r="S1176" s="277"/>
      <c r="T1176" s="277"/>
      <c r="U1176" s="278"/>
      <c r="V1176" s="103"/>
      <c r="W1176" s="84">
        <f>Y1176+1</f>
        <v>13</v>
      </c>
      <c r="X1176" s="84"/>
      <c r="Y1176" s="78">
        <f>SUM(E1165:E1176)</f>
        <v>12</v>
      </c>
      <c r="Z1176" s="72"/>
      <c r="AA1176" s="72"/>
      <c r="AB1176" s="72"/>
      <c r="AC1176" s="72">
        <f t="shared" si="485"/>
        <v>1</v>
      </c>
      <c r="AD1176" s="72">
        <f t="shared" si="486"/>
        <v>1</v>
      </c>
      <c r="AE1176" s="109" t="str">
        <f t="shared" si="487"/>
        <v>0-0</v>
      </c>
      <c r="AF1176" s="109" t="str">
        <f t="shared" si="488"/>
        <v>Y</v>
      </c>
      <c r="AG1176" s="109" t="str">
        <f t="shared" si="489"/>
        <v>B</v>
      </c>
      <c r="AM1176" s="109">
        <f t="shared" si="490"/>
        <v>0</v>
      </c>
      <c r="AN1176" s="109">
        <f t="shared" si="491"/>
        <v>0</v>
      </c>
      <c r="AO1176" s="109" t="str">
        <f t="shared" si="492"/>
        <v/>
      </c>
      <c r="AQ1176" s="109" t="str">
        <f t="shared" si="493"/>
        <v/>
      </c>
      <c r="BA1176" s="229">
        <f>MOD(SUM(E1165:E1177),12)</f>
        <v>0</v>
      </c>
    </row>
    <row r="1177" spans="1:53" ht="15.75" thickBot="1" x14ac:dyDescent="0.3">
      <c r="A1177" s="88"/>
      <c r="B1177" s="66" t="s">
        <v>290</v>
      </c>
      <c r="C1177" s="67"/>
      <c r="D1177" s="102"/>
      <c r="E1177" s="32"/>
      <c r="F1177" s="32"/>
      <c r="G1177" s="68" t="s">
        <v>277</v>
      </c>
      <c r="H1177" s="69">
        <f t="shared" si="494"/>
        <v>0</v>
      </c>
      <c r="I1177" s="70">
        <f t="shared" si="495"/>
        <v>0</v>
      </c>
      <c r="J1177" s="73" t="str">
        <f t="shared" si="496"/>
        <v>--</v>
      </c>
      <c r="K1177" s="32"/>
      <c r="L1177" s="233"/>
      <c r="M1177" s="277"/>
      <c r="N1177" s="277"/>
      <c r="O1177" s="277"/>
      <c r="P1177" s="277"/>
      <c r="Q1177" s="277"/>
      <c r="R1177" s="277"/>
      <c r="S1177" s="277"/>
      <c r="T1177" s="277"/>
      <c r="U1177" s="278"/>
      <c r="V1177" s="103"/>
      <c r="W1177" s="84">
        <f>Y1177+1</f>
        <v>13</v>
      </c>
      <c r="X1177" s="84"/>
      <c r="Y1177" s="78">
        <f>SUM(E1165:E1177)</f>
        <v>12</v>
      </c>
      <c r="Z1177" s="72" t="str">
        <f t="shared" ref="Z1177:Z1189" si="499">IF(OR(AND(E$8=216,C1176="DBL REV",C1177="DBL REV",Y1176&lt;=144,Y1177&gt;144),AND(E$8=216,C1176="TPL REV",C1177="TPL REV",Y1176&lt;=144,Y1177&gt;144),AND(E$8=216,C1176="QD REV",C1177="QD REV",Y1176&lt;=144,Y1177&gt;144)),"ERROR","")</f>
        <v/>
      </c>
      <c r="AA1177" s="72"/>
      <c r="AB1177" s="72"/>
      <c r="AC1177" s="72">
        <f t="shared" si="485"/>
        <v>1</v>
      </c>
      <c r="AD1177" s="72">
        <f t="shared" si="486"/>
        <v>1</v>
      </c>
      <c r="AE1177" s="109" t="str">
        <f t="shared" si="487"/>
        <v>0-0</v>
      </c>
      <c r="AF1177" s="109" t="str">
        <f t="shared" si="488"/>
        <v>Y</v>
      </c>
      <c r="AG1177" s="109" t="str">
        <f t="shared" si="489"/>
        <v>B</v>
      </c>
      <c r="AM1177" s="109">
        <f t="shared" si="490"/>
        <v>0</v>
      </c>
      <c r="AN1177" s="109">
        <f t="shared" si="491"/>
        <v>0</v>
      </c>
      <c r="AO1177" s="109" t="str">
        <f t="shared" si="492"/>
        <v/>
      </c>
      <c r="AQ1177" s="109" t="str">
        <f t="shared" si="493"/>
        <v/>
      </c>
      <c r="BA1177" s="229">
        <f>MOD(SUM(E1165:E1178),12)</f>
        <v>0</v>
      </c>
    </row>
    <row r="1178" spans="1:53" ht="15.75" thickBot="1" x14ac:dyDescent="0.3">
      <c r="A1178" s="88"/>
      <c r="B1178" s="66" t="s">
        <v>291</v>
      </c>
      <c r="C1178" s="67"/>
      <c r="D1178" s="102"/>
      <c r="E1178" s="32"/>
      <c r="F1178" s="32"/>
      <c r="G1178" s="68" t="s">
        <v>277</v>
      </c>
      <c r="H1178" s="69">
        <f t="shared" si="494"/>
        <v>0</v>
      </c>
      <c r="I1178" s="70">
        <f t="shared" si="495"/>
        <v>0</v>
      </c>
      <c r="J1178" s="73" t="str">
        <f t="shared" si="496"/>
        <v>--</v>
      </c>
      <c r="K1178" s="32"/>
      <c r="L1178" s="233"/>
      <c r="M1178" s="277"/>
      <c r="N1178" s="277"/>
      <c r="O1178" s="277"/>
      <c r="P1178" s="277"/>
      <c r="Q1178" s="277"/>
      <c r="R1178" s="277"/>
      <c r="S1178" s="277"/>
      <c r="T1178" s="277"/>
      <c r="U1178" s="278"/>
      <c r="V1178" s="103"/>
      <c r="W1178" s="84">
        <f>Y1178+1</f>
        <v>13</v>
      </c>
      <c r="X1178" s="84"/>
      <c r="Y1178" s="78">
        <f>SUM(E1165:E1178)</f>
        <v>12</v>
      </c>
      <c r="Z1178" s="72" t="str">
        <f t="shared" si="499"/>
        <v/>
      </c>
      <c r="AA1178" s="72"/>
      <c r="AB1178" s="72"/>
      <c r="AC1178" s="72">
        <f t="shared" si="485"/>
        <v>1</v>
      </c>
      <c r="AD1178" s="72">
        <f t="shared" si="486"/>
        <v>1</v>
      </c>
      <c r="AE1178" s="109" t="str">
        <f t="shared" si="487"/>
        <v>0-0</v>
      </c>
      <c r="AF1178" s="109" t="str">
        <f t="shared" si="488"/>
        <v>Y</v>
      </c>
      <c r="AG1178" s="109" t="str">
        <f t="shared" si="489"/>
        <v>B</v>
      </c>
      <c r="AM1178" s="109">
        <f t="shared" si="490"/>
        <v>0</v>
      </c>
      <c r="AN1178" s="109">
        <f t="shared" si="491"/>
        <v>0</v>
      </c>
      <c r="AO1178" s="109" t="str">
        <f t="shared" si="492"/>
        <v/>
      </c>
      <c r="AQ1178" s="109" t="str">
        <f t="shared" si="493"/>
        <v/>
      </c>
      <c r="BA1178" s="229">
        <f>MOD(SUM(E1165:E1179),12)</f>
        <v>0</v>
      </c>
    </row>
    <row r="1179" spans="1:53" ht="15.75" thickBot="1" x14ac:dyDescent="0.3">
      <c r="A1179" s="88"/>
      <c r="B1179" s="66" t="s">
        <v>292</v>
      </c>
      <c r="C1179" s="67"/>
      <c r="D1179" s="102"/>
      <c r="E1179" s="32"/>
      <c r="F1179" s="32"/>
      <c r="G1179" s="68" t="s">
        <v>277</v>
      </c>
      <c r="H1179" s="69">
        <f t="shared" si="494"/>
        <v>0</v>
      </c>
      <c r="I1179" s="70">
        <f t="shared" si="495"/>
        <v>0</v>
      </c>
      <c r="J1179" s="73" t="str">
        <f t="shared" si="496"/>
        <v>--</v>
      </c>
      <c r="K1179" s="32"/>
      <c r="L1179" s="233"/>
      <c r="M1179" s="277"/>
      <c r="N1179" s="277"/>
      <c r="O1179" s="277"/>
      <c r="P1179" s="277"/>
      <c r="Q1179" s="277"/>
      <c r="R1179" s="277"/>
      <c r="S1179" s="277"/>
      <c r="T1179" s="277"/>
      <c r="U1179" s="278"/>
      <c r="V1179" s="103"/>
      <c r="W1179" s="84">
        <f>Y1179+1</f>
        <v>13</v>
      </c>
      <c r="X1179" s="84"/>
      <c r="Y1179" s="78">
        <f>SUM(E1165:E1179)</f>
        <v>12</v>
      </c>
      <c r="Z1179" s="72" t="str">
        <f t="shared" si="499"/>
        <v/>
      </c>
      <c r="AA1179" s="72" t="str">
        <f t="shared" ref="AA1179:AA1191" si="500">IF(AND(C1177&lt;&gt;"Field SPL",W1176&lt;=144,Y1177&gt;144),"ERROR","")</f>
        <v/>
      </c>
      <c r="AB1179" s="72"/>
      <c r="AC1179" s="72">
        <f t="shared" si="485"/>
        <v>1</v>
      </c>
      <c r="AD1179" s="72">
        <f t="shared" si="486"/>
        <v>1</v>
      </c>
      <c r="AE1179" s="109" t="str">
        <f t="shared" si="487"/>
        <v>0-0</v>
      </c>
      <c r="AF1179" s="109" t="str">
        <f t="shared" si="488"/>
        <v>Y</v>
      </c>
      <c r="AG1179" s="109" t="str">
        <f t="shared" si="489"/>
        <v>B</v>
      </c>
      <c r="AM1179" s="109">
        <f t="shared" si="490"/>
        <v>0</v>
      </c>
      <c r="AN1179" s="109">
        <f t="shared" si="491"/>
        <v>0</v>
      </c>
      <c r="AO1179" s="109" t="str">
        <f t="shared" si="492"/>
        <v/>
      </c>
      <c r="AQ1179" s="109" t="str">
        <f t="shared" si="493"/>
        <v/>
      </c>
      <c r="BA1179" s="229">
        <f>MOD(SUM(E1165:E1180),12)</f>
        <v>0</v>
      </c>
    </row>
    <row r="1180" spans="1:53" ht="15.75" thickBot="1" x14ac:dyDescent="0.3">
      <c r="A1180" s="88"/>
      <c r="B1180" s="66" t="s">
        <v>293</v>
      </c>
      <c r="C1180" s="67"/>
      <c r="D1180" s="102"/>
      <c r="E1180" s="32"/>
      <c r="F1180" s="32"/>
      <c r="G1180" s="68" t="s">
        <v>277</v>
      </c>
      <c r="H1180" s="69">
        <f t="shared" si="494"/>
        <v>0</v>
      </c>
      <c r="I1180" s="70">
        <f t="shared" si="495"/>
        <v>0</v>
      </c>
      <c r="J1180" s="73" t="str">
        <f t="shared" si="496"/>
        <v>--</v>
      </c>
      <c r="K1180" s="32"/>
      <c r="L1180" s="233"/>
      <c r="M1180" s="277"/>
      <c r="N1180" s="277"/>
      <c r="O1180" s="277"/>
      <c r="P1180" s="277"/>
      <c r="Q1180" s="277"/>
      <c r="R1180" s="277"/>
      <c r="S1180" s="277"/>
      <c r="T1180" s="277"/>
      <c r="U1180" s="278"/>
      <c r="V1180" s="103"/>
      <c r="W1180" s="84">
        <f t="shared" ref="W1180:W1188" si="501">Y1180+1</f>
        <v>13</v>
      </c>
      <c r="X1180" s="84"/>
      <c r="Y1180" s="78">
        <f>SUM(E1165:E1180)</f>
        <v>12</v>
      </c>
      <c r="Z1180" s="72" t="str">
        <f t="shared" si="499"/>
        <v/>
      </c>
      <c r="AA1180" s="72" t="str">
        <f t="shared" si="500"/>
        <v/>
      </c>
      <c r="AB1180" s="72"/>
      <c r="AC1180" s="72">
        <f t="shared" si="485"/>
        <v>1</v>
      </c>
      <c r="AD1180" s="72">
        <f t="shared" si="486"/>
        <v>1</v>
      </c>
      <c r="AE1180" s="109" t="str">
        <f t="shared" si="487"/>
        <v>0-0</v>
      </c>
      <c r="AF1180" s="109" t="str">
        <f t="shared" si="488"/>
        <v>Y</v>
      </c>
      <c r="AG1180" s="109" t="str">
        <f t="shared" si="489"/>
        <v>B</v>
      </c>
      <c r="AM1180" s="109">
        <f t="shared" si="490"/>
        <v>0</v>
      </c>
      <c r="AN1180" s="109">
        <f t="shared" si="491"/>
        <v>0</v>
      </c>
      <c r="AO1180" s="109" t="str">
        <f t="shared" si="492"/>
        <v/>
      </c>
      <c r="AQ1180" s="109" t="str">
        <f t="shared" si="493"/>
        <v/>
      </c>
      <c r="BA1180" s="229">
        <f>MOD(SUM(E1165:E1181),12)</f>
        <v>0</v>
      </c>
    </row>
    <row r="1181" spans="1:53" ht="15.75" thickBot="1" x14ac:dyDescent="0.3">
      <c r="A1181" s="88"/>
      <c r="B1181" s="66" t="s">
        <v>294</v>
      </c>
      <c r="C1181" s="67"/>
      <c r="D1181" s="102"/>
      <c r="E1181" s="32"/>
      <c r="F1181" s="32"/>
      <c r="G1181" s="68" t="s">
        <v>277</v>
      </c>
      <c r="H1181" s="69">
        <f t="shared" si="494"/>
        <v>0</v>
      </c>
      <c r="I1181" s="70">
        <f t="shared" si="495"/>
        <v>0</v>
      </c>
      <c r="J1181" s="73" t="str">
        <f t="shared" si="496"/>
        <v>--</v>
      </c>
      <c r="K1181" s="32"/>
      <c r="L1181" s="233"/>
      <c r="M1181" s="277"/>
      <c r="N1181" s="277"/>
      <c r="O1181" s="277"/>
      <c r="P1181" s="277"/>
      <c r="Q1181" s="277"/>
      <c r="R1181" s="277"/>
      <c r="S1181" s="277"/>
      <c r="T1181" s="277"/>
      <c r="U1181" s="278"/>
      <c r="V1181" s="103"/>
      <c r="W1181" s="84">
        <f t="shared" si="501"/>
        <v>13</v>
      </c>
      <c r="X1181" s="84"/>
      <c r="Y1181" s="78">
        <f>SUM(E1165:E1181)</f>
        <v>12</v>
      </c>
      <c r="Z1181" s="72" t="str">
        <f t="shared" si="499"/>
        <v/>
      </c>
      <c r="AA1181" s="72" t="str">
        <f t="shared" si="500"/>
        <v/>
      </c>
      <c r="AB1181" s="72"/>
      <c r="AC1181" s="72">
        <f t="shared" si="485"/>
        <v>1</v>
      </c>
      <c r="AD1181" s="72">
        <f t="shared" si="486"/>
        <v>1</v>
      </c>
      <c r="AE1181" s="109" t="str">
        <f t="shared" si="487"/>
        <v>0-0</v>
      </c>
      <c r="AF1181" s="109" t="str">
        <f t="shared" si="488"/>
        <v>Y</v>
      </c>
      <c r="AG1181" s="109" t="str">
        <f t="shared" si="489"/>
        <v>B</v>
      </c>
      <c r="AM1181" s="109">
        <f t="shared" si="490"/>
        <v>0</v>
      </c>
      <c r="AN1181" s="109">
        <f t="shared" si="491"/>
        <v>0</v>
      </c>
      <c r="AO1181" s="109" t="str">
        <f t="shared" si="492"/>
        <v/>
      </c>
      <c r="AQ1181" s="109" t="str">
        <f t="shared" si="493"/>
        <v/>
      </c>
      <c r="BA1181" s="229">
        <f>MOD(SUM(E1165:E1182),12)</f>
        <v>0</v>
      </c>
    </row>
    <row r="1182" spans="1:53" ht="15.75" thickBot="1" x14ac:dyDescent="0.3">
      <c r="A1182" s="88"/>
      <c r="B1182" s="66" t="s">
        <v>295</v>
      </c>
      <c r="C1182" s="67"/>
      <c r="D1182" s="102"/>
      <c r="E1182" s="32"/>
      <c r="F1182" s="32"/>
      <c r="G1182" s="68" t="s">
        <v>277</v>
      </c>
      <c r="H1182" s="69">
        <f t="shared" si="494"/>
        <v>0</v>
      </c>
      <c r="I1182" s="70">
        <f t="shared" si="495"/>
        <v>0</v>
      </c>
      <c r="J1182" s="73" t="str">
        <f t="shared" si="496"/>
        <v>--</v>
      </c>
      <c r="K1182" s="32"/>
      <c r="L1182" s="233"/>
      <c r="M1182" s="277"/>
      <c r="N1182" s="277"/>
      <c r="O1182" s="277"/>
      <c r="P1182" s="277"/>
      <c r="Q1182" s="277"/>
      <c r="R1182" s="277"/>
      <c r="S1182" s="277"/>
      <c r="T1182" s="277"/>
      <c r="U1182" s="278"/>
      <c r="V1182" s="103"/>
      <c r="W1182" s="84">
        <f t="shared" si="501"/>
        <v>13</v>
      </c>
      <c r="X1182" s="84"/>
      <c r="Y1182" s="78">
        <f>SUM(E1165:E1182)</f>
        <v>12</v>
      </c>
      <c r="Z1182" s="72" t="str">
        <f t="shared" si="499"/>
        <v/>
      </c>
      <c r="AA1182" s="72" t="str">
        <f t="shared" si="500"/>
        <v/>
      </c>
      <c r="AB1182" s="72"/>
      <c r="AC1182" s="72">
        <f t="shared" si="485"/>
        <v>1</v>
      </c>
      <c r="AD1182" s="72">
        <f t="shared" si="486"/>
        <v>1</v>
      </c>
      <c r="AE1182" s="109" t="str">
        <f t="shared" si="487"/>
        <v>0-0</v>
      </c>
      <c r="AF1182" s="109" t="str">
        <f t="shared" si="488"/>
        <v>Y</v>
      </c>
      <c r="AG1182" s="109" t="str">
        <f t="shared" si="489"/>
        <v>B</v>
      </c>
      <c r="AM1182" s="109">
        <f t="shared" si="490"/>
        <v>0</v>
      </c>
      <c r="AN1182" s="109">
        <f t="shared" si="491"/>
        <v>0</v>
      </c>
      <c r="AO1182" s="109" t="str">
        <f t="shared" si="492"/>
        <v/>
      </c>
      <c r="AQ1182" s="109" t="str">
        <f t="shared" si="493"/>
        <v/>
      </c>
      <c r="BA1182" s="229">
        <f>MOD(SUM(E1165:E1183),12)</f>
        <v>0</v>
      </c>
    </row>
    <row r="1183" spans="1:53" ht="15.75" thickBot="1" x14ac:dyDescent="0.3">
      <c r="A1183" s="88"/>
      <c r="B1183" s="66" t="s">
        <v>296</v>
      </c>
      <c r="C1183" s="67"/>
      <c r="D1183" s="102"/>
      <c r="E1183" s="32"/>
      <c r="F1183" s="32"/>
      <c r="G1183" s="68" t="s">
        <v>277</v>
      </c>
      <c r="H1183" s="69">
        <f t="shared" si="494"/>
        <v>0</v>
      </c>
      <c r="I1183" s="70">
        <f t="shared" si="495"/>
        <v>0</v>
      </c>
      <c r="J1183" s="73" t="str">
        <f t="shared" si="496"/>
        <v>--</v>
      </c>
      <c r="K1183" s="32"/>
      <c r="L1183" s="233"/>
      <c r="M1183" s="277"/>
      <c r="N1183" s="277"/>
      <c r="O1183" s="277"/>
      <c r="P1183" s="277"/>
      <c r="Q1183" s="277"/>
      <c r="R1183" s="277"/>
      <c r="S1183" s="277"/>
      <c r="T1183" s="277"/>
      <c r="U1183" s="278"/>
      <c r="V1183" s="103"/>
      <c r="W1183" s="84">
        <f t="shared" si="501"/>
        <v>13</v>
      </c>
      <c r="X1183" s="84"/>
      <c r="Y1183" s="78">
        <f>SUM(E1165:E1183)</f>
        <v>12</v>
      </c>
      <c r="Z1183" s="72" t="str">
        <f t="shared" si="499"/>
        <v/>
      </c>
      <c r="AA1183" s="72" t="str">
        <f t="shared" si="500"/>
        <v/>
      </c>
      <c r="AB1183" s="72"/>
      <c r="AC1183" s="72">
        <f t="shared" si="485"/>
        <v>1</v>
      </c>
      <c r="AD1183" s="72">
        <f t="shared" si="486"/>
        <v>1</v>
      </c>
      <c r="AE1183" s="109" t="str">
        <f t="shared" si="487"/>
        <v>0-0</v>
      </c>
      <c r="AF1183" s="109" t="str">
        <f t="shared" si="488"/>
        <v>Y</v>
      </c>
      <c r="AG1183" s="109" t="str">
        <f t="shared" si="489"/>
        <v>B</v>
      </c>
      <c r="AM1183" s="109">
        <f t="shared" si="490"/>
        <v>0</v>
      </c>
      <c r="AN1183" s="109">
        <f t="shared" si="491"/>
        <v>0</v>
      </c>
      <c r="AO1183" s="109" t="str">
        <f t="shared" si="492"/>
        <v/>
      </c>
      <c r="AQ1183" s="109" t="str">
        <f t="shared" si="493"/>
        <v/>
      </c>
      <c r="BA1183" s="229">
        <f>MOD(SUM(E1165:E1184),12)</f>
        <v>0</v>
      </c>
    </row>
    <row r="1184" spans="1:53" ht="15.75" thickBot="1" x14ac:dyDescent="0.3">
      <c r="A1184" s="88"/>
      <c r="B1184" s="66" t="s">
        <v>297</v>
      </c>
      <c r="C1184" s="67"/>
      <c r="D1184" s="102"/>
      <c r="E1184" s="32"/>
      <c r="F1184" s="32"/>
      <c r="G1184" s="68" t="s">
        <v>277</v>
      </c>
      <c r="H1184" s="69">
        <f t="shared" si="494"/>
        <v>0</v>
      </c>
      <c r="I1184" s="70">
        <f t="shared" si="495"/>
        <v>0</v>
      </c>
      <c r="J1184" s="73" t="str">
        <f t="shared" si="496"/>
        <v>--</v>
      </c>
      <c r="K1184" s="32"/>
      <c r="L1184" s="233"/>
      <c r="M1184" s="277"/>
      <c r="N1184" s="277"/>
      <c r="O1184" s="277"/>
      <c r="P1184" s="277"/>
      <c r="Q1184" s="277"/>
      <c r="R1184" s="277"/>
      <c r="S1184" s="277"/>
      <c r="T1184" s="277"/>
      <c r="U1184" s="278"/>
      <c r="V1184" s="103"/>
      <c r="W1184" s="84">
        <f t="shared" si="501"/>
        <v>13</v>
      </c>
      <c r="X1184" s="84"/>
      <c r="Y1184" s="78">
        <f>SUM(E1165:E1184)</f>
        <v>12</v>
      </c>
      <c r="Z1184" s="72" t="str">
        <f t="shared" si="499"/>
        <v/>
      </c>
      <c r="AA1184" s="72" t="str">
        <f t="shared" si="500"/>
        <v/>
      </c>
      <c r="AB1184" s="72"/>
      <c r="AC1184" s="72">
        <f t="shared" si="485"/>
        <v>1</v>
      </c>
      <c r="AD1184" s="72">
        <f t="shared" si="486"/>
        <v>1</v>
      </c>
      <c r="AE1184" s="109" t="str">
        <f t="shared" si="487"/>
        <v>0-0</v>
      </c>
      <c r="AF1184" s="109" t="str">
        <f t="shared" si="488"/>
        <v>Y</v>
      </c>
      <c r="AG1184" s="109" t="str">
        <f t="shared" si="489"/>
        <v>B</v>
      </c>
      <c r="AM1184" s="109">
        <f t="shared" si="490"/>
        <v>0</v>
      </c>
      <c r="AN1184" s="109">
        <f t="shared" si="491"/>
        <v>0</v>
      </c>
      <c r="AO1184" s="109" t="str">
        <f t="shared" si="492"/>
        <v/>
      </c>
      <c r="AQ1184" s="109" t="str">
        <f t="shared" si="493"/>
        <v/>
      </c>
      <c r="BA1184" s="229">
        <f>MOD(SUM(E1165:E1185),12)</f>
        <v>0</v>
      </c>
    </row>
    <row r="1185" spans="1:53" ht="15.75" thickBot="1" x14ac:dyDescent="0.3">
      <c r="A1185" s="88"/>
      <c r="B1185" s="66" t="s">
        <v>298</v>
      </c>
      <c r="C1185" s="67"/>
      <c r="D1185" s="102"/>
      <c r="E1185" s="32"/>
      <c r="F1185" s="32"/>
      <c r="G1185" s="68" t="s">
        <v>277</v>
      </c>
      <c r="H1185" s="69">
        <f t="shared" si="494"/>
        <v>0</v>
      </c>
      <c r="I1185" s="70">
        <f t="shared" si="495"/>
        <v>0</v>
      </c>
      <c r="J1185" s="73" t="str">
        <f t="shared" si="496"/>
        <v>--</v>
      </c>
      <c r="K1185" s="32"/>
      <c r="L1185" s="233"/>
      <c r="M1185" s="277"/>
      <c r="N1185" s="277"/>
      <c r="O1185" s="277"/>
      <c r="P1185" s="277"/>
      <c r="Q1185" s="277"/>
      <c r="R1185" s="277"/>
      <c r="S1185" s="277"/>
      <c r="T1185" s="277"/>
      <c r="U1185" s="278"/>
      <c r="V1185" s="103"/>
      <c r="W1185" s="84">
        <f t="shared" si="501"/>
        <v>13</v>
      </c>
      <c r="X1185" s="84"/>
      <c r="Y1185" s="78">
        <f>SUM(E1165:E1185)</f>
        <v>12</v>
      </c>
      <c r="Z1185" s="72" t="str">
        <f t="shared" si="499"/>
        <v/>
      </c>
      <c r="AA1185" s="72" t="str">
        <f t="shared" si="500"/>
        <v/>
      </c>
      <c r="AB1185" s="72"/>
      <c r="AC1185" s="72">
        <f t="shared" si="485"/>
        <v>1</v>
      </c>
      <c r="AD1185" s="72">
        <f t="shared" si="486"/>
        <v>1</v>
      </c>
      <c r="AE1185" s="109" t="str">
        <f t="shared" si="487"/>
        <v>0-0</v>
      </c>
      <c r="AF1185" s="109" t="str">
        <f t="shared" si="488"/>
        <v>Y</v>
      </c>
      <c r="AG1185" s="109" t="str">
        <f t="shared" si="489"/>
        <v>B</v>
      </c>
      <c r="AM1185" s="109">
        <f t="shared" si="490"/>
        <v>0</v>
      </c>
      <c r="AN1185" s="109">
        <f t="shared" si="491"/>
        <v>0</v>
      </c>
      <c r="AO1185" s="109" t="str">
        <f t="shared" si="492"/>
        <v/>
      </c>
      <c r="AQ1185" s="109" t="str">
        <f t="shared" si="493"/>
        <v/>
      </c>
      <c r="BA1185" s="229">
        <f>MOD(SUM(E1165:E1186),12)</f>
        <v>0</v>
      </c>
    </row>
    <row r="1186" spans="1:53" ht="15.75" thickBot="1" x14ac:dyDescent="0.3">
      <c r="A1186" s="88"/>
      <c r="B1186" s="66" t="s">
        <v>299</v>
      </c>
      <c r="C1186" s="67"/>
      <c r="D1186" s="102"/>
      <c r="E1186" s="32"/>
      <c r="F1186" s="32"/>
      <c r="G1186" s="68" t="s">
        <v>277</v>
      </c>
      <c r="H1186" s="69">
        <f t="shared" si="494"/>
        <v>0</v>
      </c>
      <c r="I1186" s="70">
        <f t="shared" si="495"/>
        <v>0</v>
      </c>
      <c r="J1186" s="73" t="str">
        <f t="shared" si="496"/>
        <v>--</v>
      </c>
      <c r="K1186" s="32"/>
      <c r="L1186" s="233"/>
      <c r="M1186" s="277"/>
      <c r="N1186" s="277"/>
      <c r="O1186" s="277"/>
      <c r="P1186" s="277"/>
      <c r="Q1186" s="277"/>
      <c r="R1186" s="277"/>
      <c r="S1186" s="277"/>
      <c r="T1186" s="277"/>
      <c r="U1186" s="278"/>
      <c r="V1186" s="103"/>
      <c r="W1186" s="84">
        <f t="shared" si="501"/>
        <v>13</v>
      </c>
      <c r="X1186" s="84"/>
      <c r="Y1186" s="78">
        <f>SUM(E1165:E1186)</f>
        <v>12</v>
      </c>
      <c r="Z1186" s="72" t="str">
        <f t="shared" si="499"/>
        <v/>
      </c>
      <c r="AA1186" s="72" t="str">
        <f t="shared" si="500"/>
        <v/>
      </c>
      <c r="AB1186" s="72"/>
      <c r="AC1186" s="72">
        <f t="shared" si="485"/>
        <v>1</v>
      </c>
      <c r="AD1186" s="72">
        <f t="shared" si="486"/>
        <v>1</v>
      </c>
      <c r="AE1186" s="109" t="str">
        <f t="shared" si="487"/>
        <v>0-0</v>
      </c>
      <c r="AF1186" s="109" t="str">
        <f t="shared" si="488"/>
        <v>Y</v>
      </c>
      <c r="AG1186" s="109" t="str">
        <f t="shared" si="489"/>
        <v>B</v>
      </c>
      <c r="AM1186" s="109">
        <f t="shared" si="490"/>
        <v>0</v>
      </c>
      <c r="AN1186" s="109">
        <f t="shared" si="491"/>
        <v>0</v>
      </c>
      <c r="AO1186" s="109" t="str">
        <f t="shared" si="492"/>
        <v/>
      </c>
      <c r="AQ1186" s="109" t="str">
        <f t="shared" si="493"/>
        <v/>
      </c>
      <c r="BA1186" s="229">
        <f>MOD(SUM(E1165:E1187),12)</f>
        <v>0</v>
      </c>
    </row>
    <row r="1187" spans="1:53" ht="15.75" thickBot="1" x14ac:dyDescent="0.3">
      <c r="A1187" s="88"/>
      <c r="B1187" s="66" t="s">
        <v>300</v>
      </c>
      <c r="C1187" s="67"/>
      <c r="D1187" s="102"/>
      <c r="E1187" s="32"/>
      <c r="F1187" s="32"/>
      <c r="G1187" s="68" t="s">
        <v>277</v>
      </c>
      <c r="H1187" s="69">
        <f t="shared" si="494"/>
        <v>0</v>
      </c>
      <c r="I1187" s="70">
        <f t="shared" si="495"/>
        <v>0</v>
      </c>
      <c r="J1187" s="73" t="str">
        <f t="shared" si="496"/>
        <v>--</v>
      </c>
      <c r="K1187" s="32"/>
      <c r="L1187" s="233"/>
      <c r="M1187" s="277"/>
      <c r="N1187" s="277"/>
      <c r="O1187" s="277"/>
      <c r="P1187" s="277"/>
      <c r="Q1187" s="277"/>
      <c r="R1187" s="277"/>
      <c r="S1187" s="277"/>
      <c r="T1187" s="277"/>
      <c r="U1187" s="278"/>
      <c r="V1187" s="103"/>
      <c r="W1187" s="84">
        <f t="shared" si="501"/>
        <v>13</v>
      </c>
      <c r="X1187" s="84"/>
      <c r="Y1187" s="78">
        <f>SUM(E1165:E1187)</f>
        <v>12</v>
      </c>
      <c r="Z1187" s="72" t="str">
        <f t="shared" si="499"/>
        <v/>
      </c>
      <c r="AA1187" s="72" t="str">
        <f t="shared" si="500"/>
        <v/>
      </c>
      <c r="AB1187" s="72"/>
      <c r="AC1187" s="72">
        <f t="shared" si="485"/>
        <v>1</v>
      </c>
      <c r="AD1187" s="72">
        <f t="shared" si="486"/>
        <v>1</v>
      </c>
      <c r="AE1187" s="109" t="str">
        <f t="shared" si="487"/>
        <v>0-0</v>
      </c>
      <c r="AF1187" s="109" t="str">
        <f t="shared" si="488"/>
        <v>Y</v>
      </c>
      <c r="AG1187" s="109" t="str">
        <f t="shared" si="489"/>
        <v>B</v>
      </c>
      <c r="AM1187" s="109">
        <f t="shared" si="490"/>
        <v>0</v>
      </c>
      <c r="AN1187" s="109">
        <f t="shared" si="491"/>
        <v>0</v>
      </c>
      <c r="AO1187" s="109" t="str">
        <f t="shared" si="492"/>
        <v/>
      </c>
      <c r="AQ1187" s="109" t="str">
        <f t="shared" si="493"/>
        <v/>
      </c>
      <c r="BA1187" s="229">
        <f>MOD(SUM(E1165:E1188),12)</f>
        <v>0</v>
      </c>
    </row>
    <row r="1188" spans="1:53" ht="15.75" thickBot="1" x14ac:dyDescent="0.3">
      <c r="A1188" s="88"/>
      <c r="B1188" s="66" t="s">
        <v>301</v>
      </c>
      <c r="C1188" s="67"/>
      <c r="D1188" s="102"/>
      <c r="E1188" s="32"/>
      <c r="F1188" s="32"/>
      <c r="G1188" s="68" t="s">
        <v>277</v>
      </c>
      <c r="H1188" s="69">
        <f t="shared" si="494"/>
        <v>0</v>
      </c>
      <c r="I1188" s="70">
        <f t="shared" si="495"/>
        <v>0</v>
      </c>
      <c r="J1188" s="73" t="str">
        <f t="shared" si="496"/>
        <v>--</v>
      </c>
      <c r="K1188" s="32"/>
      <c r="L1188" s="233"/>
      <c r="M1188" s="277"/>
      <c r="N1188" s="277"/>
      <c r="O1188" s="277"/>
      <c r="P1188" s="277"/>
      <c r="Q1188" s="277"/>
      <c r="R1188" s="277"/>
      <c r="S1188" s="277"/>
      <c r="T1188" s="277"/>
      <c r="U1188" s="278"/>
      <c r="V1188" s="103"/>
      <c r="W1188" s="84">
        <f t="shared" si="501"/>
        <v>13</v>
      </c>
      <c r="X1188" s="84"/>
      <c r="Y1188" s="78">
        <f>SUM(E1165:E1188)</f>
        <v>12</v>
      </c>
      <c r="Z1188" s="72" t="str">
        <f t="shared" si="499"/>
        <v/>
      </c>
      <c r="AA1188" s="72" t="str">
        <f t="shared" si="500"/>
        <v/>
      </c>
      <c r="AB1188" s="72"/>
      <c r="AC1188" s="72">
        <f t="shared" si="485"/>
        <v>1</v>
      </c>
      <c r="AD1188" s="72">
        <f t="shared" si="486"/>
        <v>1</v>
      </c>
      <c r="AE1188" s="109" t="str">
        <f t="shared" si="487"/>
        <v>0-0</v>
      </c>
      <c r="AF1188" s="109" t="str">
        <f t="shared" si="488"/>
        <v>Y</v>
      </c>
      <c r="AG1188" s="109" t="str">
        <f t="shared" si="489"/>
        <v>B</v>
      </c>
      <c r="AM1188" s="109">
        <f t="shared" si="490"/>
        <v>0</v>
      </c>
      <c r="AN1188" s="109">
        <f t="shared" si="491"/>
        <v>0</v>
      </c>
      <c r="AO1188" s="109" t="str">
        <f t="shared" si="492"/>
        <v/>
      </c>
      <c r="AQ1188" s="109" t="str">
        <f t="shared" si="493"/>
        <v/>
      </c>
      <c r="BA1188" s="229">
        <f>MOD(SUM(E1165:E1189),12)</f>
        <v>0</v>
      </c>
    </row>
    <row r="1189" spans="1:53" ht="15.75" thickBot="1" x14ac:dyDescent="0.3">
      <c r="A1189" s="88"/>
      <c r="B1189" s="66" t="s">
        <v>302</v>
      </c>
      <c r="C1189" s="67"/>
      <c r="D1189" s="102"/>
      <c r="E1189" s="32"/>
      <c r="F1189" s="32"/>
      <c r="G1189" s="68" t="s">
        <v>277</v>
      </c>
      <c r="H1189" s="69">
        <f t="shared" si="494"/>
        <v>0</v>
      </c>
      <c r="I1189" s="70">
        <f t="shared" si="495"/>
        <v>0</v>
      </c>
      <c r="J1189" s="73" t="str">
        <f t="shared" si="496"/>
        <v>--</v>
      </c>
      <c r="K1189" s="32"/>
      <c r="L1189" s="234"/>
      <c r="M1189" s="277"/>
      <c r="N1189" s="277"/>
      <c r="O1189" s="277"/>
      <c r="P1189" s="277"/>
      <c r="Q1189" s="277"/>
      <c r="R1189" s="277"/>
      <c r="S1189" s="277"/>
      <c r="T1189" s="277"/>
      <c r="U1189" s="278"/>
      <c r="V1189" s="103"/>
      <c r="W1189" s="72"/>
      <c r="X1189" s="72"/>
      <c r="Y1189" s="78">
        <f>SUM(E1165:E1189)</f>
        <v>12</v>
      </c>
      <c r="Z1189" s="72" t="str">
        <f t="shared" si="499"/>
        <v/>
      </c>
      <c r="AA1189" s="72" t="str">
        <f t="shared" si="500"/>
        <v/>
      </c>
      <c r="AB1189" s="72"/>
      <c r="AC1189" s="72">
        <f t="shared" si="485"/>
        <v>1</v>
      </c>
      <c r="AD1189" s="72">
        <f t="shared" si="486"/>
        <v>1</v>
      </c>
      <c r="AE1189" s="109" t="str">
        <f t="shared" si="487"/>
        <v>0-0</v>
      </c>
      <c r="AF1189" s="109" t="str">
        <f t="shared" si="488"/>
        <v>Y</v>
      </c>
      <c r="AG1189" s="109" t="str">
        <f t="shared" si="489"/>
        <v>B</v>
      </c>
      <c r="AM1189" s="109">
        <f t="shared" si="490"/>
        <v>0</v>
      </c>
      <c r="AN1189" s="109">
        <f t="shared" si="491"/>
        <v>0</v>
      </c>
      <c r="AO1189" s="109" t="str">
        <f t="shared" si="492"/>
        <v/>
      </c>
      <c r="AQ1189" s="109" t="str">
        <f t="shared" si="493"/>
        <v/>
      </c>
      <c r="BA1189" s="228"/>
    </row>
    <row r="1190" spans="1:53" ht="16.5" thickBot="1" x14ac:dyDescent="0.3">
      <c r="A1190" s="88"/>
      <c r="B1190" s="319" t="s">
        <v>361</v>
      </c>
      <c r="C1190" s="320"/>
      <c r="D1190" s="79"/>
      <c r="E1190" s="80"/>
      <c r="F1190" s="80"/>
      <c r="G1190" s="81"/>
      <c r="H1190" s="192"/>
      <c r="I1190" s="192"/>
      <c r="J1190" s="192"/>
      <c r="K1190" s="82"/>
      <c r="L1190" s="319" t="s">
        <v>306</v>
      </c>
      <c r="M1190" s="330"/>
      <c r="N1190" s="330"/>
      <c r="O1190" s="330"/>
      <c r="P1190" s="330"/>
      <c r="Q1190" s="330"/>
      <c r="R1190" s="330"/>
      <c r="S1190" s="330"/>
      <c r="T1190" s="330"/>
      <c r="U1190" s="320"/>
      <c r="V1190" s="104"/>
      <c r="W1190" s="72"/>
      <c r="X1190" s="72"/>
      <c r="Y1190" s="72"/>
      <c r="Z1190" s="72"/>
      <c r="AA1190" s="72" t="str">
        <f t="shared" si="500"/>
        <v/>
      </c>
      <c r="AB1190" s="72"/>
      <c r="AC1190" s="72">
        <f>SUM(AC1165:AC1189)</f>
        <v>25</v>
      </c>
      <c r="AD1190" s="72">
        <f>SUM(AD1165:AD1189)</f>
        <v>24</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319" t="s">
        <v>307</v>
      </c>
      <c r="C1191" s="320"/>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500"/>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312" t="s">
        <v>222</v>
      </c>
      <c r="C1195" s="313"/>
      <c r="D1195" s="314" t="s">
        <v>223</v>
      </c>
      <c r="E1195" s="305"/>
      <c r="F1195" s="88"/>
      <c r="G1195" s="315" t="s">
        <v>224</v>
      </c>
      <c r="H1195" s="316"/>
      <c r="I1195" s="28">
        <f>SUM(E1206:E1230)</f>
        <v>60</v>
      </c>
      <c r="J1195" s="317" t="s">
        <v>225</v>
      </c>
      <c r="K1195" s="318"/>
      <c r="L1195" s="305"/>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5" t="s">
        <v>226</v>
      </c>
      <c r="AA1195" s="296"/>
      <c r="AB1195" s="297"/>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12</v>
      </c>
      <c r="D1196" s="31" t="s">
        <v>229</v>
      </c>
      <c r="E1196" s="66" t="str">
        <f>TEXT(IF('Cable Calculator'!ES7="","",'Cable Calculator'!ES7),)</f>
        <v/>
      </c>
      <c r="F1196" s="88"/>
      <c r="G1196" s="304" t="s">
        <v>230</v>
      </c>
      <c r="H1196" s="305"/>
      <c r="I1196" s="33">
        <f>E1197-I1195</f>
        <v>12</v>
      </c>
      <c r="J1196" s="289" t="s">
        <v>231</v>
      </c>
      <c r="K1196" s="290"/>
      <c r="L1196" s="34">
        <f>I1200</f>
        <v>361</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298" t="s">
        <v>232</v>
      </c>
      <c r="AA1196" s="300" t="s">
        <v>233</v>
      </c>
      <c r="AB1196" s="301"/>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v>72</v>
      </c>
      <c r="F1197" s="88"/>
      <c r="G1197" s="291" t="s">
        <v>237</v>
      </c>
      <c r="H1197" s="292"/>
      <c r="I1197" s="35">
        <f>IF(E1197=0,0,12-(MOD(I1195,12)))</f>
        <v>12</v>
      </c>
      <c r="J1197" s="289" t="s">
        <v>238</v>
      </c>
      <c r="K1197" s="290"/>
      <c r="L1197" s="39">
        <f>I1201-I1195</f>
        <v>372</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299"/>
      <c r="AA1197" s="302"/>
      <c r="AB1197" s="303"/>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v>0</v>
      </c>
      <c r="F1198" s="88"/>
      <c r="G1198" s="321" t="s">
        <v>242</v>
      </c>
      <c r="H1198" s="43" t="s">
        <v>243</v>
      </c>
      <c r="I1198" s="35">
        <f>IF(E1198&lt;&gt;0,1,0)</f>
        <v>0</v>
      </c>
      <c r="J1198" s="291" t="s">
        <v>244</v>
      </c>
      <c r="K1198" s="292"/>
      <c r="L1198" s="44">
        <f>'Cable Calculator'!ES3</f>
        <v>865</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v>361</v>
      </c>
      <c r="F1199" s="88"/>
      <c r="G1199" s="322"/>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6</v>
      </c>
      <c r="F1200" s="88"/>
      <c r="G1200" s="321" t="s">
        <v>251</v>
      </c>
      <c r="H1200" s="51" t="s">
        <v>252</v>
      </c>
      <c r="I1200" s="112">
        <f>E1199</f>
        <v>361</v>
      </c>
      <c r="J1200" s="323" t="s">
        <v>253</v>
      </c>
      <c r="K1200" s="324"/>
      <c r="L1200" s="325"/>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N</v>
      </c>
      <c r="F1201" s="88"/>
      <c r="G1201" s="322"/>
      <c r="H1201" s="47" t="s">
        <v>257</v>
      </c>
      <c r="I1201" s="35">
        <f>IF(E1199="","0",IF(AND(E1196="EUC",E1197=432), I1200+(203-E1198),IF(E1199=0,0,(E1199+(E1197-E1198)-1))))</f>
        <v>432</v>
      </c>
      <c r="J1201" s="285" t="str">
        <f>IFERROR(IF(OR(E1196="EUC",E1196="SS"),"---",IF(OR(P1195,S1195),"NO 2F Tethers for RPX!",IF(OR(P1197,S1197),"NO 6F Tethers for RPX!","---"))),"---")</f>
        <v>---</v>
      </c>
      <c r="K1201" s="286"/>
      <c r="L1201" s="287"/>
      <c r="M1201" s="285" t="str">
        <f>IF(E1198&gt;60,"Dead Count &gt;60: Consider Downsize","---")</f>
        <v>---</v>
      </c>
      <c r="N1201" s="286"/>
      <c r="O1201" s="286"/>
      <c r="P1201" s="286"/>
      <c r="Q1201" s="286"/>
      <c r="R1201" s="286"/>
      <c r="S1201" s="286"/>
      <c r="T1201" s="286"/>
      <c r="U1201" s="287"/>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72</v>
      </c>
      <c r="D1202" s="31" t="s">
        <v>259</v>
      </c>
      <c r="E1202" s="101" t="str">
        <f>IF(AS1196="Y","DBL",IF(AS1197="Y","TRPL",IF(AS1198="Y","QUAD","")))</f>
        <v/>
      </c>
      <c r="F1202" s="88"/>
      <c r="G1202" s="192"/>
      <c r="H1202" s="57"/>
      <c r="I1202" s="192"/>
      <c r="J1202" s="285"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86"/>
      <c r="L1202" s="287"/>
      <c r="M1202" s="285" t="str">
        <f>IF(AND(OR(E1196="SS",E1196="RPX",E1196="EUC",E1196="RPX-T"),(OR(C1206="",C1206="Field SPL"))),"Cannot have FlexNap cables without tethers","---")</f>
        <v>---</v>
      </c>
      <c r="N1202" s="286"/>
      <c r="O1202" s="286"/>
      <c r="P1202" s="286"/>
      <c r="Q1202" s="286"/>
      <c r="R1202" s="286"/>
      <c r="S1202" s="286"/>
      <c r="T1202" s="286"/>
      <c r="U1202" s="287"/>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85" t="str">
        <f>IF(AND(OR(E1196="RPX", E1196="RPX-T", E1196="SS"),E1197=216),"NO 216 For RPX, RPX-T, OR SS CABLE","---")</f>
        <v>---</v>
      </c>
      <c r="K1203" s="286"/>
      <c r="L1203" s="287"/>
      <c r="M1203" s="285" t="str" cm="1">
        <f t="array" ref="M1203">IF(AND(E1196="",OR(C1206:C1230="FST",C1206:C1230="REV T",C1206:C1230="DBL REV",C1206:C1230="TPL REV", C1206:C1230="QD REV")),"Non-FlexNap cables cannot have tethers","---")</f>
        <v>---</v>
      </c>
      <c r="N1203" s="286"/>
      <c r="O1203" s="286"/>
      <c r="P1203" s="286"/>
      <c r="Q1203" s="286"/>
      <c r="R1203" s="286"/>
      <c r="S1203" s="286"/>
      <c r="T1203" s="286"/>
      <c r="U1203" s="287"/>
      <c r="V1203" s="25"/>
      <c r="W1203" s="58"/>
      <c r="X1203" s="58"/>
      <c r="Y1203" s="25"/>
      <c r="Z1203" s="45">
        <v>6</v>
      </c>
      <c r="AA1203" s="65">
        <v>61</v>
      </c>
      <c r="AB1203" s="65">
        <v>72</v>
      </c>
      <c r="AC1203" s="25"/>
      <c r="AD1203" s="25"/>
      <c r="BA1203" s="226"/>
    </row>
    <row r="1204" spans="1:53" ht="15.75" customHeight="1" thickBot="1" x14ac:dyDescent="0.3">
      <c r="A1204" s="88"/>
      <c r="B1204" s="321" t="s">
        <v>260</v>
      </c>
      <c r="C1204" s="293" t="s">
        <v>261</v>
      </c>
      <c r="D1204" s="293" t="s">
        <v>262</v>
      </c>
      <c r="E1204" s="306" t="s">
        <v>263</v>
      </c>
      <c r="F1204" s="293" t="s">
        <v>264</v>
      </c>
      <c r="G1204" s="308" t="s">
        <v>265</v>
      </c>
      <c r="H1204" s="308" t="s">
        <v>266</v>
      </c>
      <c r="I1204" s="308" t="s">
        <v>267</v>
      </c>
      <c r="J1204" s="310" t="s">
        <v>268</v>
      </c>
      <c r="K1204" s="293" t="s">
        <v>269</v>
      </c>
      <c r="L1204" s="279" t="s">
        <v>270</v>
      </c>
      <c r="M1204" s="281" t="s">
        <v>271</v>
      </c>
      <c r="N1204" s="281"/>
      <c r="O1204" s="281"/>
      <c r="P1204" s="281"/>
      <c r="Q1204" s="281"/>
      <c r="R1204" s="281"/>
      <c r="S1204" s="281"/>
      <c r="T1204" s="281"/>
      <c r="U1204" s="282"/>
      <c r="V1204" s="107"/>
      <c r="W1204" s="72"/>
      <c r="X1204" s="72"/>
      <c r="Y1204" s="72"/>
      <c r="Z1204" s="45">
        <v>7</v>
      </c>
      <c r="AA1204" s="65">
        <v>73</v>
      </c>
      <c r="AB1204" s="65">
        <v>84</v>
      </c>
      <c r="AC1204" s="25"/>
      <c r="AD1204" s="25"/>
      <c r="BA1204" s="228"/>
    </row>
    <row r="1205" spans="1:53" ht="15.75" thickBot="1" x14ac:dyDescent="0.3">
      <c r="A1205" s="88"/>
      <c r="B1205" s="322"/>
      <c r="C1205" s="294"/>
      <c r="D1205" s="294"/>
      <c r="E1205" s="307"/>
      <c r="F1205" s="294"/>
      <c r="G1205" s="309"/>
      <c r="H1205" s="309"/>
      <c r="I1205" s="309"/>
      <c r="J1205" s="311"/>
      <c r="K1205" s="294"/>
      <c r="L1205" s="280"/>
      <c r="M1205" s="283"/>
      <c r="N1205" s="283"/>
      <c r="O1205" s="283"/>
      <c r="P1205" s="283"/>
      <c r="Q1205" s="283"/>
      <c r="R1205" s="283"/>
      <c r="S1205" s="283"/>
      <c r="T1205" s="283"/>
      <c r="U1205" s="284"/>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t="s">
        <v>502</v>
      </c>
      <c r="D1206" s="102"/>
      <c r="E1206" s="32">
        <v>60</v>
      </c>
      <c r="F1206" s="32"/>
      <c r="G1206" s="68" t="s">
        <v>277</v>
      </c>
      <c r="H1206" s="69">
        <f>IF(I1206=0,0,I1206-(E1206-1))</f>
        <v>373</v>
      </c>
      <c r="I1206" s="70">
        <f>IF(E1206=0,0,I1201)</f>
        <v>432</v>
      </c>
      <c r="J1206" s="71" t="s">
        <v>278</v>
      </c>
      <c r="K1206" s="32"/>
      <c r="L1206" s="233"/>
      <c r="M1206" s="277" t="s">
        <v>428</v>
      </c>
      <c r="N1206" s="277"/>
      <c r="O1206" s="277"/>
      <c r="P1206" s="277"/>
      <c r="Q1206" s="277"/>
      <c r="R1206" s="277"/>
      <c r="S1206" s="277"/>
      <c r="T1206" s="277"/>
      <c r="U1206" s="278"/>
      <c r="V1206" s="103"/>
      <c r="W1206" s="72"/>
      <c r="X1206" s="72"/>
      <c r="Y1206" s="72"/>
      <c r="Z1206" s="45">
        <v>9</v>
      </c>
      <c r="AA1206" s="46">
        <v>97</v>
      </c>
      <c r="AB1206" s="46">
        <v>108</v>
      </c>
      <c r="AC1206" s="72">
        <f t="shared" ref="AC1206:AC1230" si="502">IF(B1206&lt;&gt;"FST",1,0)</f>
        <v>1</v>
      </c>
      <c r="AD1206" s="72">
        <f t="shared" ref="AD1206:AD1230" si="503">IF(C1206&lt;&gt;"FST",1,0)</f>
        <v>1</v>
      </c>
      <c r="AE1206" s="109" t="str">
        <f t="shared" ref="AE1206:AE1230" si="504">CONCATENATE(H1206,"-",I1206)</f>
        <v>373-432</v>
      </c>
      <c r="AF1206" s="109" t="str">
        <f t="shared" ref="AF1206:AF1230" si="505">IF(C1206="Field SPL","N","Y")</f>
        <v>N</v>
      </c>
      <c r="AG1206" s="109" t="str">
        <f t="shared" ref="AG1206:AG1230" si="506">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507">VALUE(IF(C1206="FST","0",IF(C1206="REV T","1",IF(C1206="DBL REV",".5","0"))))</f>
        <v>0</v>
      </c>
      <c r="AN1206" s="109">
        <f t="shared" ref="AN1206:AN1230" si="508">VALUE(IF(C1206="FST","0",IF(C1206="REV T","0",IF(C1206="DBL REV",".5","0"))))</f>
        <v>0</v>
      </c>
      <c r="AO1206" s="109" t="str">
        <f t="shared" ref="AO1206:AO1230" si="509">IF(C1206="TPL REV","Y","")</f>
        <v/>
      </c>
      <c r="AQ1206" s="109" t="str">
        <f t="shared" ref="AQ1206:AQ1230" si="510">IF(C1206="QD REV","Y","")</f>
        <v/>
      </c>
      <c r="BA1206" s="229">
        <f>MOD(E1206,12)</f>
        <v>0</v>
      </c>
    </row>
    <row r="1207" spans="1:53" ht="15.75" thickBot="1" x14ac:dyDescent="0.3">
      <c r="A1207" s="88"/>
      <c r="B1207" s="66" t="s">
        <v>279</v>
      </c>
      <c r="C1207" s="67"/>
      <c r="D1207" s="102"/>
      <c r="E1207" s="32"/>
      <c r="F1207" s="32"/>
      <c r="G1207" s="68" t="s">
        <v>277</v>
      </c>
      <c r="H1207" s="69">
        <f t="shared" ref="H1207:H1230" si="511">IF(E1207=0,0,I1207-(E1207-1))</f>
        <v>0</v>
      </c>
      <c r="I1207" s="70">
        <f t="shared" ref="I1207:I1230" si="512">IF(E1207=0,0,H1206-1)</f>
        <v>0</v>
      </c>
      <c r="J1207" s="73" t="str">
        <f>IF(C1207="","--",IF(AND(C1207&lt;&gt;"FST",C1207&lt;&gt;"TCF",BA1206&lt;&gt;0),BA1206,"--"))</f>
        <v>--</v>
      </c>
      <c r="K1207" s="32"/>
      <c r="L1207" s="233"/>
      <c r="M1207" s="277"/>
      <c r="N1207" s="277"/>
      <c r="O1207" s="277"/>
      <c r="P1207" s="277"/>
      <c r="Q1207" s="277"/>
      <c r="R1207" s="277"/>
      <c r="S1207" s="277"/>
      <c r="T1207" s="277"/>
      <c r="U1207" s="278"/>
      <c r="V1207" s="103"/>
      <c r="W1207" s="72"/>
      <c r="X1207" s="72"/>
      <c r="Y1207" s="72"/>
      <c r="Z1207" s="45">
        <v>10</v>
      </c>
      <c r="AA1207" s="46">
        <v>109</v>
      </c>
      <c r="AB1207" s="46">
        <v>120</v>
      </c>
      <c r="AC1207" s="72">
        <f t="shared" si="502"/>
        <v>1</v>
      </c>
      <c r="AD1207" s="72">
        <f t="shared" si="503"/>
        <v>1</v>
      </c>
      <c r="AE1207" s="109" t="str">
        <f t="shared" si="504"/>
        <v>0-0</v>
      </c>
      <c r="AF1207" s="109" t="str">
        <f t="shared" si="505"/>
        <v>Y</v>
      </c>
      <c r="AG1207" s="109" t="str">
        <f t="shared" si="506"/>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507"/>
        <v>0</v>
      </c>
      <c r="AN1207" s="109">
        <f t="shared" si="508"/>
        <v>0</v>
      </c>
      <c r="AO1207" s="109" t="str">
        <f t="shared" si="509"/>
        <v/>
      </c>
      <c r="AQ1207" s="109" t="str">
        <f t="shared" si="510"/>
        <v/>
      </c>
      <c r="BA1207" s="229">
        <f>MOD(SUM(E1206:E1207),12)</f>
        <v>0</v>
      </c>
    </row>
    <row r="1208" spans="1:53" ht="15.75" thickBot="1" x14ac:dyDescent="0.3">
      <c r="A1208" s="88"/>
      <c r="B1208" s="74" t="s">
        <v>280</v>
      </c>
      <c r="C1208" s="67"/>
      <c r="D1208" s="102"/>
      <c r="E1208" s="32"/>
      <c r="F1208" s="32"/>
      <c r="G1208" s="75" t="s">
        <v>277</v>
      </c>
      <c r="H1208" s="69">
        <f t="shared" si="511"/>
        <v>0</v>
      </c>
      <c r="I1208" s="70">
        <f t="shared" si="512"/>
        <v>0</v>
      </c>
      <c r="J1208" s="73" t="str">
        <f t="shared" ref="J1208:J1230" si="513">IF(C1208="","--",IF(AND(C1208&lt;&gt;"FST",C1208&lt;&gt;"TCF",BA1207&lt;&gt;0),BA1207,"--"))</f>
        <v>--</v>
      </c>
      <c r="K1208" s="32"/>
      <c r="L1208" s="233"/>
      <c r="M1208" s="277"/>
      <c r="N1208" s="277"/>
      <c r="O1208" s="277"/>
      <c r="P1208" s="277"/>
      <c r="Q1208" s="277"/>
      <c r="R1208" s="277"/>
      <c r="S1208" s="277"/>
      <c r="T1208" s="277"/>
      <c r="U1208" s="278"/>
      <c r="V1208" s="103"/>
      <c r="W1208" s="72"/>
      <c r="X1208" s="72"/>
      <c r="Y1208" s="72"/>
      <c r="Z1208" s="45">
        <v>11</v>
      </c>
      <c r="AA1208" s="46">
        <v>121</v>
      </c>
      <c r="AB1208" s="46">
        <v>132</v>
      </c>
      <c r="AC1208" s="72">
        <f t="shared" si="502"/>
        <v>1</v>
      </c>
      <c r="AD1208" s="72">
        <f t="shared" si="503"/>
        <v>1</v>
      </c>
      <c r="AE1208" s="109" t="str">
        <f t="shared" si="504"/>
        <v>0-0</v>
      </c>
      <c r="AF1208" s="109" t="str">
        <f t="shared" si="505"/>
        <v>Y</v>
      </c>
      <c r="AG1208" s="109" t="str">
        <f t="shared" si="506"/>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507"/>
        <v>0</v>
      </c>
      <c r="AN1208" s="109">
        <f t="shared" si="508"/>
        <v>0</v>
      </c>
      <c r="AO1208" s="109" t="str">
        <f t="shared" si="509"/>
        <v/>
      </c>
      <c r="AQ1208" s="109" t="str">
        <f t="shared" si="510"/>
        <v/>
      </c>
      <c r="BA1208" s="229">
        <f>MOD(SUM(E1206:E1209),12)</f>
        <v>0</v>
      </c>
    </row>
    <row r="1209" spans="1:53" ht="15.75" thickBot="1" x14ac:dyDescent="0.3">
      <c r="A1209" s="88"/>
      <c r="B1209" s="66" t="s">
        <v>281</v>
      </c>
      <c r="C1209" s="67"/>
      <c r="D1209" s="102"/>
      <c r="E1209" s="32"/>
      <c r="F1209" s="32"/>
      <c r="G1209" s="68" t="s">
        <v>277</v>
      </c>
      <c r="H1209" s="69">
        <f t="shared" si="511"/>
        <v>0</v>
      </c>
      <c r="I1209" s="70">
        <f t="shared" si="512"/>
        <v>0</v>
      </c>
      <c r="J1209" s="73" t="str">
        <f t="shared" si="513"/>
        <v>--</v>
      </c>
      <c r="K1209" s="32"/>
      <c r="L1209" s="233"/>
      <c r="M1209" s="277"/>
      <c r="N1209" s="277"/>
      <c r="O1209" s="277"/>
      <c r="P1209" s="277"/>
      <c r="Q1209" s="277"/>
      <c r="R1209" s="277"/>
      <c r="S1209" s="277"/>
      <c r="T1209" s="277"/>
      <c r="U1209" s="278"/>
      <c r="V1209" s="103"/>
      <c r="W1209" s="72"/>
      <c r="X1209" s="72"/>
      <c r="Y1209" s="72"/>
      <c r="Z1209" s="45">
        <v>12</v>
      </c>
      <c r="AA1209" s="76">
        <v>133</v>
      </c>
      <c r="AB1209" s="76">
        <v>144</v>
      </c>
      <c r="AC1209" s="72">
        <f t="shared" si="502"/>
        <v>1</v>
      </c>
      <c r="AD1209" s="72">
        <f t="shared" si="503"/>
        <v>1</v>
      </c>
      <c r="AE1209" s="109" t="str">
        <f t="shared" si="504"/>
        <v>0-0</v>
      </c>
      <c r="AF1209" s="109" t="str">
        <f t="shared" si="505"/>
        <v>Y</v>
      </c>
      <c r="AG1209" s="109" t="str">
        <f t="shared" si="506"/>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507"/>
        <v>0</v>
      </c>
      <c r="AN1209" s="109">
        <f t="shared" si="508"/>
        <v>0</v>
      </c>
      <c r="AO1209" s="109" t="str">
        <f t="shared" si="509"/>
        <v/>
      </c>
      <c r="AQ1209" s="109" t="str">
        <f t="shared" si="510"/>
        <v/>
      </c>
      <c r="BA1209" s="229">
        <f>MOD(SUM(E1206:E1210),12)</f>
        <v>0</v>
      </c>
    </row>
    <row r="1210" spans="1:53" ht="15.75" thickBot="1" x14ac:dyDescent="0.3">
      <c r="A1210" s="88"/>
      <c r="B1210" s="66" t="s">
        <v>282</v>
      </c>
      <c r="C1210" s="67"/>
      <c r="D1210" s="102"/>
      <c r="E1210" s="32"/>
      <c r="F1210" s="32"/>
      <c r="G1210" s="68" t="s">
        <v>277</v>
      </c>
      <c r="H1210" s="69">
        <f t="shared" si="511"/>
        <v>0</v>
      </c>
      <c r="I1210" s="70">
        <f t="shared" si="512"/>
        <v>0</v>
      </c>
      <c r="J1210" s="73" t="str">
        <f t="shared" si="513"/>
        <v>--</v>
      </c>
      <c r="K1210" s="32"/>
      <c r="L1210" s="233"/>
      <c r="M1210" s="277"/>
      <c r="N1210" s="277"/>
      <c r="O1210" s="277"/>
      <c r="P1210" s="277"/>
      <c r="Q1210" s="277"/>
      <c r="R1210" s="277"/>
      <c r="S1210" s="277"/>
      <c r="T1210" s="277"/>
      <c r="U1210" s="278"/>
      <c r="V1210" s="103"/>
      <c r="W1210" s="72"/>
      <c r="X1210" s="72"/>
      <c r="Y1210" s="72"/>
      <c r="Z1210" s="45">
        <v>13</v>
      </c>
      <c r="AA1210" s="77">
        <f t="shared" ref="AA1210:AA1215" si="514">AB1209+1</f>
        <v>145</v>
      </c>
      <c r="AB1210" s="77">
        <f t="shared" ref="AB1210:AB1215" si="515">AB1209+12</f>
        <v>156</v>
      </c>
      <c r="AC1210" s="72">
        <f t="shared" si="502"/>
        <v>1</v>
      </c>
      <c r="AD1210" s="72">
        <f t="shared" si="503"/>
        <v>1</v>
      </c>
      <c r="AE1210" s="109" t="str">
        <f t="shared" si="504"/>
        <v>0-0</v>
      </c>
      <c r="AF1210" s="109" t="str">
        <f t="shared" si="505"/>
        <v>Y</v>
      </c>
      <c r="AG1210" s="109" t="str">
        <f t="shared" si="506"/>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507"/>
        <v>0</v>
      </c>
      <c r="AN1210" s="109">
        <f t="shared" si="508"/>
        <v>0</v>
      </c>
      <c r="AO1210" s="109" t="str">
        <f t="shared" si="509"/>
        <v/>
      </c>
      <c r="AQ1210" s="109" t="str">
        <f t="shared" si="510"/>
        <v/>
      </c>
      <c r="BA1210" s="229">
        <f>MOD(SUM(E1206:E1211),12)</f>
        <v>0</v>
      </c>
    </row>
    <row r="1211" spans="1:53" ht="15.75" thickBot="1" x14ac:dyDescent="0.3">
      <c r="A1211" s="88"/>
      <c r="B1211" s="66" t="s">
        <v>283</v>
      </c>
      <c r="C1211" s="67"/>
      <c r="D1211" s="102"/>
      <c r="E1211" s="32"/>
      <c r="F1211" s="32"/>
      <c r="G1211" s="68" t="s">
        <v>277</v>
      </c>
      <c r="H1211" s="69">
        <f t="shared" si="511"/>
        <v>0</v>
      </c>
      <c r="I1211" s="70">
        <f t="shared" si="512"/>
        <v>0</v>
      </c>
      <c r="J1211" s="73" t="str">
        <f t="shared" si="513"/>
        <v>--</v>
      </c>
      <c r="K1211" s="32"/>
      <c r="L1211" s="233"/>
      <c r="M1211" s="277"/>
      <c r="N1211" s="277"/>
      <c r="O1211" s="277"/>
      <c r="P1211" s="277"/>
      <c r="Q1211" s="277"/>
      <c r="R1211" s="277"/>
      <c r="S1211" s="277"/>
      <c r="T1211" s="277"/>
      <c r="U1211" s="278"/>
      <c r="V1211" s="103"/>
      <c r="W1211" s="72"/>
      <c r="X1211" s="72"/>
      <c r="Y1211" s="72"/>
      <c r="Z1211" s="45">
        <v>14</v>
      </c>
      <c r="AA1211" s="77">
        <f t="shared" si="514"/>
        <v>157</v>
      </c>
      <c r="AB1211" s="77">
        <f t="shared" si="515"/>
        <v>168</v>
      </c>
      <c r="AC1211" s="72">
        <f t="shared" si="502"/>
        <v>1</v>
      </c>
      <c r="AD1211" s="72">
        <f t="shared" si="503"/>
        <v>1</v>
      </c>
      <c r="AE1211" s="109" t="str">
        <f t="shared" si="504"/>
        <v>0-0</v>
      </c>
      <c r="AF1211" s="109" t="str">
        <f t="shared" si="505"/>
        <v>Y</v>
      </c>
      <c r="AG1211" s="109" t="str">
        <f t="shared" si="506"/>
        <v>B</v>
      </c>
      <c r="AM1211" s="109">
        <f t="shared" si="507"/>
        <v>0</v>
      </c>
      <c r="AN1211" s="109">
        <f t="shared" si="508"/>
        <v>0</v>
      </c>
      <c r="AO1211" s="109" t="str">
        <f t="shared" si="509"/>
        <v/>
      </c>
      <c r="AQ1211" s="109" t="str">
        <f t="shared" si="510"/>
        <v/>
      </c>
      <c r="BA1211" s="229">
        <f>MOD(SUM(E1206:E1212),12)</f>
        <v>0</v>
      </c>
    </row>
    <row r="1212" spans="1:53" ht="15.75" thickBot="1" x14ac:dyDescent="0.3">
      <c r="A1212" s="88"/>
      <c r="B1212" s="66" t="s">
        <v>284</v>
      </c>
      <c r="C1212" s="67"/>
      <c r="D1212" s="102"/>
      <c r="E1212" s="32"/>
      <c r="F1212" s="32"/>
      <c r="G1212" s="68" t="s">
        <v>277</v>
      </c>
      <c r="H1212" s="69">
        <f t="shared" si="511"/>
        <v>0</v>
      </c>
      <c r="I1212" s="70">
        <f t="shared" si="512"/>
        <v>0</v>
      </c>
      <c r="J1212" s="73" t="str">
        <f t="shared" si="513"/>
        <v>--</v>
      </c>
      <c r="K1212" s="32"/>
      <c r="L1212" s="233"/>
      <c r="M1212" s="277"/>
      <c r="N1212" s="277"/>
      <c r="O1212" s="277"/>
      <c r="P1212" s="277"/>
      <c r="Q1212" s="277"/>
      <c r="R1212" s="277"/>
      <c r="S1212" s="277"/>
      <c r="T1212" s="277"/>
      <c r="U1212" s="278"/>
      <c r="V1212" s="103"/>
      <c r="W1212" s="72"/>
      <c r="X1212" s="72"/>
      <c r="Y1212" s="72"/>
      <c r="Z1212" s="45">
        <v>15</v>
      </c>
      <c r="AA1212" s="77">
        <f t="shared" si="514"/>
        <v>169</v>
      </c>
      <c r="AB1212" s="77">
        <f t="shared" si="515"/>
        <v>180</v>
      </c>
      <c r="AC1212" s="72">
        <f t="shared" si="502"/>
        <v>1</v>
      </c>
      <c r="AD1212" s="72">
        <f t="shared" si="503"/>
        <v>1</v>
      </c>
      <c r="AE1212" s="109" t="str">
        <f t="shared" si="504"/>
        <v>0-0</v>
      </c>
      <c r="AF1212" s="109" t="str">
        <f t="shared" si="505"/>
        <v>Y</v>
      </c>
      <c r="AG1212" s="109" t="str">
        <f t="shared" si="506"/>
        <v>B</v>
      </c>
      <c r="AM1212" s="109">
        <f t="shared" si="507"/>
        <v>0</v>
      </c>
      <c r="AN1212" s="109">
        <f t="shared" si="508"/>
        <v>0</v>
      </c>
      <c r="AO1212" s="109" t="str">
        <f t="shared" si="509"/>
        <v/>
      </c>
      <c r="AQ1212" s="109" t="str">
        <f t="shared" si="510"/>
        <v/>
      </c>
      <c r="BA1212" s="229">
        <f>MOD(SUM(E1206:E1213),12)</f>
        <v>0</v>
      </c>
    </row>
    <row r="1213" spans="1:53" ht="15.75" thickBot="1" x14ac:dyDescent="0.3">
      <c r="A1213" s="88"/>
      <c r="B1213" s="66" t="s">
        <v>285</v>
      </c>
      <c r="C1213" s="67"/>
      <c r="D1213" s="102"/>
      <c r="E1213" s="32"/>
      <c r="F1213" s="32"/>
      <c r="G1213" s="68" t="s">
        <v>277</v>
      </c>
      <c r="H1213" s="69">
        <f t="shared" si="511"/>
        <v>0</v>
      </c>
      <c r="I1213" s="70">
        <f t="shared" si="512"/>
        <v>0</v>
      </c>
      <c r="J1213" s="73" t="str">
        <f t="shared" si="513"/>
        <v>--</v>
      </c>
      <c r="K1213" s="32"/>
      <c r="L1213" s="233"/>
      <c r="M1213" s="277"/>
      <c r="N1213" s="277"/>
      <c r="O1213" s="277"/>
      <c r="P1213" s="277"/>
      <c r="Q1213" s="277"/>
      <c r="R1213" s="277"/>
      <c r="S1213" s="277"/>
      <c r="T1213" s="277"/>
      <c r="U1213" s="278"/>
      <c r="V1213" s="103"/>
      <c r="W1213" s="72"/>
      <c r="X1213" s="72"/>
      <c r="Y1213" s="72"/>
      <c r="Z1213" s="45">
        <f>Z1212+1</f>
        <v>16</v>
      </c>
      <c r="AA1213" s="77">
        <f t="shared" si="514"/>
        <v>181</v>
      </c>
      <c r="AB1213" s="77">
        <f t="shared" si="515"/>
        <v>192</v>
      </c>
      <c r="AC1213" s="72">
        <f t="shared" si="502"/>
        <v>1</v>
      </c>
      <c r="AD1213" s="72">
        <f t="shared" si="503"/>
        <v>1</v>
      </c>
      <c r="AE1213" s="109" t="str">
        <f t="shared" si="504"/>
        <v>0-0</v>
      </c>
      <c r="AF1213" s="109" t="str">
        <f t="shared" si="505"/>
        <v>Y</v>
      </c>
      <c r="AG1213" s="109" t="str">
        <f t="shared" si="506"/>
        <v>B</v>
      </c>
      <c r="AM1213" s="109">
        <f t="shared" si="507"/>
        <v>0</v>
      </c>
      <c r="AN1213" s="109">
        <f t="shared" si="508"/>
        <v>0</v>
      </c>
      <c r="AO1213" s="109" t="str">
        <f t="shared" si="509"/>
        <v/>
      </c>
      <c r="AQ1213" s="109" t="str">
        <f t="shared" si="510"/>
        <v/>
      </c>
      <c r="BA1213" s="229">
        <f>MOD(SUM(E1206:E1214),12)</f>
        <v>0</v>
      </c>
    </row>
    <row r="1214" spans="1:53" ht="15.75" thickBot="1" x14ac:dyDescent="0.3">
      <c r="A1214" s="88"/>
      <c r="B1214" s="66" t="s">
        <v>286</v>
      </c>
      <c r="C1214" s="67"/>
      <c r="D1214" s="102"/>
      <c r="E1214" s="32"/>
      <c r="F1214" s="32"/>
      <c r="G1214" s="68" t="s">
        <v>277</v>
      </c>
      <c r="H1214" s="69">
        <f t="shared" si="511"/>
        <v>0</v>
      </c>
      <c r="I1214" s="70">
        <f t="shared" si="512"/>
        <v>0</v>
      </c>
      <c r="J1214" s="73" t="str">
        <f t="shared" si="513"/>
        <v>--</v>
      </c>
      <c r="K1214" s="32"/>
      <c r="L1214" s="233"/>
      <c r="M1214" s="277"/>
      <c r="N1214" s="277"/>
      <c r="O1214" s="277"/>
      <c r="P1214" s="277"/>
      <c r="Q1214" s="277"/>
      <c r="R1214" s="277"/>
      <c r="S1214" s="277"/>
      <c r="T1214" s="277"/>
      <c r="U1214" s="278"/>
      <c r="V1214" s="103"/>
      <c r="W1214" s="72"/>
      <c r="X1214" s="72"/>
      <c r="Y1214" s="72"/>
      <c r="Z1214" s="45">
        <f>Z1213+1</f>
        <v>17</v>
      </c>
      <c r="AA1214" s="77">
        <f t="shared" si="514"/>
        <v>193</v>
      </c>
      <c r="AB1214" s="77">
        <f t="shared" si="515"/>
        <v>204</v>
      </c>
      <c r="AC1214" s="72">
        <f t="shared" si="502"/>
        <v>1</v>
      </c>
      <c r="AD1214" s="72">
        <f t="shared" si="503"/>
        <v>1</v>
      </c>
      <c r="AE1214" s="109" t="str">
        <f t="shared" si="504"/>
        <v>0-0</v>
      </c>
      <c r="AF1214" s="109" t="str">
        <f t="shared" si="505"/>
        <v>Y</v>
      </c>
      <c r="AG1214" s="109" t="str">
        <f t="shared" si="506"/>
        <v>B</v>
      </c>
      <c r="AM1214" s="109">
        <f t="shared" si="507"/>
        <v>0</v>
      </c>
      <c r="AN1214" s="109">
        <f t="shared" si="508"/>
        <v>0</v>
      </c>
      <c r="AO1214" s="109" t="str">
        <f t="shared" si="509"/>
        <v/>
      </c>
      <c r="AQ1214" s="109" t="str">
        <f t="shared" si="510"/>
        <v/>
      </c>
      <c r="BA1214" s="229">
        <f>MOD(SUM(E1206:E1215),12)</f>
        <v>0</v>
      </c>
    </row>
    <row r="1215" spans="1:53" ht="15.75" thickBot="1" x14ac:dyDescent="0.3">
      <c r="A1215" s="88"/>
      <c r="B1215" s="66" t="s">
        <v>287</v>
      </c>
      <c r="C1215" s="67"/>
      <c r="D1215" s="102"/>
      <c r="E1215" s="32"/>
      <c r="F1215" s="32"/>
      <c r="G1215" s="68" t="s">
        <v>277</v>
      </c>
      <c r="H1215" s="69">
        <f t="shared" si="511"/>
        <v>0</v>
      </c>
      <c r="I1215" s="70">
        <f t="shared" si="512"/>
        <v>0</v>
      </c>
      <c r="J1215" s="73" t="str">
        <f t="shared" si="513"/>
        <v>--</v>
      </c>
      <c r="K1215" s="32"/>
      <c r="L1215" s="233"/>
      <c r="M1215" s="277"/>
      <c r="N1215" s="277"/>
      <c r="O1215" s="277"/>
      <c r="P1215" s="277"/>
      <c r="Q1215" s="277"/>
      <c r="R1215" s="277"/>
      <c r="S1215" s="277"/>
      <c r="T1215" s="277"/>
      <c r="U1215" s="278"/>
      <c r="V1215" s="103"/>
      <c r="W1215" s="72"/>
      <c r="X1215" s="72"/>
      <c r="Y1215" s="72"/>
      <c r="Z1215" s="45">
        <f>Z1214+1</f>
        <v>18</v>
      </c>
      <c r="AA1215" s="77">
        <f t="shared" si="514"/>
        <v>205</v>
      </c>
      <c r="AB1215" s="77">
        <f t="shared" si="515"/>
        <v>216</v>
      </c>
      <c r="AC1215" s="72">
        <f t="shared" si="502"/>
        <v>1</v>
      </c>
      <c r="AD1215" s="72">
        <f t="shared" si="503"/>
        <v>1</v>
      </c>
      <c r="AE1215" s="109" t="str">
        <f t="shared" si="504"/>
        <v>0-0</v>
      </c>
      <c r="AF1215" s="109" t="str">
        <f t="shared" si="505"/>
        <v>Y</v>
      </c>
      <c r="AG1215" s="109" t="str">
        <f t="shared" si="506"/>
        <v>B</v>
      </c>
      <c r="AM1215" s="109">
        <f t="shared" si="507"/>
        <v>0</v>
      </c>
      <c r="AN1215" s="109">
        <f t="shared" si="508"/>
        <v>0</v>
      </c>
      <c r="AO1215" s="109" t="str">
        <f t="shared" si="509"/>
        <v/>
      </c>
      <c r="AQ1215" s="109" t="str">
        <f t="shared" si="510"/>
        <v/>
      </c>
      <c r="BA1215" s="229">
        <f>MOD(SUM(E1206:E1216),12)</f>
        <v>0</v>
      </c>
    </row>
    <row r="1216" spans="1:53" ht="15.75" thickBot="1" x14ac:dyDescent="0.3">
      <c r="A1216" s="88"/>
      <c r="B1216" s="66" t="s">
        <v>288</v>
      </c>
      <c r="C1216" s="67"/>
      <c r="D1216" s="102"/>
      <c r="E1216" s="32"/>
      <c r="F1216" s="32"/>
      <c r="G1216" s="68" t="s">
        <v>277</v>
      </c>
      <c r="H1216" s="69">
        <f t="shared" si="511"/>
        <v>0</v>
      </c>
      <c r="I1216" s="70">
        <f t="shared" si="512"/>
        <v>0</v>
      </c>
      <c r="J1216" s="73" t="str">
        <f t="shared" si="513"/>
        <v>--</v>
      </c>
      <c r="K1216" s="32"/>
      <c r="L1216" s="233"/>
      <c r="M1216" s="277"/>
      <c r="N1216" s="277"/>
      <c r="O1216" s="277"/>
      <c r="P1216" s="277"/>
      <c r="Q1216" s="277"/>
      <c r="R1216" s="277"/>
      <c r="S1216" s="277"/>
      <c r="T1216" s="277"/>
      <c r="U1216" s="278"/>
      <c r="V1216" s="103"/>
      <c r="W1216" s="84"/>
      <c r="X1216" s="84"/>
      <c r="Y1216" s="72"/>
      <c r="Z1216" s="72"/>
      <c r="AA1216" s="72"/>
      <c r="AB1216" s="72"/>
      <c r="AC1216" s="72">
        <f t="shared" si="502"/>
        <v>1</v>
      </c>
      <c r="AD1216" s="72">
        <f t="shared" si="503"/>
        <v>1</v>
      </c>
      <c r="AE1216" s="109" t="str">
        <f t="shared" si="504"/>
        <v>0-0</v>
      </c>
      <c r="AF1216" s="109" t="str">
        <f t="shared" si="505"/>
        <v>Y</v>
      </c>
      <c r="AG1216" s="109" t="str">
        <f t="shared" si="506"/>
        <v>B</v>
      </c>
      <c r="AM1216" s="109">
        <f t="shared" si="507"/>
        <v>0</v>
      </c>
      <c r="AN1216" s="109">
        <f t="shared" si="508"/>
        <v>0</v>
      </c>
      <c r="AO1216" s="109" t="str">
        <f t="shared" si="509"/>
        <v/>
      </c>
      <c r="AQ1216" s="109" t="str">
        <f t="shared" si="510"/>
        <v/>
      </c>
      <c r="BA1216" s="229">
        <f>MOD(SUM(E1206:E1217),12)</f>
        <v>0</v>
      </c>
    </row>
    <row r="1217" spans="1:53" ht="15.75" thickBot="1" x14ac:dyDescent="0.3">
      <c r="A1217" s="88"/>
      <c r="B1217" s="66" t="s">
        <v>289</v>
      </c>
      <c r="C1217" s="67"/>
      <c r="D1217" s="102"/>
      <c r="E1217" s="32"/>
      <c r="F1217" s="32"/>
      <c r="G1217" s="68" t="s">
        <v>277</v>
      </c>
      <c r="H1217" s="69">
        <f t="shared" si="511"/>
        <v>0</v>
      </c>
      <c r="I1217" s="70">
        <f t="shared" si="512"/>
        <v>0</v>
      </c>
      <c r="J1217" s="73" t="str">
        <f t="shared" si="513"/>
        <v>--</v>
      </c>
      <c r="K1217" s="32"/>
      <c r="L1217" s="233"/>
      <c r="M1217" s="277"/>
      <c r="N1217" s="277"/>
      <c r="O1217" s="277"/>
      <c r="P1217" s="277"/>
      <c r="Q1217" s="277"/>
      <c r="R1217" s="277"/>
      <c r="S1217" s="277"/>
      <c r="T1217" s="277"/>
      <c r="U1217" s="278"/>
      <c r="V1217" s="103"/>
      <c r="W1217" s="84">
        <f>Y1217+1</f>
        <v>61</v>
      </c>
      <c r="X1217" s="84"/>
      <c r="Y1217" s="78">
        <f>SUM(E1206:E1217)</f>
        <v>60</v>
      </c>
      <c r="Z1217" s="72"/>
      <c r="AA1217" s="72"/>
      <c r="AB1217" s="72"/>
      <c r="AC1217" s="72">
        <f t="shared" si="502"/>
        <v>1</v>
      </c>
      <c r="AD1217" s="72">
        <f t="shared" si="503"/>
        <v>1</v>
      </c>
      <c r="AE1217" s="109" t="str">
        <f t="shared" si="504"/>
        <v>0-0</v>
      </c>
      <c r="AF1217" s="109" t="str">
        <f t="shared" si="505"/>
        <v>Y</v>
      </c>
      <c r="AG1217" s="109" t="str">
        <f t="shared" si="506"/>
        <v>B</v>
      </c>
      <c r="AM1217" s="109">
        <f t="shared" si="507"/>
        <v>0</v>
      </c>
      <c r="AN1217" s="109">
        <f t="shared" si="508"/>
        <v>0</v>
      </c>
      <c r="AO1217" s="109" t="str">
        <f t="shared" si="509"/>
        <v/>
      </c>
      <c r="AQ1217" s="109" t="str">
        <f t="shared" si="510"/>
        <v/>
      </c>
      <c r="BA1217" s="229">
        <f>MOD(SUM(E1206:E1218),12)</f>
        <v>0</v>
      </c>
    </row>
    <row r="1218" spans="1:53" ht="15.75" thickBot="1" x14ac:dyDescent="0.3">
      <c r="A1218" s="88"/>
      <c r="B1218" s="66" t="s">
        <v>290</v>
      </c>
      <c r="C1218" s="67"/>
      <c r="D1218" s="102"/>
      <c r="E1218" s="32"/>
      <c r="F1218" s="32"/>
      <c r="G1218" s="68" t="s">
        <v>277</v>
      </c>
      <c r="H1218" s="69">
        <f t="shared" si="511"/>
        <v>0</v>
      </c>
      <c r="I1218" s="70">
        <f t="shared" si="512"/>
        <v>0</v>
      </c>
      <c r="J1218" s="73" t="str">
        <f t="shared" si="513"/>
        <v>--</v>
      </c>
      <c r="K1218" s="32"/>
      <c r="L1218" s="233"/>
      <c r="M1218" s="277"/>
      <c r="N1218" s="277"/>
      <c r="O1218" s="277"/>
      <c r="P1218" s="277"/>
      <c r="Q1218" s="277"/>
      <c r="R1218" s="277"/>
      <c r="S1218" s="277"/>
      <c r="T1218" s="277"/>
      <c r="U1218" s="278"/>
      <c r="V1218" s="103"/>
      <c r="W1218" s="84">
        <f>Y1218+1</f>
        <v>61</v>
      </c>
      <c r="X1218" s="84"/>
      <c r="Y1218" s="78">
        <f>SUM(E1206:E1218)</f>
        <v>60</v>
      </c>
      <c r="Z1218" s="72" t="str">
        <f t="shared" ref="Z1218:Z1230" si="516">IF(OR(AND(E$8=216,C1217="DBL REV",C1218="DBL REV",Y1217&lt;=144,Y1218&gt;144),AND(E$8=216,C1217="TPL REV",C1218="TPL REV",Y1217&lt;=144,Y1218&gt;144),AND(E$8=216,C1217="QD REV",C1218="QD REV",Y1217&lt;=144,Y1218&gt;144)),"ERROR","")</f>
        <v/>
      </c>
      <c r="AA1218" s="72"/>
      <c r="AB1218" s="72"/>
      <c r="AC1218" s="72">
        <f t="shared" si="502"/>
        <v>1</v>
      </c>
      <c r="AD1218" s="72">
        <f t="shared" si="503"/>
        <v>1</v>
      </c>
      <c r="AE1218" s="109" t="str">
        <f t="shared" si="504"/>
        <v>0-0</v>
      </c>
      <c r="AF1218" s="109" t="str">
        <f t="shared" si="505"/>
        <v>Y</v>
      </c>
      <c r="AG1218" s="109" t="str">
        <f t="shared" si="506"/>
        <v>B</v>
      </c>
      <c r="AM1218" s="109">
        <f t="shared" si="507"/>
        <v>0</v>
      </c>
      <c r="AN1218" s="109">
        <f t="shared" si="508"/>
        <v>0</v>
      </c>
      <c r="AO1218" s="109" t="str">
        <f t="shared" si="509"/>
        <v/>
      </c>
      <c r="AQ1218" s="109" t="str">
        <f t="shared" si="510"/>
        <v/>
      </c>
      <c r="BA1218" s="229">
        <f>MOD(SUM(E1206:E1219),12)</f>
        <v>0</v>
      </c>
    </row>
    <row r="1219" spans="1:53" ht="15.75" thickBot="1" x14ac:dyDescent="0.3">
      <c r="A1219" s="88"/>
      <c r="B1219" s="66" t="s">
        <v>291</v>
      </c>
      <c r="C1219" s="67"/>
      <c r="D1219" s="102"/>
      <c r="E1219" s="32"/>
      <c r="F1219" s="32"/>
      <c r="G1219" s="68" t="s">
        <v>277</v>
      </c>
      <c r="H1219" s="69">
        <f t="shared" si="511"/>
        <v>0</v>
      </c>
      <c r="I1219" s="70">
        <f t="shared" si="512"/>
        <v>0</v>
      </c>
      <c r="J1219" s="73" t="str">
        <f t="shared" si="513"/>
        <v>--</v>
      </c>
      <c r="K1219" s="32"/>
      <c r="L1219" s="233"/>
      <c r="M1219" s="277"/>
      <c r="N1219" s="277"/>
      <c r="O1219" s="277"/>
      <c r="P1219" s="277"/>
      <c r="Q1219" s="277"/>
      <c r="R1219" s="277"/>
      <c r="S1219" s="277"/>
      <c r="T1219" s="277"/>
      <c r="U1219" s="278"/>
      <c r="V1219" s="103"/>
      <c r="W1219" s="84">
        <f>Y1219+1</f>
        <v>61</v>
      </c>
      <c r="X1219" s="84"/>
      <c r="Y1219" s="78">
        <f>SUM(E1206:E1219)</f>
        <v>60</v>
      </c>
      <c r="Z1219" s="72" t="str">
        <f t="shared" si="516"/>
        <v/>
      </c>
      <c r="AA1219" s="72"/>
      <c r="AB1219" s="72"/>
      <c r="AC1219" s="72">
        <f t="shared" si="502"/>
        <v>1</v>
      </c>
      <c r="AD1219" s="72">
        <f t="shared" si="503"/>
        <v>1</v>
      </c>
      <c r="AE1219" s="109" t="str">
        <f t="shared" si="504"/>
        <v>0-0</v>
      </c>
      <c r="AF1219" s="109" t="str">
        <f t="shared" si="505"/>
        <v>Y</v>
      </c>
      <c r="AG1219" s="109" t="str">
        <f t="shared" si="506"/>
        <v>B</v>
      </c>
      <c r="AM1219" s="109">
        <f t="shared" si="507"/>
        <v>0</v>
      </c>
      <c r="AN1219" s="109">
        <f t="shared" si="508"/>
        <v>0</v>
      </c>
      <c r="AO1219" s="109" t="str">
        <f t="shared" si="509"/>
        <v/>
      </c>
      <c r="AQ1219" s="109" t="str">
        <f t="shared" si="510"/>
        <v/>
      </c>
      <c r="BA1219" s="229">
        <f>MOD(SUM(E1206:E1220),12)</f>
        <v>0</v>
      </c>
    </row>
    <row r="1220" spans="1:53" ht="15.75" thickBot="1" x14ac:dyDescent="0.3">
      <c r="A1220" s="88"/>
      <c r="B1220" s="66" t="s">
        <v>292</v>
      </c>
      <c r="C1220" s="67"/>
      <c r="D1220" s="102"/>
      <c r="E1220" s="32"/>
      <c r="F1220" s="32"/>
      <c r="G1220" s="68" t="s">
        <v>277</v>
      </c>
      <c r="H1220" s="69">
        <f t="shared" si="511"/>
        <v>0</v>
      </c>
      <c r="I1220" s="70">
        <f t="shared" si="512"/>
        <v>0</v>
      </c>
      <c r="J1220" s="73" t="str">
        <f t="shared" si="513"/>
        <v>--</v>
      </c>
      <c r="K1220" s="32"/>
      <c r="L1220" s="233"/>
      <c r="M1220" s="277"/>
      <c r="N1220" s="277"/>
      <c r="O1220" s="277"/>
      <c r="P1220" s="277"/>
      <c r="Q1220" s="277"/>
      <c r="R1220" s="277"/>
      <c r="S1220" s="277"/>
      <c r="T1220" s="277"/>
      <c r="U1220" s="278"/>
      <c r="V1220" s="103"/>
      <c r="W1220" s="84">
        <f>Y1220+1</f>
        <v>61</v>
      </c>
      <c r="X1220" s="84"/>
      <c r="Y1220" s="78">
        <f>SUM(E1206:E1220)</f>
        <v>60</v>
      </c>
      <c r="Z1220" s="72" t="str">
        <f t="shared" si="516"/>
        <v/>
      </c>
      <c r="AA1220" s="72" t="str">
        <f t="shared" ref="AA1220:AA1232" si="517">IF(AND(C1218&lt;&gt;"Field SPL",W1217&lt;=144,Y1218&gt;144),"ERROR","")</f>
        <v/>
      </c>
      <c r="AB1220" s="72"/>
      <c r="AC1220" s="72">
        <f t="shared" si="502"/>
        <v>1</v>
      </c>
      <c r="AD1220" s="72">
        <f t="shared" si="503"/>
        <v>1</v>
      </c>
      <c r="AE1220" s="109" t="str">
        <f t="shared" si="504"/>
        <v>0-0</v>
      </c>
      <c r="AF1220" s="109" t="str">
        <f t="shared" si="505"/>
        <v>Y</v>
      </c>
      <c r="AG1220" s="109" t="str">
        <f t="shared" si="506"/>
        <v>B</v>
      </c>
      <c r="AM1220" s="109">
        <f t="shared" si="507"/>
        <v>0</v>
      </c>
      <c r="AN1220" s="109">
        <f t="shared" si="508"/>
        <v>0</v>
      </c>
      <c r="AO1220" s="109" t="str">
        <f t="shared" si="509"/>
        <v/>
      </c>
      <c r="AQ1220" s="109" t="str">
        <f t="shared" si="510"/>
        <v/>
      </c>
      <c r="BA1220" s="229">
        <f>MOD(SUM(E1206:E1221),12)</f>
        <v>0</v>
      </c>
    </row>
    <row r="1221" spans="1:53" ht="15.75" thickBot="1" x14ac:dyDescent="0.3">
      <c r="A1221" s="88"/>
      <c r="B1221" s="66" t="s">
        <v>293</v>
      </c>
      <c r="C1221" s="67"/>
      <c r="D1221" s="102"/>
      <c r="E1221" s="32"/>
      <c r="F1221" s="32"/>
      <c r="G1221" s="68" t="s">
        <v>277</v>
      </c>
      <c r="H1221" s="69">
        <f t="shared" si="511"/>
        <v>0</v>
      </c>
      <c r="I1221" s="70">
        <f t="shared" si="512"/>
        <v>0</v>
      </c>
      <c r="J1221" s="73" t="str">
        <f t="shared" si="513"/>
        <v>--</v>
      </c>
      <c r="K1221" s="32"/>
      <c r="L1221" s="233"/>
      <c r="M1221" s="277"/>
      <c r="N1221" s="277"/>
      <c r="O1221" s="277"/>
      <c r="P1221" s="277"/>
      <c r="Q1221" s="277"/>
      <c r="R1221" s="277"/>
      <c r="S1221" s="277"/>
      <c r="T1221" s="277"/>
      <c r="U1221" s="278"/>
      <c r="V1221" s="103"/>
      <c r="W1221" s="84">
        <f t="shared" ref="W1221:W1229" si="518">Y1221+1</f>
        <v>61</v>
      </c>
      <c r="X1221" s="84"/>
      <c r="Y1221" s="78">
        <f>SUM(E1206:E1221)</f>
        <v>60</v>
      </c>
      <c r="Z1221" s="72" t="str">
        <f t="shared" si="516"/>
        <v/>
      </c>
      <c r="AA1221" s="72" t="str">
        <f t="shared" si="517"/>
        <v/>
      </c>
      <c r="AB1221" s="72"/>
      <c r="AC1221" s="72">
        <f t="shared" si="502"/>
        <v>1</v>
      </c>
      <c r="AD1221" s="72">
        <f t="shared" si="503"/>
        <v>1</v>
      </c>
      <c r="AE1221" s="109" t="str">
        <f t="shared" si="504"/>
        <v>0-0</v>
      </c>
      <c r="AF1221" s="109" t="str">
        <f t="shared" si="505"/>
        <v>Y</v>
      </c>
      <c r="AG1221" s="109" t="str">
        <f t="shared" si="506"/>
        <v>B</v>
      </c>
      <c r="AM1221" s="109">
        <f t="shared" si="507"/>
        <v>0</v>
      </c>
      <c r="AN1221" s="109">
        <f t="shared" si="508"/>
        <v>0</v>
      </c>
      <c r="AO1221" s="109" t="str">
        <f t="shared" si="509"/>
        <v/>
      </c>
      <c r="AQ1221" s="109" t="str">
        <f t="shared" si="510"/>
        <v/>
      </c>
      <c r="BA1221" s="229">
        <f>MOD(SUM(E1206:E1222),12)</f>
        <v>0</v>
      </c>
    </row>
    <row r="1222" spans="1:53" ht="15.75" thickBot="1" x14ac:dyDescent="0.3">
      <c r="A1222" s="88"/>
      <c r="B1222" s="66" t="s">
        <v>294</v>
      </c>
      <c r="C1222" s="67"/>
      <c r="D1222" s="102"/>
      <c r="E1222" s="32"/>
      <c r="F1222" s="32"/>
      <c r="G1222" s="68" t="s">
        <v>277</v>
      </c>
      <c r="H1222" s="69">
        <f t="shared" si="511"/>
        <v>0</v>
      </c>
      <c r="I1222" s="70">
        <f t="shared" si="512"/>
        <v>0</v>
      </c>
      <c r="J1222" s="73" t="str">
        <f t="shared" si="513"/>
        <v>--</v>
      </c>
      <c r="K1222" s="32"/>
      <c r="L1222" s="233"/>
      <c r="M1222" s="277"/>
      <c r="N1222" s="277"/>
      <c r="O1222" s="277"/>
      <c r="P1222" s="277"/>
      <c r="Q1222" s="277"/>
      <c r="R1222" s="277"/>
      <c r="S1222" s="277"/>
      <c r="T1222" s="277"/>
      <c r="U1222" s="278"/>
      <c r="V1222" s="103"/>
      <c r="W1222" s="84">
        <f t="shared" si="518"/>
        <v>61</v>
      </c>
      <c r="X1222" s="84"/>
      <c r="Y1222" s="78">
        <f>SUM(E1206:E1222)</f>
        <v>60</v>
      </c>
      <c r="Z1222" s="72" t="str">
        <f t="shared" si="516"/>
        <v/>
      </c>
      <c r="AA1222" s="72" t="str">
        <f t="shared" si="517"/>
        <v/>
      </c>
      <c r="AB1222" s="72"/>
      <c r="AC1222" s="72">
        <f t="shared" si="502"/>
        <v>1</v>
      </c>
      <c r="AD1222" s="72">
        <f t="shared" si="503"/>
        <v>1</v>
      </c>
      <c r="AE1222" s="109" t="str">
        <f t="shared" si="504"/>
        <v>0-0</v>
      </c>
      <c r="AF1222" s="109" t="str">
        <f t="shared" si="505"/>
        <v>Y</v>
      </c>
      <c r="AG1222" s="109" t="str">
        <f t="shared" si="506"/>
        <v>B</v>
      </c>
      <c r="AM1222" s="109">
        <f t="shared" si="507"/>
        <v>0</v>
      </c>
      <c r="AN1222" s="109">
        <f t="shared" si="508"/>
        <v>0</v>
      </c>
      <c r="AO1222" s="109" t="str">
        <f t="shared" si="509"/>
        <v/>
      </c>
      <c r="AQ1222" s="109" t="str">
        <f t="shared" si="510"/>
        <v/>
      </c>
      <c r="BA1222" s="229">
        <f>MOD(SUM(E1206:E1223),12)</f>
        <v>0</v>
      </c>
    </row>
    <row r="1223" spans="1:53" ht="15.75" thickBot="1" x14ac:dyDescent="0.3">
      <c r="A1223" s="88"/>
      <c r="B1223" s="66" t="s">
        <v>295</v>
      </c>
      <c r="C1223" s="67"/>
      <c r="D1223" s="102"/>
      <c r="E1223" s="32"/>
      <c r="F1223" s="32"/>
      <c r="G1223" s="68" t="s">
        <v>277</v>
      </c>
      <c r="H1223" s="69">
        <f t="shared" si="511"/>
        <v>0</v>
      </c>
      <c r="I1223" s="70">
        <f t="shared" si="512"/>
        <v>0</v>
      </c>
      <c r="J1223" s="73" t="str">
        <f t="shared" si="513"/>
        <v>--</v>
      </c>
      <c r="K1223" s="32"/>
      <c r="L1223" s="233"/>
      <c r="M1223" s="277"/>
      <c r="N1223" s="277"/>
      <c r="O1223" s="277"/>
      <c r="P1223" s="277"/>
      <c r="Q1223" s="277"/>
      <c r="R1223" s="277"/>
      <c r="S1223" s="277"/>
      <c r="T1223" s="277"/>
      <c r="U1223" s="278"/>
      <c r="V1223" s="103"/>
      <c r="W1223" s="84">
        <f t="shared" si="518"/>
        <v>61</v>
      </c>
      <c r="X1223" s="84"/>
      <c r="Y1223" s="78">
        <f>SUM(E1206:E1223)</f>
        <v>60</v>
      </c>
      <c r="Z1223" s="72" t="str">
        <f t="shared" si="516"/>
        <v/>
      </c>
      <c r="AA1223" s="72" t="str">
        <f t="shared" si="517"/>
        <v/>
      </c>
      <c r="AB1223" s="72"/>
      <c r="AC1223" s="72">
        <f t="shared" si="502"/>
        <v>1</v>
      </c>
      <c r="AD1223" s="72">
        <f t="shared" si="503"/>
        <v>1</v>
      </c>
      <c r="AE1223" s="109" t="str">
        <f t="shared" si="504"/>
        <v>0-0</v>
      </c>
      <c r="AF1223" s="109" t="str">
        <f t="shared" si="505"/>
        <v>Y</v>
      </c>
      <c r="AG1223" s="109" t="str">
        <f t="shared" si="506"/>
        <v>B</v>
      </c>
      <c r="AM1223" s="109">
        <f t="shared" si="507"/>
        <v>0</v>
      </c>
      <c r="AN1223" s="109">
        <f t="shared" si="508"/>
        <v>0</v>
      </c>
      <c r="AO1223" s="109" t="str">
        <f t="shared" si="509"/>
        <v/>
      </c>
      <c r="AQ1223" s="109" t="str">
        <f t="shared" si="510"/>
        <v/>
      </c>
      <c r="BA1223" s="229">
        <f>MOD(SUM(E1206:E1224),12)</f>
        <v>0</v>
      </c>
    </row>
    <row r="1224" spans="1:53" ht="15.75" thickBot="1" x14ac:dyDescent="0.3">
      <c r="A1224" s="88"/>
      <c r="B1224" s="66" t="s">
        <v>296</v>
      </c>
      <c r="C1224" s="67"/>
      <c r="D1224" s="102"/>
      <c r="E1224" s="32"/>
      <c r="F1224" s="32"/>
      <c r="G1224" s="68" t="s">
        <v>277</v>
      </c>
      <c r="H1224" s="69">
        <f t="shared" si="511"/>
        <v>0</v>
      </c>
      <c r="I1224" s="70">
        <f t="shared" si="512"/>
        <v>0</v>
      </c>
      <c r="J1224" s="73" t="str">
        <f t="shared" si="513"/>
        <v>--</v>
      </c>
      <c r="K1224" s="32"/>
      <c r="L1224" s="233"/>
      <c r="M1224" s="277"/>
      <c r="N1224" s="277"/>
      <c r="O1224" s="277"/>
      <c r="P1224" s="277"/>
      <c r="Q1224" s="277"/>
      <c r="R1224" s="277"/>
      <c r="S1224" s="277"/>
      <c r="T1224" s="277"/>
      <c r="U1224" s="278"/>
      <c r="V1224" s="103"/>
      <c r="W1224" s="84">
        <f t="shared" si="518"/>
        <v>61</v>
      </c>
      <c r="X1224" s="84"/>
      <c r="Y1224" s="78">
        <f>SUM(E1206:E1224)</f>
        <v>60</v>
      </c>
      <c r="Z1224" s="72" t="str">
        <f t="shared" si="516"/>
        <v/>
      </c>
      <c r="AA1224" s="72" t="str">
        <f t="shared" si="517"/>
        <v/>
      </c>
      <c r="AB1224" s="72"/>
      <c r="AC1224" s="72">
        <f t="shared" si="502"/>
        <v>1</v>
      </c>
      <c r="AD1224" s="72">
        <f t="shared" si="503"/>
        <v>1</v>
      </c>
      <c r="AE1224" s="109" t="str">
        <f t="shared" si="504"/>
        <v>0-0</v>
      </c>
      <c r="AF1224" s="109" t="str">
        <f t="shared" si="505"/>
        <v>Y</v>
      </c>
      <c r="AG1224" s="109" t="str">
        <f t="shared" si="506"/>
        <v>B</v>
      </c>
      <c r="AM1224" s="109">
        <f t="shared" si="507"/>
        <v>0</v>
      </c>
      <c r="AN1224" s="109">
        <f t="shared" si="508"/>
        <v>0</v>
      </c>
      <c r="AO1224" s="109" t="str">
        <f t="shared" si="509"/>
        <v/>
      </c>
      <c r="AQ1224" s="109" t="str">
        <f t="shared" si="510"/>
        <v/>
      </c>
      <c r="BA1224" s="229">
        <f>MOD(SUM(E1206:E1225),12)</f>
        <v>0</v>
      </c>
    </row>
    <row r="1225" spans="1:53" ht="15.75" thickBot="1" x14ac:dyDescent="0.3">
      <c r="A1225" s="88"/>
      <c r="B1225" s="66" t="s">
        <v>297</v>
      </c>
      <c r="C1225" s="67"/>
      <c r="D1225" s="102"/>
      <c r="E1225" s="32"/>
      <c r="F1225" s="32"/>
      <c r="G1225" s="68" t="s">
        <v>277</v>
      </c>
      <c r="H1225" s="69">
        <f t="shared" si="511"/>
        <v>0</v>
      </c>
      <c r="I1225" s="70">
        <f t="shared" si="512"/>
        <v>0</v>
      </c>
      <c r="J1225" s="73" t="str">
        <f t="shared" si="513"/>
        <v>--</v>
      </c>
      <c r="K1225" s="32"/>
      <c r="L1225" s="233"/>
      <c r="M1225" s="277"/>
      <c r="N1225" s="277"/>
      <c r="O1225" s="277"/>
      <c r="P1225" s="277"/>
      <c r="Q1225" s="277"/>
      <c r="R1225" s="277"/>
      <c r="S1225" s="277"/>
      <c r="T1225" s="277"/>
      <c r="U1225" s="278"/>
      <c r="V1225" s="103"/>
      <c r="W1225" s="84">
        <f t="shared" si="518"/>
        <v>61</v>
      </c>
      <c r="X1225" s="84"/>
      <c r="Y1225" s="78">
        <f>SUM(E1206:E1225)</f>
        <v>60</v>
      </c>
      <c r="Z1225" s="72" t="str">
        <f t="shared" si="516"/>
        <v/>
      </c>
      <c r="AA1225" s="72" t="str">
        <f t="shared" si="517"/>
        <v/>
      </c>
      <c r="AB1225" s="72"/>
      <c r="AC1225" s="72">
        <f t="shared" si="502"/>
        <v>1</v>
      </c>
      <c r="AD1225" s="72">
        <f t="shared" si="503"/>
        <v>1</v>
      </c>
      <c r="AE1225" s="109" t="str">
        <f t="shared" si="504"/>
        <v>0-0</v>
      </c>
      <c r="AF1225" s="109" t="str">
        <f t="shared" si="505"/>
        <v>Y</v>
      </c>
      <c r="AG1225" s="109" t="str">
        <f t="shared" si="506"/>
        <v>B</v>
      </c>
      <c r="AM1225" s="109">
        <f t="shared" si="507"/>
        <v>0</v>
      </c>
      <c r="AN1225" s="109">
        <f t="shared" si="508"/>
        <v>0</v>
      </c>
      <c r="AO1225" s="109" t="str">
        <f t="shared" si="509"/>
        <v/>
      </c>
      <c r="AQ1225" s="109" t="str">
        <f t="shared" si="510"/>
        <v/>
      </c>
      <c r="BA1225" s="229">
        <f>MOD(SUM(E1206:E1226),12)</f>
        <v>0</v>
      </c>
    </row>
    <row r="1226" spans="1:53" ht="15.75" thickBot="1" x14ac:dyDescent="0.3">
      <c r="A1226" s="88"/>
      <c r="B1226" s="66" t="s">
        <v>298</v>
      </c>
      <c r="C1226" s="67"/>
      <c r="D1226" s="102"/>
      <c r="E1226" s="32"/>
      <c r="F1226" s="32"/>
      <c r="G1226" s="68" t="s">
        <v>277</v>
      </c>
      <c r="H1226" s="69">
        <f t="shared" si="511"/>
        <v>0</v>
      </c>
      <c r="I1226" s="70">
        <f t="shared" si="512"/>
        <v>0</v>
      </c>
      <c r="J1226" s="73" t="str">
        <f t="shared" si="513"/>
        <v>--</v>
      </c>
      <c r="K1226" s="32"/>
      <c r="L1226" s="233"/>
      <c r="M1226" s="277"/>
      <c r="N1226" s="277"/>
      <c r="O1226" s="277"/>
      <c r="P1226" s="277"/>
      <c r="Q1226" s="277"/>
      <c r="R1226" s="277"/>
      <c r="S1226" s="277"/>
      <c r="T1226" s="277"/>
      <c r="U1226" s="278"/>
      <c r="V1226" s="103"/>
      <c r="W1226" s="84">
        <f t="shared" si="518"/>
        <v>61</v>
      </c>
      <c r="X1226" s="84"/>
      <c r="Y1226" s="78">
        <f>SUM(E1206:E1226)</f>
        <v>60</v>
      </c>
      <c r="Z1226" s="72" t="str">
        <f t="shared" si="516"/>
        <v/>
      </c>
      <c r="AA1226" s="72" t="str">
        <f t="shared" si="517"/>
        <v/>
      </c>
      <c r="AB1226" s="72"/>
      <c r="AC1226" s="72">
        <f t="shared" si="502"/>
        <v>1</v>
      </c>
      <c r="AD1226" s="72">
        <f t="shared" si="503"/>
        <v>1</v>
      </c>
      <c r="AE1226" s="109" t="str">
        <f t="shared" si="504"/>
        <v>0-0</v>
      </c>
      <c r="AF1226" s="109" t="str">
        <f t="shared" si="505"/>
        <v>Y</v>
      </c>
      <c r="AG1226" s="109" t="str">
        <f t="shared" si="506"/>
        <v>B</v>
      </c>
      <c r="AM1226" s="109">
        <f t="shared" si="507"/>
        <v>0</v>
      </c>
      <c r="AN1226" s="109">
        <f t="shared" si="508"/>
        <v>0</v>
      </c>
      <c r="AO1226" s="109" t="str">
        <f t="shared" si="509"/>
        <v/>
      </c>
      <c r="AQ1226" s="109" t="str">
        <f t="shared" si="510"/>
        <v/>
      </c>
      <c r="BA1226" s="229">
        <f>MOD(SUM(E1206:E1227),12)</f>
        <v>0</v>
      </c>
    </row>
    <row r="1227" spans="1:53" ht="15.75" thickBot="1" x14ac:dyDescent="0.3">
      <c r="A1227" s="88"/>
      <c r="B1227" s="66" t="s">
        <v>299</v>
      </c>
      <c r="C1227" s="67"/>
      <c r="D1227" s="102"/>
      <c r="E1227" s="32"/>
      <c r="F1227" s="32"/>
      <c r="G1227" s="68" t="s">
        <v>277</v>
      </c>
      <c r="H1227" s="69">
        <f t="shared" si="511"/>
        <v>0</v>
      </c>
      <c r="I1227" s="70">
        <f t="shared" si="512"/>
        <v>0</v>
      </c>
      <c r="J1227" s="73" t="str">
        <f t="shared" si="513"/>
        <v>--</v>
      </c>
      <c r="K1227" s="32"/>
      <c r="L1227" s="233"/>
      <c r="M1227" s="277"/>
      <c r="N1227" s="277"/>
      <c r="O1227" s="277"/>
      <c r="P1227" s="277"/>
      <c r="Q1227" s="277"/>
      <c r="R1227" s="277"/>
      <c r="S1227" s="277"/>
      <c r="T1227" s="277"/>
      <c r="U1227" s="278"/>
      <c r="V1227" s="103"/>
      <c r="W1227" s="84">
        <f t="shared" si="518"/>
        <v>61</v>
      </c>
      <c r="X1227" s="84"/>
      <c r="Y1227" s="78">
        <f>SUM(E1206:E1227)</f>
        <v>60</v>
      </c>
      <c r="Z1227" s="72" t="str">
        <f t="shared" si="516"/>
        <v/>
      </c>
      <c r="AA1227" s="72" t="str">
        <f t="shared" si="517"/>
        <v/>
      </c>
      <c r="AB1227" s="72"/>
      <c r="AC1227" s="72">
        <f t="shared" si="502"/>
        <v>1</v>
      </c>
      <c r="AD1227" s="72">
        <f t="shared" si="503"/>
        <v>1</v>
      </c>
      <c r="AE1227" s="109" t="str">
        <f t="shared" si="504"/>
        <v>0-0</v>
      </c>
      <c r="AF1227" s="109" t="str">
        <f t="shared" si="505"/>
        <v>Y</v>
      </c>
      <c r="AG1227" s="109" t="str">
        <f t="shared" si="506"/>
        <v>B</v>
      </c>
      <c r="AM1227" s="109">
        <f t="shared" si="507"/>
        <v>0</v>
      </c>
      <c r="AN1227" s="109">
        <f t="shared" si="508"/>
        <v>0</v>
      </c>
      <c r="AO1227" s="109" t="str">
        <f t="shared" si="509"/>
        <v/>
      </c>
      <c r="AQ1227" s="109" t="str">
        <f t="shared" si="510"/>
        <v/>
      </c>
      <c r="BA1227" s="229">
        <f>MOD(SUM(E1206:E1228),12)</f>
        <v>0</v>
      </c>
    </row>
    <row r="1228" spans="1:53" ht="15.75" thickBot="1" x14ac:dyDescent="0.3">
      <c r="A1228" s="88"/>
      <c r="B1228" s="66" t="s">
        <v>300</v>
      </c>
      <c r="C1228" s="67"/>
      <c r="D1228" s="102"/>
      <c r="E1228" s="32"/>
      <c r="F1228" s="32"/>
      <c r="G1228" s="68" t="s">
        <v>277</v>
      </c>
      <c r="H1228" s="69">
        <f t="shared" si="511"/>
        <v>0</v>
      </c>
      <c r="I1228" s="70">
        <f t="shared" si="512"/>
        <v>0</v>
      </c>
      <c r="J1228" s="73" t="str">
        <f t="shared" si="513"/>
        <v>--</v>
      </c>
      <c r="K1228" s="32"/>
      <c r="L1228" s="233"/>
      <c r="M1228" s="277"/>
      <c r="N1228" s="277"/>
      <c r="O1228" s="277"/>
      <c r="P1228" s="277"/>
      <c r="Q1228" s="277"/>
      <c r="R1228" s="277"/>
      <c r="S1228" s="277"/>
      <c r="T1228" s="277"/>
      <c r="U1228" s="278"/>
      <c r="V1228" s="103"/>
      <c r="W1228" s="84">
        <f t="shared" si="518"/>
        <v>61</v>
      </c>
      <c r="X1228" s="84"/>
      <c r="Y1228" s="78">
        <f>SUM(E1206:E1228)</f>
        <v>60</v>
      </c>
      <c r="Z1228" s="72" t="str">
        <f t="shared" si="516"/>
        <v/>
      </c>
      <c r="AA1228" s="72" t="str">
        <f t="shared" si="517"/>
        <v/>
      </c>
      <c r="AB1228" s="72"/>
      <c r="AC1228" s="72">
        <f t="shared" si="502"/>
        <v>1</v>
      </c>
      <c r="AD1228" s="72">
        <f t="shared" si="503"/>
        <v>1</v>
      </c>
      <c r="AE1228" s="109" t="str">
        <f t="shared" si="504"/>
        <v>0-0</v>
      </c>
      <c r="AF1228" s="109" t="str">
        <f t="shared" si="505"/>
        <v>Y</v>
      </c>
      <c r="AG1228" s="109" t="str">
        <f t="shared" si="506"/>
        <v>B</v>
      </c>
      <c r="AM1228" s="109">
        <f t="shared" si="507"/>
        <v>0</v>
      </c>
      <c r="AN1228" s="109">
        <f t="shared" si="508"/>
        <v>0</v>
      </c>
      <c r="AO1228" s="109" t="str">
        <f t="shared" si="509"/>
        <v/>
      </c>
      <c r="AQ1228" s="109" t="str">
        <f t="shared" si="510"/>
        <v/>
      </c>
      <c r="BA1228" s="229">
        <f>MOD(SUM(E1206:E1229),12)</f>
        <v>0</v>
      </c>
    </row>
    <row r="1229" spans="1:53" ht="15.75" thickBot="1" x14ac:dyDescent="0.3">
      <c r="A1229" s="88"/>
      <c r="B1229" s="66" t="s">
        <v>301</v>
      </c>
      <c r="C1229" s="67"/>
      <c r="D1229" s="102"/>
      <c r="E1229" s="32"/>
      <c r="F1229" s="32"/>
      <c r="G1229" s="68" t="s">
        <v>277</v>
      </c>
      <c r="H1229" s="69">
        <f t="shared" si="511"/>
        <v>0</v>
      </c>
      <c r="I1229" s="70">
        <f t="shared" si="512"/>
        <v>0</v>
      </c>
      <c r="J1229" s="73" t="str">
        <f t="shared" si="513"/>
        <v>--</v>
      </c>
      <c r="K1229" s="32"/>
      <c r="L1229" s="233"/>
      <c r="M1229" s="277"/>
      <c r="N1229" s="277"/>
      <c r="O1229" s="277"/>
      <c r="P1229" s="277"/>
      <c r="Q1229" s="277"/>
      <c r="R1229" s="277"/>
      <c r="S1229" s="277"/>
      <c r="T1229" s="277"/>
      <c r="U1229" s="278"/>
      <c r="V1229" s="103"/>
      <c r="W1229" s="84">
        <f t="shared" si="518"/>
        <v>61</v>
      </c>
      <c r="X1229" s="84"/>
      <c r="Y1229" s="78">
        <f>SUM(E1206:E1229)</f>
        <v>60</v>
      </c>
      <c r="Z1229" s="72" t="str">
        <f t="shared" si="516"/>
        <v/>
      </c>
      <c r="AA1229" s="72" t="str">
        <f t="shared" si="517"/>
        <v/>
      </c>
      <c r="AB1229" s="72"/>
      <c r="AC1229" s="72">
        <f t="shared" si="502"/>
        <v>1</v>
      </c>
      <c r="AD1229" s="72">
        <f t="shared" si="503"/>
        <v>1</v>
      </c>
      <c r="AE1229" s="109" t="str">
        <f t="shared" si="504"/>
        <v>0-0</v>
      </c>
      <c r="AF1229" s="109" t="str">
        <f t="shared" si="505"/>
        <v>Y</v>
      </c>
      <c r="AG1229" s="109" t="str">
        <f t="shared" si="506"/>
        <v>B</v>
      </c>
      <c r="AM1229" s="109">
        <f t="shared" si="507"/>
        <v>0</v>
      </c>
      <c r="AN1229" s="109">
        <f t="shared" si="508"/>
        <v>0</v>
      </c>
      <c r="AO1229" s="109" t="str">
        <f t="shared" si="509"/>
        <v/>
      </c>
      <c r="AQ1229" s="109" t="str">
        <f t="shared" si="510"/>
        <v/>
      </c>
      <c r="BA1229" s="229">
        <f>MOD(SUM(E1206:E1230),12)</f>
        <v>0</v>
      </c>
    </row>
    <row r="1230" spans="1:53" ht="15.75" thickBot="1" x14ac:dyDescent="0.3">
      <c r="A1230" s="88"/>
      <c r="B1230" s="66" t="s">
        <v>302</v>
      </c>
      <c r="C1230" s="67"/>
      <c r="D1230" s="102"/>
      <c r="E1230" s="32"/>
      <c r="F1230" s="32"/>
      <c r="G1230" s="68" t="s">
        <v>277</v>
      </c>
      <c r="H1230" s="69">
        <f t="shared" si="511"/>
        <v>0</v>
      </c>
      <c r="I1230" s="70">
        <f t="shared" si="512"/>
        <v>0</v>
      </c>
      <c r="J1230" s="73" t="str">
        <f t="shared" si="513"/>
        <v>--</v>
      </c>
      <c r="K1230" s="32"/>
      <c r="L1230" s="234"/>
      <c r="M1230" s="277"/>
      <c r="N1230" s="277"/>
      <c r="O1230" s="277"/>
      <c r="P1230" s="277"/>
      <c r="Q1230" s="277"/>
      <c r="R1230" s="277"/>
      <c r="S1230" s="277"/>
      <c r="T1230" s="277"/>
      <c r="U1230" s="278"/>
      <c r="V1230" s="103"/>
      <c r="W1230" s="72"/>
      <c r="X1230" s="72"/>
      <c r="Y1230" s="78">
        <f>SUM(E1206:E1230)</f>
        <v>60</v>
      </c>
      <c r="Z1230" s="72" t="str">
        <f t="shared" si="516"/>
        <v/>
      </c>
      <c r="AA1230" s="72" t="str">
        <f t="shared" si="517"/>
        <v/>
      </c>
      <c r="AB1230" s="72"/>
      <c r="AC1230" s="72">
        <f t="shared" si="502"/>
        <v>1</v>
      </c>
      <c r="AD1230" s="72">
        <f t="shared" si="503"/>
        <v>1</v>
      </c>
      <c r="AE1230" s="109" t="str">
        <f t="shared" si="504"/>
        <v>0-0</v>
      </c>
      <c r="AF1230" s="109" t="str">
        <f t="shared" si="505"/>
        <v>Y</v>
      </c>
      <c r="AG1230" s="109" t="str">
        <f t="shared" si="506"/>
        <v>B</v>
      </c>
      <c r="AM1230" s="109">
        <f t="shared" si="507"/>
        <v>0</v>
      </c>
      <c r="AN1230" s="109">
        <f t="shared" si="508"/>
        <v>0</v>
      </c>
      <c r="AO1230" s="109" t="str">
        <f t="shared" si="509"/>
        <v/>
      </c>
      <c r="AQ1230" s="109" t="str">
        <f t="shared" si="510"/>
        <v/>
      </c>
      <c r="BA1230" s="228"/>
    </row>
    <row r="1231" spans="1:53" ht="16.5" thickBot="1" x14ac:dyDescent="0.3">
      <c r="A1231" s="88"/>
      <c r="B1231" s="319" t="s">
        <v>363</v>
      </c>
      <c r="C1231" s="320"/>
      <c r="D1231" s="79"/>
      <c r="E1231" s="80"/>
      <c r="F1231" s="80"/>
      <c r="G1231" s="81"/>
      <c r="H1231" s="192"/>
      <c r="I1231" s="192"/>
      <c r="J1231" s="192"/>
      <c r="K1231" s="82"/>
      <c r="L1231" s="319" t="s">
        <v>306</v>
      </c>
      <c r="M1231" s="330"/>
      <c r="N1231" s="330"/>
      <c r="O1231" s="330"/>
      <c r="P1231" s="330"/>
      <c r="Q1231" s="330"/>
      <c r="R1231" s="330"/>
      <c r="S1231" s="330"/>
      <c r="T1231" s="330"/>
      <c r="U1231" s="320"/>
      <c r="V1231" s="104"/>
      <c r="W1231" s="72"/>
      <c r="X1231" s="72"/>
      <c r="Y1231" s="72"/>
      <c r="Z1231" s="72"/>
      <c r="AA1231" s="72" t="str">
        <f t="shared" si="517"/>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319" t="s">
        <v>307</v>
      </c>
      <c r="C1232" s="320"/>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17"/>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312" t="s">
        <v>222</v>
      </c>
      <c r="C1236" s="313"/>
      <c r="D1236" s="314" t="s">
        <v>223</v>
      </c>
      <c r="E1236" s="305"/>
      <c r="F1236" s="88"/>
      <c r="G1236" s="315" t="s">
        <v>224</v>
      </c>
      <c r="H1236" s="316"/>
      <c r="I1236" s="28">
        <f>SUM(E1247:E1271)</f>
        <v>120</v>
      </c>
      <c r="J1236" s="317" t="s">
        <v>225</v>
      </c>
      <c r="K1236" s="318"/>
      <c r="L1236" s="305"/>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5" t="s">
        <v>226</v>
      </c>
      <c r="AA1236" s="296"/>
      <c r="AB1236" s="297"/>
      <c r="AC1236" s="25"/>
      <c r="AD1236" s="25"/>
      <c r="AH1236" s="109">
        <v>2</v>
      </c>
      <c r="AI1236" s="109" t="str">
        <f>IF($E1237="SS",COUNTIFS($C1247:$C1271,"FST",$E1247:$E1271,"2"),"0")</f>
        <v>0</v>
      </c>
      <c r="AJ1236" s="109" t="str">
        <f>IF($E1237="RPX",COUNTIFS($C1247:$C1271,"FST",$E1247:$E1271,"2"),"0")</f>
        <v>0</v>
      </c>
      <c r="AK1236" s="109">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EUC</v>
      </c>
      <c r="F1237" s="88"/>
      <c r="G1237" s="304" t="s">
        <v>230</v>
      </c>
      <c r="H1237" s="305"/>
      <c r="I1237" s="33">
        <f>E1238-I1236</f>
        <v>24</v>
      </c>
      <c r="J1237" s="289" t="s">
        <v>231</v>
      </c>
      <c r="K1237" s="290"/>
      <c r="L1237" s="34">
        <f>I1241</f>
        <v>361</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298" t="s">
        <v>232</v>
      </c>
      <c r="AA1237" s="300" t="s">
        <v>233</v>
      </c>
      <c r="AB1237" s="301"/>
      <c r="AC1237" s="25"/>
      <c r="AD1237" s="25"/>
      <c r="AH1237" s="109">
        <v>4</v>
      </c>
      <c r="AI1237" s="109" t="str">
        <f>IF($E1237="SS",COUNTIFS($C1247:$C1271,"FST",$E1247:$E1271,"4"),"0")</f>
        <v>0</v>
      </c>
      <c r="AJ1237" s="109" t="str">
        <f>IF($E1237="RPX",COUNTIFS($C1247:$C1271,"FST",$E1247:$E1271,"4"),"0")</f>
        <v>0</v>
      </c>
      <c r="AK1237" s="109">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v>144</v>
      </c>
      <c r="F1238" s="88"/>
      <c r="G1238" s="291" t="s">
        <v>237</v>
      </c>
      <c r="H1238" s="292"/>
      <c r="I1238" s="35">
        <f>IF(E1238=0,0,12-(MOD(I1236,12)))</f>
        <v>12</v>
      </c>
      <c r="J1238" s="289" t="s">
        <v>238</v>
      </c>
      <c r="K1238" s="290"/>
      <c r="L1238" s="39">
        <f>I1242-I1236</f>
        <v>360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299"/>
      <c r="AA1238" s="302"/>
      <c r="AB1238" s="303"/>
      <c r="AC1238" s="25"/>
      <c r="AD1238" s="25"/>
      <c r="AH1238" s="109">
        <v>6</v>
      </c>
      <c r="AI1238" s="109" t="str">
        <f>IF($E1237="SS",COUNTIFS($C1247:$C1271,"FST",$E1247:$E1271,"6"),"0")</f>
        <v>0</v>
      </c>
      <c r="AJ1238" s="109" t="str">
        <f>IF($E1237="RPX",COUNTIFS($C1247:$C1271,"FST",$E1247:$E1271,"6"),"0")</f>
        <v>0</v>
      </c>
      <c r="AK1238" s="109">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v>24</v>
      </c>
      <c r="F1239" s="88"/>
      <c r="G1239" s="321" t="s">
        <v>242</v>
      </c>
      <c r="H1239" s="43" t="s">
        <v>243</v>
      </c>
      <c r="I1239" s="35">
        <f>IF(E1239&lt;&gt;0,1,0)</f>
        <v>1</v>
      </c>
      <c r="J1239" s="291" t="s">
        <v>244</v>
      </c>
      <c r="K1239" s="292"/>
      <c r="L1239" s="44">
        <f>'Cable Calculator'!EX3</f>
        <v>1369</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v>361</v>
      </c>
      <c r="F1240" s="88"/>
      <c r="G1240" s="322"/>
      <c r="H1240" s="47" t="s">
        <v>248</v>
      </c>
      <c r="I1240" s="35">
        <f>IF(E1239&lt;&gt;0,E1239,0)</f>
        <v>24</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f>IF($E1237="EUC",SUM(AK1240,AL1251,AM1272,AO1272,AQ1272),"0")</f>
        <v>2</v>
      </c>
      <c r="V1240" s="35">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12</v>
      </c>
      <c r="F1241" s="88"/>
      <c r="G1241" s="321" t="s">
        <v>251</v>
      </c>
      <c r="H1241" s="51" t="s">
        <v>252</v>
      </c>
      <c r="I1241" s="112">
        <f>E1240</f>
        <v>361</v>
      </c>
      <c r="J1241" s="323" t="s">
        <v>253</v>
      </c>
      <c r="K1241" s="324"/>
      <c r="L1241" s="325"/>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N</v>
      </c>
      <c r="F1242" s="88"/>
      <c r="G1242" s="322"/>
      <c r="H1242" s="47" t="s">
        <v>257</v>
      </c>
      <c r="I1242" s="35">
        <f>IF(E1240="","0",IF(AND(E1237="EUC",E1238=432), I1241+(203-E1239),IF(E1240=0,0,(E1240+(E1238-E1239)-1))))</f>
        <v>480</v>
      </c>
      <c r="J1242" s="285" t="str">
        <f>IFERROR(IF(OR(E1237="EUC",E1237="SS"),"---",IF(OR(P1236,S1236),"NO 2F Tethers for RPX!",IF(OR(P1238,S1238),"NO 6F Tethers for RPX!","---"))),"---")</f>
        <v>---</v>
      </c>
      <c r="K1242" s="286"/>
      <c r="L1242" s="287"/>
      <c r="M1242" s="285" t="str">
        <f>IF(E1239&gt;60,"Dead Count &gt;60: Consider Downsize","---")</f>
        <v>---</v>
      </c>
      <c r="N1242" s="286"/>
      <c r="O1242" s="286"/>
      <c r="P1242" s="286"/>
      <c r="Q1242" s="286"/>
      <c r="R1242" s="286"/>
      <c r="S1242" s="286"/>
      <c r="T1242" s="286"/>
      <c r="U1242" s="287"/>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120</v>
      </c>
      <c r="D1243" s="31" t="s">
        <v>259</v>
      </c>
      <c r="E1243" s="101" t="str">
        <f>IF(AS1237="Y","DBL",IF(AS1238="Y","TRPL",IF(AS1239="Y","QUAD","")))</f>
        <v/>
      </c>
      <c r="F1243" s="88"/>
      <c r="G1243" s="192"/>
      <c r="H1243" s="57"/>
      <c r="I1243" s="192"/>
      <c r="J1243" s="285"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86"/>
      <c r="L1243" s="287"/>
      <c r="M1243" s="285" t="str">
        <f>IF(AND(OR(E1237="SS",E1237="RPX",E1237="EUC",E1237="RPX-T"),(OR(C1247="",C1247="Field SPL"))),"Cannot have FlexNap cables without tethers","---")</f>
        <v>---</v>
      </c>
      <c r="N1243" s="286"/>
      <c r="O1243" s="286"/>
      <c r="P1243" s="286"/>
      <c r="Q1243" s="286"/>
      <c r="R1243" s="286"/>
      <c r="S1243" s="286"/>
      <c r="T1243" s="286"/>
      <c r="U1243" s="287"/>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85" t="str">
        <f>IF(AND(OR(E1237="RPX", E1237="RPX-T", E1237="SS"),E1238=216),"NO 216 For RPX, RPX-T, OR SS CABLE","---")</f>
        <v>---</v>
      </c>
      <c r="K1244" s="286"/>
      <c r="L1244" s="287"/>
      <c r="M1244" s="285" t="str" cm="1">
        <f t="array" ref="M1244">IF(AND(E1237="",OR(C1247:C1271="FST",C1247:C1271="REV T",C1247:C1271="DBL REV",C1247:C1271="TPL REV", C1247:C1271="QD REV")),"Non-FlexNap cables cannot have tethers","---")</f>
        <v>---</v>
      </c>
      <c r="N1244" s="286"/>
      <c r="O1244" s="286"/>
      <c r="P1244" s="286"/>
      <c r="Q1244" s="286"/>
      <c r="R1244" s="286"/>
      <c r="S1244" s="286"/>
      <c r="T1244" s="286"/>
      <c r="U1244" s="287"/>
      <c r="V1244" s="25"/>
      <c r="W1244" s="58"/>
      <c r="X1244" s="58"/>
      <c r="Y1244" s="25"/>
      <c r="Z1244" s="45">
        <v>6</v>
      </c>
      <c r="AA1244" s="65">
        <v>61</v>
      </c>
      <c r="AB1244" s="65">
        <v>72</v>
      </c>
      <c r="AC1244" s="25"/>
      <c r="AD1244" s="25"/>
      <c r="BA1244" s="226"/>
    </row>
    <row r="1245" spans="1:53" ht="15.75" customHeight="1" thickBot="1" x14ac:dyDescent="0.3">
      <c r="A1245" s="88"/>
      <c r="B1245" s="321" t="s">
        <v>260</v>
      </c>
      <c r="C1245" s="293" t="s">
        <v>261</v>
      </c>
      <c r="D1245" s="293" t="s">
        <v>262</v>
      </c>
      <c r="E1245" s="306" t="s">
        <v>263</v>
      </c>
      <c r="F1245" s="293" t="s">
        <v>264</v>
      </c>
      <c r="G1245" s="308" t="s">
        <v>265</v>
      </c>
      <c r="H1245" s="308" t="s">
        <v>266</v>
      </c>
      <c r="I1245" s="308" t="s">
        <v>267</v>
      </c>
      <c r="J1245" s="310" t="s">
        <v>268</v>
      </c>
      <c r="K1245" s="293" t="s">
        <v>269</v>
      </c>
      <c r="L1245" s="279" t="s">
        <v>270</v>
      </c>
      <c r="M1245" s="281" t="s">
        <v>271</v>
      </c>
      <c r="N1245" s="281"/>
      <c r="O1245" s="281"/>
      <c r="P1245" s="281"/>
      <c r="Q1245" s="281"/>
      <c r="R1245" s="281"/>
      <c r="S1245" s="281"/>
      <c r="T1245" s="281"/>
      <c r="U1245" s="282"/>
      <c r="V1245" s="107"/>
      <c r="W1245" s="72"/>
      <c r="X1245" s="72"/>
      <c r="Y1245" s="72"/>
      <c r="Z1245" s="45">
        <v>7</v>
      </c>
      <c r="AA1245" s="65">
        <v>73</v>
      </c>
      <c r="AB1245" s="65">
        <v>84</v>
      </c>
      <c r="AC1245" s="25"/>
      <c r="AD1245" s="25"/>
      <c r="BA1245" s="228"/>
    </row>
    <row r="1246" spans="1:53" ht="15.75" thickBot="1" x14ac:dyDescent="0.3">
      <c r="A1246" s="88"/>
      <c r="B1246" s="322"/>
      <c r="C1246" s="294"/>
      <c r="D1246" s="294"/>
      <c r="E1246" s="307"/>
      <c r="F1246" s="294"/>
      <c r="G1246" s="309"/>
      <c r="H1246" s="309"/>
      <c r="I1246" s="309"/>
      <c r="J1246" s="311"/>
      <c r="K1246" s="294"/>
      <c r="L1246" s="280"/>
      <c r="M1246" s="283"/>
      <c r="N1246" s="283"/>
      <c r="O1246" s="283"/>
      <c r="P1246" s="283"/>
      <c r="Q1246" s="283"/>
      <c r="R1246" s="283"/>
      <c r="S1246" s="283"/>
      <c r="T1246" s="283"/>
      <c r="U1246" s="284"/>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t="s">
        <v>494</v>
      </c>
      <c r="D1247" s="102"/>
      <c r="E1247" s="32">
        <v>12</v>
      </c>
      <c r="F1247" s="32"/>
      <c r="G1247" s="68" t="s">
        <v>277</v>
      </c>
      <c r="H1247" s="69">
        <f>IF(I1247=0,0,I1247-(E1247-1))</f>
        <v>469</v>
      </c>
      <c r="I1247" s="70">
        <f>IF(E1247=0,0,I1242)</f>
        <v>480</v>
      </c>
      <c r="J1247" s="71" t="s">
        <v>278</v>
      </c>
      <c r="K1247" s="32"/>
      <c r="L1247" s="233"/>
      <c r="M1247" s="277" t="s">
        <v>431</v>
      </c>
      <c r="N1247" s="277"/>
      <c r="O1247" s="277"/>
      <c r="P1247" s="277"/>
      <c r="Q1247" s="277"/>
      <c r="R1247" s="277"/>
      <c r="S1247" s="277"/>
      <c r="T1247" s="277"/>
      <c r="U1247" s="278"/>
      <c r="V1247" s="103"/>
      <c r="W1247" s="72"/>
      <c r="X1247" s="72"/>
      <c r="Y1247" s="72"/>
      <c r="Z1247" s="45">
        <v>9</v>
      </c>
      <c r="AA1247" s="46">
        <v>97</v>
      </c>
      <c r="AB1247" s="46">
        <v>108</v>
      </c>
      <c r="AC1247" s="72">
        <f t="shared" ref="AC1247:AC1271" si="519">IF(B1247&lt;&gt;"FST",1,0)</f>
        <v>1</v>
      </c>
      <c r="AD1247" s="72">
        <f t="shared" ref="AD1247:AD1271" si="520">IF(C1247&lt;&gt;"FST",1,0)</f>
        <v>1</v>
      </c>
      <c r="AE1247" s="109" t="str">
        <f t="shared" ref="AE1247:AE1271" si="521">CONCATENATE(H1247,"-",I1247)</f>
        <v>469-480</v>
      </c>
      <c r="AF1247" s="109" t="str">
        <f t="shared" ref="AF1247:AF1271" si="522">IF(C1247="Field SPL","N","Y")</f>
        <v>Y</v>
      </c>
      <c r="AG1247" s="109" t="str">
        <f t="shared" ref="AG1247:AG1271" si="523">IF(OR(E$1237="RPX",E$1237="SS"),"A","B")</f>
        <v>B</v>
      </c>
      <c r="AH1247" s="109">
        <v>2</v>
      </c>
      <c r="AI1247" s="109" t="str">
        <f>IF(E1237="SS",COUNTIFS(C1247:C1271,"TCF",E1247:E1271,"2"),"")</f>
        <v/>
      </c>
      <c r="AJ1247" s="109" t="str">
        <f>IF(E1237="RPX",COUNTIFS(C1247:C1271,"TCF",E1247:E1271,"2"),"")</f>
        <v/>
      </c>
      <c r="AK1247" s="109" t="str">
        <f>IF(E1237="RPX-T",COUNTIFS(C1247:C1271,"TCF",E1247:E1271,"2"),"")</f>
        <v/>
      </c>
      <c r="AL1247" s="109">
        <f>IF(E1237="EUC",COUNTIFS(C1247:C1271,"TCF",E1247:E1271,"2"),"")</f>
        <v>0</v>
      </c>
      <c r="AM1247" s="109">
        <f t="shared" ref="AM1247:AM1271" si="524">VALUE(IF(C1247="FST","0",IF(C1247="REV T","1",IF(C1247="DBL REV",".5","0"))))</f>
        <v>1</v>
      </c>
      <c r="AN1247" s="109">
        <f t="shared" ref="AN1247:AN1271" si="525">VALUE(IF(C1247="FST","0",IF(C1247="REV T","0",IF(C1247="DBL REV",".5","0"))))</f>
        <v>0</v>
      </c>
      <c r="AO1247" s="109" t="str">
        <f t="shared" ref="AO1247:AO1271" si="526">IF(C1247="TPL REV","Y","")</f>
        <v/>
      </c>
      <c r="AQ1247" s="109" t="str">
        <f t="shared" ref="AQ1247:AQ1271" si="527">IF(C1247="QD REV","Y","")</f>
        <v/>
      </c>
      <c r="BA1247" s="229">
        <f>MOD(E1247,12)</f>
        <v>0</v>
      </c>
    </row>
    <row r="1248" spans="1:53" ht="15.75" thickBot="1" x14ac:dyDescent="0.3">
      <c r="A1248" s="88"/>
      <c r="B1248" s="66" t="s">
        <v>279</v>
      </c>
      <c r="C1248" s="67" t="s">
        <v>494</v>
      </c>
      <c r="D1248" s="102"/>
      <c r="E1248" s="32">
        <v>12</v>
      </c>
      <c r="F1248" s="32"/>
      <c r="G1248" s="68" t="s">
        <v>277</v>
      </c>
      <c r="H1248" s="69">
        <f t="shared" ref="H1248:H1271" si="528">IF(E1248=0,0,I1248-(E1248-1))</f>
        <v>457</v>
      </c>
      <c r="I1248" s="70">
        <f t="shared" ref="I1248:I1271" si="529">IF(E1248=0,0,H1247-1)</f>
        <v>468</v>
      </c>
      <c r="J1248" s="73" t="str">
        <f>IF(C1248="","--",IF(AND(C1248&lt;&gt;"FST",C1248&lt;&gt;"TCF",BA1247&lt;&gt;0),BA1247,"--"))</f>
        <v>--</v>
      </c>
      <c r="K1248" s="32"/>
      <c r="L1248" s="233"/>
      <c r="M1248" s="277" t="s">
        <v>426</v>
      </c>
      <c r="N1248" s="277"/>
      <c r="O1248" s="277"/>
      <c r="P1248" s="277"/>
      <c r="Q1248" s="277"/>
      <c r="R1248" s="277"/>
      <c r="S1248" s="277"/>
      <c r="T1248" s="277"/>
      <c r="U1248" s="278"/>
      <c r="V1248" s="103"/>
      <c r="W1248" s="72"/>
      <c r="X1248" s="72"/>
      <c r="Y1248" s="72"/>
      <c r="Z1248" s="45">
        <v>10</v>
      </c>
      <c r="AA1248" s="46">
        <v>109</v>
      </c>
      <c r="AB1248" s="46">
        <v>120</v>
      </c>
      <c r="AC1248" s="72">
        <f t="shared" si="519"/>
        <v>1</v>
      </c>
      <c r="AD1248" s="72">
        <f t="shared" si="520"/>
        <v>1</v>
      </c>
      <c r="AE1248" s="109" t="str">
        <f t="shared" si="521"/>
        <v>457-468</v>
      </c>
      <c r="AF1248" s="109" t="str">
        <f t="shared" si="522"/>
        <v>Y</v>
      </c>
      <c r="AG1248" s="109" t="str">
        <f t="shared" si="523"/>
        <v>B</v>
      </c>
      <c r="AH1248" s="109">
        <v>4</v>
      </c>
      <c r="AI1248" s="109" t="str">
        <f>IF(E1237="SS",COUNTIFS(C1247:C1271,"TCF",E1247:E1271,"4"),"")</f>
        <v/>
      </c>
      <c r="AJ1248" s="109" t="str">
        <f>IF(E1237="RPX",COUNTIFS(C1247:C1271,"TCF",E1247:E1271,"4"),"")</f>
        <v/>
      </c>
      <c r="AK1248" s="109" t="str">
        <f>IF(E1237="RPX-T",COUNTIFS(C1247:C1271,"TCF",E1247:E1271,"4"),"")</f>
        <v/>
      </c>
      <c r="AL1248" s="109">
        <f>IF(E1237="EUC",COUNTIFS(C1247:C1271,"TCF",E1247:E1271,"4"),"")</f>
        <v>0</v>
      </c>
      <c r="AM1248" s="109">
        <f t="shared" si="524"/>
        <v>1</v>
      </c>
      <c r="AN1248" s="109">
        <f t="shared" si="525"/>
        <v>0</v>
      </c>
      <c r="AO1248" s="109" t="str">
        <f t="shared" si="526"/>
        <v/>
      </c>
      <c r="AQ1248" s="109" t="str">
        <f t="shared" si="527"/>
        <v/>
      </c>
      <c r="BA1248" s="229">
        <f>MOD(SUM(E1247:E1248),12)</f>
        <v>0</v>
      </c>
    </row>
    <row r="1249" spans="1:53" ht="15.75" thickBot="1" x14ac:dyDescent="0.3">
      <c r="A1249" s="88"/>
      <c r="B1249" s="74" t="s">
        <v>280</v>
      </c>
      <c r="C1249" s="67" t="s">
        <v>502</v>
      </c>
      <c r="D1249" s="102"/>
      <c r="E1249" s="32">
        <v>96</v>
      </c>
      <c r="F1249" s="32"/>
      <c r="G1249" s="75" t="s">
        <v>277</v>
      </c>
      <c r="H1249" s="69">
        <f t="shared" si="528"/>
        <v>361</v>
      </c>
      <c r="I1249" s="70">
        <f t="shared" si="529"/>
        <v>456</v>
      </c>
      <c r="J1249" s="73" t="str">
        <f t="shared" ref="J1249:J1271" si="530">IF(C1249="","--",IF(AND(C1249&lt;&gt;"FST",C1249&lt;&gt;"TCF",BA1248&lt;&gt;0),BA1248,"--"))</f>
        <v>--</v>
      </c>
      <c r="K1249" s="32"/>
      <c r="L1249" s="233"/>
      <c r="M1249" s="277" t="s">
        <v>427</v>
      </c>
      <c r="N1249" s="277"/>
      <c r="O1249" s="277"/>
      <c r="P1249" s="277"/>
      <c r="Q1249" s="277"/>
      <c r="R1249" s="277"/>
      <c r="S1249" s="277"/>
      <c r="T1249" s="277"/>
      <c r="U1249" s="278"/>
      <c r="V1249" s="103"/>
      <c r="W1249" s="72"/>
      <c r="X1249" s="72"/>
      <c r="Y1249" s="72"/>
      <c r="Z1249" s="45">
        <v>11</v>
      </c>
      <c r="AA1249" s="46">
        <v>121</v>
      </c>
      <c r="AB1249" s="46">
        <v>132</v>
      </c>
      <c r="AC1249" s="72">
        <f t="shared" si="519"/>
        <v>1</v>
      </c>
      <c r="AD1249" s="72">
        <f t="shared" si="520"/>
        <v>1</v>
      </c>
      <c r="AE1249" s="109" t="str">
        <f t="shared" si="521"/>
        <v>361-456</v>
      </c>
      <c r="AF1249" s="109" t="str">
        <f t="shared" si="522"/>
        <v>N</v>
      </c>
      <c r="AG1249" s="109" t="str">
        <f t="shared" si="523"/>
        <v>B</v>
      </c>
      <c r="AH1249" s="109">
        <v>6</v>
      </c>
      <c r="AI1249" s="109" t="str">
        <f>IF(E1237="SS",COUNTIFS(C1247:C1271,"TCF",E1247:E1271,"6"),"")</f>
        <v/>
      </c>
      <c r="AJ1249" s="109" t="str">
        <f>IF(E1237="RPX",COUNTIFS(C1247:C1271,"TCF",E1247:E1271,"6"),"")</f>
        <v/>
      </c>
      <c r="AK1249" s="109" t="str">
        <f>IF(E1237="RPX-T",COUNTIFS(C1247:C1271,"TCF",E1247:E1271,"6"),"")</f>
        <v/>
      </c>
      <c r="AL1249" s="109">
        <f>IF(E1237="EUC",COUNTIFS(C1247:C1271,"TCF",E1247:E1271,"6"),"")</f>
        <v>0</v>
      </c>
      <c r="AM1249" s="109">
        <f t="shared" si="524"/>
        <v>0</v>
      </c>
      <c r="AN1249" s="109">
        <f t="shared" si="525"/>
        <v>0</v>
      </c>
      <c r="AO1249" s="109" t="str">
        <f t="shared" si="526"/>
        <v/>
      </c>
      <c r="AQ1249" s="109" t="str">
        <f t="shared" si="527"/>
        <v/>
      </c>
      <c r="BA1249" s="229">
        <f>MOD(SUM(E1247:E1250),12)</f>
        <v>0</v>
      </c>
    </row>
    <row r="1250" spans="1:53" ht="15.75" thickBot="1" x14ac:dyDescent="0.3">
      <c r="A1250" s="88"/>
      <c r="B1250" s="66" t="s">
        <v>281</v>
      </c>
      <c r="C1250" s="67"/>
      <c r="D1250" s="102"/>
      <c r="E1250" s="32"/>
      <c r="F1250" s="32"/>
      <c r="G1250" s="68" t="s">
        <v>277</v>
      </c>
      <c r="H1250" s="69">
        <f t="shared" si="528"/>
        <v>0</v>
      </c>
      <c r="I1250" s="70">
        <f t="shared" si="529"/>
        <v>0</v>
      </c>
      <c r="J1250" s="73" t="str">
        <f t="shared" si="530"/>
        <v>--</v>
      </c>
      <c r="K1250" s="32"/>
      <c r="L1250" s="233"/>
      <c r="M1250" s="277"/>
      <c r="N1250" s="277"/>
      <c r="O1250" s="277"/>
      <c r="P1250" s="277"/>
      <c r="Q1250" s="277"/>
      <c r="R1250" s="277"/>
      <c r="S1250" s="277"/>
      <c r="T1250" s="277"/>
      <c r="U1250" s="278"/>
      <c r="V1250" s="103"/>
      <c r="W1250" s="72"/>
      <c r="X1250" s="72"/>
      <c r="Y1250" s="72"/>
      <c r="Z1250" s="45">
        <v>12</v>
      </c>
      <c r="AA1250" s="76">
        <v>133</v>
      </c>
      <c r="AB1250" s="76">
        <v>144</v>
      </c>
      <c r="AC1250" s="72">
        <f t="shared" si="519"/>
        <v>1</v>
      </c>
      <c r="AD1250" s="72">
        <f t="shared" si="520"/>
        <v>1</v>
      </c>
      <c r="AE1250" s="109" t="str">
        <f t="shared" si="521"/>
        <v>0-0</v>
      </c>
      <c r="AF1250" s="109" t="str">
        <f t="shared" si="522"/>
        <v>Y</v>
      </c>
      <c r="AG1250" s="109" t="str">
        <f t="shared" si="523"/>
        <v>B</v>
      </c>
      <c r="AH1250" s="109">
        <v>8</v>
      </c>
      <c r="AI1250" s="109" t="str">
        <f>IF(E1237="SS",COUNTIFS(C1247:C1271,"TCF",E1247:E1271,"8"),"")</f>
        <v/>
      </c>
      <c r="AJ1250" s="109" t="str">
        <f>IF(E1237="RPX",COUNTIFS(C1247:C1271,"TCF",E1247:E1271,"8"),"")</f>
        <v/>
      </c>
      <c r="AK1250" s="109" t="str">
        <f>IF(E1237="RPX-T",COUNTIFS(C1247:C1271,"TCF",E1247:E1271,"8"),"")</f>
        <v/>
      </c>
      <c r="AL1250" s="109">
        <f>IF(E1237="EUC",COUNTIFS(C1247:C1271,"TCF",E1247:E1271,"8"),"")</f>
        <v>0</v>
      </c>
      <c r="AM1250" s="109">
        <f t="shared" si="524"/>
        <v>0</v>
      </c>
      <c r="AN1250" s="109">
        <f t="shared" si="525"/>
        <v>0</v>
      </c>
      <c r="AO1250" s="109" t="str">
        <f t="shared" si="526"/>
        <v/>
      </c>
      <c r="AQ1250" s="109" t="str">
        <f t="shared" si="527"/>
        <v/>
      </c>
      <c r="BA1250" s="229">
        <f>MOD(SUM(E1247:E1251),12)</f>
        <v>0</v>
      </c>
    </row>
    <row r="1251" spans="1:53" ht="15.75" thickBot="1" x14ac:dyDescent="0.3">
      <c r="A1251" s="88"/>
      <c r="B1251" s="66" t="s">
        <v>282</v>
      </c>
      <c r="C1251" s="67"/>
      <c r="D1251" s="102"/>
      <c r="E1251" s="32"/>
      <c r="F1251" s="32"/>
      <c r="G1251" s="68" t="s">
        <v>277</v>
      </c>
      <c r="H1251" s="69">
        <f t="shared" si="528"/>
        <v>0</v>
      </c>
      <c r="I1251" s="70">
        <f t="shared" si="529"/>
        <v>0</v>
      </c>
      <c r="J1251" s="73" t="str">
        <f t="shared" si="530"/>
        <v>--</v>
      </c>
      <c r="K1251" s="32"/>
      <c r="L1251" s="233"/>
      <c r="M1251" s="277"/>
      <c r="N1251" s="277"/>
      <c r="O1251" s="277"/>
      <c r="P1251" s="277"/>
      <c r="Q1251" s="277"/>
      <c r="R1251" s="277"/>
      <c r="S1251" s="277"/>
      <c r="T1251" s="277"/>
      <c r="U1251" s="278"/>
      <c r="V1251" s="103"/>
      <c r="W1251" s="72"/>
      <c r="X1251" s="72"/>
      <c r="Y1251" s="72"/>
      <c r="Z1251" s="45">
        <v>13</v>
      </c>
      <c r="AA1251" s="77">
        <f t="shared" ref="AA1251:AA1256" si="531">AB1250+1</f>
        <v>145</v>
      </c>
      <c r="AB1251" s="77">
        <f t="shared" ref="AB1251:AB1256" si="532">AB1250+12</f>
        <v>156</v>
      </c>
      <c r="AC1251" s="72">
        <f t="shared" si="519"/>
        <v>1</v>
      </c>
      <c r="AD1251" s="72">
        <f t="shared" si="520"/>
        <v>1</v>
      </c>
      <c r="AE1251" s="109" t="str">
        <f t="shared" si="521"/>
        <v>0-0</v>
      </c>
      <c r="AF1251" s="109" t="str">
        <f t="shared" si="522"/>
        <v>Y</v>
      </c>
      <c r="AG1251" s="109" t="str">
        <f t="shared" si="523"/>
        <v>B</v>
      </c>
      <c r="AH1251" s="109">
        <v>12</v>
      </c>
      <c r="AI1251" s="109" t="str">
        <f>IF(E1237="SS",COUNTIFS(C1247:C1271,"TCF",E1247:E1271,"12"),"")</f>
        <v/>
      </c>
      <c r="AJ1251" s="109" t="str">
        <f>IF(E1237="RPX",COUNTIFS(C1247:C1271,"TCF",E1247:E1271,"12"),"")</f>
        <v/>
      </c>
      <c r="AK1251" s="109" t="str">
        <f>IF(E1237="RPX-T",COUNTIFS(C1247:C1271,"TCF",E1247:E1271,"12"),"")</f>
        <v/>
      </c>
      <c r="AL1251" s="109">
        <f>IF(E1237="EUC",COUNTIFS(C1247:C1271,"TCF",E1247:E1271,"12"),"")</f>
        <v>0</v>
      </c>
      <c r="AM1251" s="109">
        <f t="shared" si="524"/>
        <v>0</v>
      </c>
      <c r="AN1251" s="109">
        <f t="shared" si="525"/>
        <v>0</v>
      </c>
      <c r="AO1251" s="109" t="str">
        <f t="shared" si="526"/>
        <v/>
      </c>
      <c r="AQ1251" s="109" t="str">
        <f t="shared" si="527"/>
        <v/>
      </c>
      <c r="BA1251" s="229">
        <f>MOD(SUM(E1247:E1252),12)</f>
        <v>0</v>
      </c>
    </row>
    <row r="1252" spans="1:53" ht="15.75" thickBot="1" x14ac:dyDescent="0.3">
      <c r="A1252" s="88"/>
      <c r="B1252" s="66" t="s">
        <v>283</v>
      </c>
      <c r="C1252" s="67"/>
      <c r="D1252" s="102"/>
      <c r="E1252" s="32"/>
      <c r="F1252" s="32"/>
      <c r="G1252" s="68" t="s">
        <v>277</v>
      </c>
      <c r="H1252" s="69">
        <f t="shared" si="528"/>
        <v>0</v>
      </c>
      <c r="I1252" s="70">
        <f t="shared" si="529"/>
        <v>0</v>
      </c>
      <c r="J1252" s="73" t="str">
        <f t="shared" si="530"/>
        <v>--</v>
      </c>
      <c r="K1252" s="32"/>
      <c r="L1252" s="233"/>
      <c r="M1252" s="277"/>
      <c r="N1252" s="277"/>
      <c r="O1252" s="277"/>
      <c r="P1252" s="277"/>
      <c r="Q1252" s="277"/>
      <c r="R1252" s="277"/>
      <c r="S1252" s="277"/>
      <c r="T1252" s="277"/>
      <c r="U1252" s="278"/>
      <c r="V1252" s="103"/>
      <c r="W1252" s="72"/>
      <c r="X1252" s="72"/>
      <c r="Y1252" s="72"/>
      <c r="Z1252" s="45">
        <v>14</v>
      </c>
      <c r="AA1252" s="77">
        <f t="shared" si="531"/>
        <v>157</v>
      </c>
      <c r="AB1252" s="77">
        <f t="shared" si="532"/>
        <v>168</v>
      </c>
      <c r="AC1252" s="72">
        <f t="shared" si="519"/>
        <v>1</v>
      </c>
      <c r="AD1252" s="72">
        <f t="shared" si="520"/>
        <v>1</v>
      </c>
      <c r="AE1252" s="109" t="str">
        <f t="shared" si="521"/>
        <v>0-0</v>
      </c>
      <c r="AF1252" s="109" t="str">
        <f t="shared" si="522"/>
        <v>Y</v>
      </c>
      <c r="AG1252" s="109" t="str">
        <f t="shared" si="523"/>
        <v>B</v>
      </c>
      <c r="AM1252" s="109">
        <f t="shared" si="524"/>
        <v>0</v>
      </c>
      <c r="AN1252" s="109">
        <f t="shared" si="525"/>
        <v>0</v>
      </c>
      <c r="AO1252" s="109" t="str">
        <f t="shared" si="526"/>
        <v/>
      </c>
      <c r="AQ1252" s="109" t="str">
        <f t="shared" si="527"/>
        <v/>
      </c>
      <c r="BA1252" s="229">
        <f>MOD(SUM(E1247:E1253),12)</f>
        <v>0</v>
      </c>
    </row>
    <row r="1253" spans="1:53" ht="15.75" thickBot="1" x14ac:dyDescent="0.3">
      <c r="A1253" s="88"/>
      <c r="B1253" s="66" t="s">
        <v>284</v>
      </c>
      <c r="C1253" s="67"/>
      <c r="D1253" s="102"/>
      <c r="E1253" s="32"/>
      <c r="F1253" s="32"/>
      <c r="G1253" s="68" t="s">
        <v>277</v>
      </c>
      <c r="H1253" s="69">
        <f t="shared" si="528"/>
        <v>0</v>
      </c>
      <c r="I1253" s="70">
        <f t="shared" si="529"/>
        <v>0</v>
      </c>
      <c r="J1253" s="73" t="str">
        <f t="shared" si="530"/>
        <v>--</v>
      </c>
      <c r="K1253" s="32"/>
      <c r="L1253" s="233"/>
      <c r="M1253" s="277"/>
      <c r="N1253" s="277"/>
      <c r="O1253" s="277"/>
      <c r="P1253" s="277"/>
      <c r="Q1253" s="277"/>
      <c r="R1253" s="277"/>
      <c r="S1253" s="277"/>
      <c r="T1253" s="277"/>
      <c r="U1253" s="278"/>
      <c r="V1253" s="103"/>
      <c r="W1253" s="72"/>
      <c r="X1253" s="72"/>
      <c r="Y1253" s="72"/>
      <c r="Z1253" s="45">
        <v>15</v>
      </c>
      <c r="AA1253" s="77">
        <f t="shared" si="531"/>
        <v>169</v>
      </c>
      <c r="AB1253" s="77">
        <f t="shared" si="532"/>
        <v>180</v>
      </c>
      <c r="AC1253" s="72">
        <f t="shared" si="519"/>
        <v>1</v>
      </c>
      <c r="AD1253" s="72">
        <f t="shared" si="520"/>
        <v>1</v>
      </c>
      <c r="AE1253" s="109" t="str">
        <f t="shared" si="521"/>
        <v>0-0</v>
      </c>
      <c r="AF1253" s="109" t="str">
        <f t="shared" si="522"/>
        <v>Y</v>
      </c>
      <c r="AG1253" s="109" t="str">
        <f t="shared" si="523"/>
        <v>B</v>
      </c>
      <c r="AM1253" s="109">
        <f t="shared" si="524"/>
        <v>0</v>
      </c>
      <c r="AN1253" s="109">
        <f t="shared" si="525"/>
        <v>0</v>
      </c>
      <c r="AO1253" s="109" t="str">
        <f t="shared" si="526"/>
        <v/>
      </c>
      <c r="AQ1253" s="109" t="str">
        <f t="shared" si="527"/>
        <v/>
      </c>
      <c r="BA1253" s="229">
        <f>MOD(SUM(E1247:E1254),12)</f>
        <v>0</v>
      </c>
    </row>
    <row r="1254" spans="1:53" ht="15.75" thickBot="1" x14ac:dyDescent="0.3">
      <c r="A1254" s="88"/>
      <c r="B1254" s="66" t="s">
        <v>285</v>
      </c>
      <c r="C1254" s="67"/>
      <c r="D1254" s="102"/>
      <c r="E1254" s="32"/>
      <c r="F1254" s="32"/>
      <c r="G1254" s="68" t="s">
        <v>277</v>
      </c>
      <c r="H1254" s="69">
        <f t="shared" si="528"/>
        <v>0</v>
      </c>
      <c r="I1254" s="70">
        <f t="shared" si="529"/>
        <v>0</v>
      </c>
      <c r="J1254" s="73" t="str">
        <f t="shared" si="530"/>
        <v>--</v>
      </c>
      <c r="K1254" s="32"/>
      <c r="L1254" s="233"/>
      <c r="M1254" s="277"/>
      <c r="N1254" s="277"/>
      <c r="O1254" s="277"/>
      <c r="P1254" s="277"/>
      <c r="Q1254" s="277"/>
      <c r="R1254" s="277"/>
      <c r="S1254" s="277"/>
      <c r="T1254" s="277"/>
      <c r="U1254" s="278"/>
      <c r="V1254" s="103"/>
      <c r="W1254" s="72"/>
      <c r="X1254" s="72"/>
      <c r="Y1254" s="72"/>
      <c r="Z1254" s="45">
        <f>Z1253+1</f>
        <v>16</v>
      </c>
      <c r="AA1254" s="77">
        <f t="shared" si="531"/>
        <v>181</v>
      </c>
      <c r="AB1254" s="77">
        <f t="shared" si="532"/>
        <v>192</v>
      </c>
      <c r="AC1254" s="72">
        <f t="shared" si="519"/>
        <v>1</v>
      </c>
      <c r="AD1254" s="72">
        <f t="shared" si="520"/>
        <v>1</v>
      </c>
      <c r="AE1254" s="109" t="str">
        <f t="shared" si="521"/>
        <v>0-0</v>
      </c>
      <c r="AF1254" s="109" t="str">
        <f t="shared" si="522"/>
        <v>Y</v>
      </c>
      <c r="AG1254" s="109" t="str">
        <f t="shared" si="523"/>
        <v>B</v>
      </c>
      <c r="AM1254" s="109">
        <f t="shared" si="524"/>
        <v>0</v>
      </c>
      <c r="AN1254" s="109">
        <f t="shared" si="525"/>
        <v>0</v>
      </c>
      <c r="AO1254" s="109" t="str">
        <f t="shared" si="526"/>
        <v/>
      </c>
      <c r="AQ1254" s="109" t="str">
        <f t="shared" si="527"/>
        <v/>
      </c>
      <c r="BA1254" s="229">
        <f>MOD(SUM(E1247:E1255),12)</f>
        <v>0</v>
      </c>
    </row>
    <row r="1255" spans="1:53" ht="15.75" thickBot="1" x14ac:dyDescent="0.3">
      <c r="A1255" s="88"/>
      <c r="B1255" s="66" t="s">
        <v>286</v>
      </c>
      <c r="C1255" s="67"/>
      <c r="D1255" s="102"/>
      <c r="E1255" s="32"/>
      <c r="F1255" s="32"/>
      <c r="G1255" s="68" t="s">
        <v>277</v>
      </c>
      <c r="H1255" s="69">
        <f t="shared" si="528"/>
        <v>0</v>
      </c>
      <c r="I1255" s="70">
        <f t="shared" si="529"/>
        <v>0</v>
      </c>
      <c r="J1255" s="73" t="str">
        <f t="shared" si="530"/>
        <v>--</v>
      </c>
      <c r="K1255" s="32"/>
      <c r="L1255" s="233"/>
      <c r="M1255" s="277"/>
      <c r="N1255" s="277"/>
      <c r="O1255" s="277"/>
      <c r="P1255" s="277"/>
      <c r="Q1255" s="277"/>
      <c r="R1255" s="277"/>
      <c r="S1255" s="277"/>
      <c r="T1255" s="277"/>
      <c r="U1255" s="278"/>
      <c r="V1255" s="103"/>
      <c r="W1255" s="72"/>
      <c r="X1255" s="72"/>
      <c r="Y1255" s="72"/>
      <c r="Z1255" s="45">
        <f>Z1254+1</f>
        <v>17</v>
      </c>
      <c r="AA1255" s="77">
        <f t="shared" si="531"/>
        <v>193</v>
      </c>
      <c r="AB1255" s="77">
        <f t="shared" si="532"/>
        <v>204</v>
      </c>
      <c r="AC1255" s="72">
        <f t="shared" si="519"/>
        <v>1</v>
      </c>
      <c r="AD1255" s="72">
        <f t="shared" si="520"/>
        <v>1</v>
      </c>
      <c r="AE1255" s="109" t="str">
        <f t="shared" si="521"/>
        <v>0-0</v>
      </c>
      <c r="AF1255" s="109" t="str">
        <f t="shared" si="522"/>
        <v>Y</v>
      </c>
      <c r="AG1255" s="109" t="str">
        <f t="shared" si="523"/>
        <v>B</v>
      </c>
      <c r="AM1255" s="109">
        <f t="shared" si="524"/>
        <v>0</v>
      </c>
      <c r="AN1255" s="109">
        <f t="shared" si="525"/>
        <v>0</v>
      </c>
      <c r="AO1255" s="109" t="str">
        <f t="shared" si="526"/>
        <v/>
      </c>
      <c r="AQ1255" s="109" t="str">
        <f t="shared" si="527"/>
        <v/>
      </c>
      <c r="BA1255" s="229">
        <f>MOD(SUM(E1247:E1256),12)</f>
        <v>0</v>
      </c>
    </row>
    <row r="1256" spans="1:53" ht="15.75" thickBot="1" x14ac:dyDescent="0.3">
      <c r="A1256" s="88"/>
      <c r="B1256" s="66" t="s">
        <v>287</v>
      </c>
      <c r="C1256" s="67"/>
      <c r="D1256" s="102"/>
      <c r="E1256" s="32"/>
      <c r="F1256" s="32"/>
      <c r="G1256" s="68" t="s">
        <v>277</v>
      </c>
      <c r="H1256" s="69">
        <f t="shared" si="528"/>
        <v>0</v>
      </c>
      <c r="I1256" s="70">
        <f t="shared" si="529"/>
        <v>0</v>
      </c>
      <c r="J1256" s="73" t="str">
        <f t="shared" si="530"/>
        <v>--</v>
      </c>
      <c r="K1256" s="32"/>
      <c r="L1256" s="233"/>
      <c r="M1256" s="277"/>
      <c r="N1256" s="277"/>
      <c r="O1256" s="277"/>
      <c r="P1256" s="277"/>
      <c r="Q1256" s="277"/>
      <c r="R1256" s="277"/>
      <c r="S1256" s="277"/>
      <c r="T1256" s="277"/>
      <c r="U1256" s="278"/>
      <c r="V1256" s="103"/>
      <c r="W1256" s="72"/>
      <c r="X1256" s="72"/>
      <c r="Y1256" s="72"/>
      <c r="Z1256" s="45">
        <f>Z1255+1</f>
        <v>18</v>
      </c>
      <c r="AA1256" s="77">
        <f t="shared" si="531"/>
        <v>205</v>
      </c>
      <c r="AB1256" s="77">
        <f t="shared" si="532"/>
        <v>216</v>
      </c>
      <c r="AC1256" s="72">
        <f t="shared" si="519"/>
        <v>1</v>
      </c>
      <c r="AD1256" s="72">
        <f t="shared" si="520"/>
        <v>1</v>
      </c>
      <c r="AE1256" s="109" t="str">
        <f t="shared" si="521"/>
        <v>0-0</v>
      </c>
      <c r="AF1256" s="109" t="str">
        <f t="shared" si="522"/>
        <v>Y</v>
      </c>
      <c r="AG1256" s="109" t="str">
        <f t="shared" si="523"/>
        <v>B</v>
      </c>
      <c r="AM1256" s="109">
        <f t="shared" si="524"/>
        <v>0</v>
      </c>
      <c r="AN1256" s="109">
        <f t="shared" si="525"/>
        <v>0</v>
      </c>
      <c r="AO1256" s="109" t="str">
        <f t="shared" si="526"/>
        <v/>
      </c>
      <c r="AQ1256" s="109" t="str">
        <f t="shared" si="527"/>
        <v/>
      </c>
      <c r="BA1256" s="229">
        <f>MOD(SUM(E1247:E1257),12)</f>
        <v>0</v>
      </c>
    </row>
    <row r="1257" spans="1:53" ht="15.75" thickBot="1" x14ac:dyDescent="0.3">
      <c r="A1257" s="88"/>
      <c r="B1257" s="66" t="s">
        <v>288</v>
      </c>
      <c r="C1257" s="67"/>
      <c r="D1257" s="102"/>
      <c r="E1257" s="32"/>
      <c r="F1257" s="32"/>
      <c r="G1257" s="68" t="s">
        <v>277</v>
      </c>
      <c r="H1257" s="69">
        <f t="shared" si="528"/>
        <v>0</v>
      </c>
      <c r="I1257" s="70">
        <f t="shared" si="529"/>
        <v>0</v>
      </c>
      <c r="J1257" s="73" t="str">
        <f t="shared" si="530"/>
        <v>--</v>
      </c>
      <c r="K1257" s="32"/>
      <c r="L1257" s="233"/>
      <c r="M1257" s="277"/>
      <c r="N1257" s="277"/>
      <c r="O1257" s="277"/>
      <c r="P1257" s="277"/>
      <c r="Q1257" s="277"/>
      <c r="R1257" s="277"/>
      <c r="S1257" s="277"/>
      <c r="T1257" s="277"/>
      <c r="U1257" s="278"/>
      <c r="V1257" s="103"/>
      <c r="W1257" s="84"/>
      <c r="X1257" s="84"/>
      <c r="Y1257" s="72"/>
      <c r="Z1257" s="72"/>
      <c r="AA1257" s="72"/>
      <c r="AB1257" s="72"/>
      <c r="AC1257" s="72">
        <f t="shared" si="519"/>
        <v>1</v>
      </c>
      <c r="AD1257" s="72">
        <f t="shared" si="520"/>
        <v>1</v>
      </c>
      <c r="AE1257" s="109" t="str">
        <f t="shared" si="521"/>
        <v>0-0</v>
      </c>
      <c r="AF1257" s="109" t="str">
        <f t="shared" si="522"/>
        <v>Y</v>
      </c>
      <c r="AG1257" s="109" t="str">
        <f t="shared" si="523"/>
        <v>B</v>
      </c>
      <c r="AM1257" s="109">
        <f t="shared" si="524"/>
        <v>0</v>
      </c>
      <c r="AN1257" s="109">
        <f t="shared" si="525"/>
        <v>0</v>
      </c>
      <c r="AO1257" s="109" t="str">
        <f t="shared" si="526"/>
        <v/>
      </c>
      <c r="AQ1257" s="109" t="str">
        <f t="shared" si="527"/>
        <v/>
      </c>
      <c r="BA1257" s="229">
        <f>MOD(SUM(E1247:E1258),12)</f>
        <v>0</v>
      </c>
    </row>
    <row r="1258" spans="1:53" ht="15.75" thickBot="1" x14ac:dyDescent="0.3">
      <c r="A1258" s="88"/>
      <c r="B1258" s="66" t="s">
        <v>289</v>
      </c>
      <c r="C1258" s="67"/>
      <c r="D1258" s="102"/>
      <c r="E1258" s="32"/>
      <c r="F1258" s="32"/>
      <c r="G1258" s="68" t="s">
        <v>277</v>
      </c>
      <c r="H1258" s="69">
        <f t="shared" si="528"/>
        <v>0</v>
      </c>
      <c r="I1258" s="70">
        <f t="shared" si="529"/>
        <v>0</v>
      </c>
      <c r="J1258" s="73" t="str">
        <f t="shared" si="530"/>
        <v>--</v>
      </c>
      <c r="K1258" s="32"/>
      <c r="L1258" s="233"/>
      <c r="M1258" s="277"/>
      <c r="N1258" s="277"/>
      <c r="O1258" s="277"/>
      <c r="P1258" s="277"/>
      <c r="Q1258" s="277"/>
      <c r="R1258" s="277"/>
      <c r="S1258" s="277"/>
      <c r="T1258" s="277"/>
      <c r="U1258" s="278"/>
      <c r="V1258" s="103"/>
      <c r="W1258" s="84">
        <f>Y1258+1</f>
        <v>121</v>
      </c>
      <c r="X1258" s="84"/>
      <c r="Y1258" s="78">
        <f>SUM(E1247:E1258)</f>
        <v>120</v>
      </c>
      <c r="Z1258" s="72"/>
      <c r="AA1258" s="72"/>
      <c r="AB1258" s="72"/>
      <c r="AC1258" s="72">
        <f t="shared" si="519"/>
        <v>1</v>
      </c>
      <c r="AD1258" s="72">
        <f t="shared" si="520"/>
        <v>1</v>
      </c>
      <c r="AE1258" s="109" t="str">
        <f t="shared" si="521"/>
        <v>0-0</v>
      </c>
      <c r="AF1258" s="109" t="str">
        <f t="shared" si="522"/>
        <v>Y</v>
      </c>
      <c r="AG1258" s="109" t="str">
        <f t="shared" si="523"/>
        <v>B</v>
      </c>
      <c r="AM1258" s="109">
        <f t="shared" si="524"/>
        <v>0</v>
      </c>
      <c r="AN1258" s="109">
        <f t="shared" si="525"/>
        <v>0</v>
      </c>
      <c r="AO1258" s="109" t="str">
        <f t="shared" si="526"/>
        <v/>
      </c>
      <c r="AQ1258" s="109" t="str">
        <f t="shared" si="527"/>
        <v/>
      </c>
      <c r="BA1258" s="229">
        <f>MOD(SUM(E1247:E1259),12)</f>
        <v>0</v>
      </c>
    </row>
    <row r="1259" spans="1:53" ht="15.75" thickBot="1" x14ac:dyDescent="0.3">
      <c r="A1259" s="88"/>
      <c r="B1259" s="66" t="s">
        <v>290</v>
      </c>
      <c r="C1259" s="67"/>
      <c r="D1259" s="102"/>
      <c r="E1259" s="32"/>
      <c r="F1259" s="32"/>
      <c r="G1259" s="68" t="s">
        <v>277</v>
      </c>
      <c r="H1259" s="69">
        <f t="shared" si="528"/>
        <v>0</v>
      </c>
      <c r="I1259" s="70">
        <f t="shared" si="529"/>
        <v>0</v>
      </c>
      <c r="J1259" s="73" t="str">
        <f t="shared" si="530"/>
        <v>--</v>
      </c>
      <c r="K1259" s="32"/>
      <c r="L1259" s="233"/>
      <c r="M1259" s="277"/>
      <c r="N1259" s="277"/>
      <c r="O1259" s="277"/>
      <c r="P1259" s="277"/>
      <c r="Q1259" s="277"/>
      <c r="R1259" s="277"/>
      <c r="S1259" s="277"/>
      <c r="T1259" s="277"/>
      <c r="U1259" s="278"/>
      <c r="V1259" s="103"/>
      <c r="W1259" s="84">
        <f>Y1259+1</f>
        <v>121</v>
      </c>
      <c r="X1259" s="84"/>
      <c r="Y1259" s="78">
        <f>SUM(E1247:E1259)</f>
        <v>120</v>
      </c>
      <c r="Z1259" s="72" t="str">
        <f t="shared" ref="Z1259:Z1271" si="533">IF(OR(AND(E$8=216,C1258="DBL REV",C1259="DBL REV",Y1258&lt;=144,Y1259&gt;144),AND(E$8=216,C1258="TPL REV",C1259="TPL REV",Y1258&lt;=144,Y1259&gt;144),AND(E$8=216,C1258="QD REV",C1259="QD REV",Y1258&lt;=144,Y1259&gt;144)),"ERROR","")</f>
        <v/>
      </c>
      <c r="AA1259" s="72"/>
      <c r="AB1259" s="72"/>
      <c r="AC1259" s="72">
        <f t="shared" si="519"/>
        <v>1</v>
      </c>
      <c r="AD1259" s="72">
        <f t="shared" si="520"/>
        <v>1</v>
      </c>
      <c r="AE1259" s="109" t="str">
        <f t="shared" si="521"/>
        <v>0-0</v>
      </c>
      <c r="AF1259" s="109" t="str">
        <f t="shared" si="522"/>
        <v>Y</v>
      </c>
      <c r="AG1259" s="109" t="str">
        <f t="shared" si="523"/>
        <v>B</v>
      </c>
      <c r="AM1259" s="109">
        <f t="shared" si="524"/>
        <v>0</v>
      </c>
      <c r="AN1259" s="109">
        <f t="shared" si="525"/>
        <v>0</v>
      </c>
      <c r="AO1259" s="109" t="str">
        <f t="shared" si="526"/>
        <v/>
      </c>
      <c r="AQ1259" s="109" t="str">
        <f t="shared" si="527"/>
        <v/>
      </c>
      <c r="BA1259" s="229">
        <f>MOD(SUM(E1247:E1260),12)</f>
        <v>0</v>
      </c>
    </row>
    <row r="1260" spans="1:53" ht="15.75" thickBot="1" x14ac:dyDescent="0.3">
      <c r="A1260" s="88"/>
      <c r="B1260" s="66" t="s">
        <v>291</v>
      </c>
      <c r="C1260" s="67"/>
      <c r="D1260" s="102"/>
      <c r="E1260" s="32"/>
      <c r="F1260" s="32"/>
      <c r="G1260" s="68" t="s">
        <v>277</v>
      </c>
      <c r="H1260" s="69">
        <f t="shared" si="528"/>
        <v>0</v>
      </c>
      <c r="I1260" s="70">
        <f t="shared" si="529"/>
        <v>0</v>
      </c>
      <c r="J1260" s="73" t="str">
        <f t="shared" si="530"/>
        <v>--</v>
      </c>
      <c r="K1260" s="32"/>
      <c r="L1260" s="233"/>
      <c r="M1260" s="277"/>
      <c r="N1260" s="277"/>
      <c r="O1260" s="277"/>
      <c r="P1260" s="277"/>
      <c r="Q1260" s="277"/>
      <c r="R1260" s="277"/>
      <c r="S1260" s="277"/>
      <c r="T1260" s="277"/>
      <c r="U1260" s="278"/>
      <c r="V1260" s="103"/>
      <c r="W1260" s="84">
        <f>Y1260+1</f>
        <v>121</v>
      </c>
      <c r="X1260" s="84"/>
      <c r="Y1260" s="78">
        <f>SUM(E1247:E1260)</f>
        <v>120</v>
      </c>
      <c r="Z1260" s="72" t="str">
        <f t="shared" si="533"/>
        <v/>
      </c>
      <c r="AA1260" s="72"/>
      <c r="AB1260" s="72"/>
      <c r="AC1260" s="72">
        <f t="shared" si="519"/>
        <v>1</v>
      </c>
      <c r="AD1260" s="72">
        <f t="shared" si="520"/>
        <v>1</v>
      </c>
      <c r="AE1260" s="109" t="str">
        <f t="shared" si="521"/>
        <v>0-0</v>
      </c>
      <c r="AF1260" s="109" t="str">
        <f t="shared" si="522"/>
        <v>Y</v>
      </c>
      <c r="AG1260" s="109" t="str">
        <f t="shared" si="523"/>
        <v>B</v>
      </c>
      <c r="AM1260" s="109">
        <f t="shared" si="524"/>
        <v>0</v>
      </c>
      <c r="AN1260" s="109">
        <f t="shared" si="525"/>
        <v>0</v>
      </c>
      <c r="AO1260" s="109" t="str">
        <f t="shared" si="526"/>
        <v/>
      </c>
      <c r="AQ1260" s="109" t="str">
        <f t="shared" si="527"/>
        <v/>
      </c>
      <c r="BA1260" s="229">
        <f>MOD(SUM(E1247:E1261),12)</f>
        <v>0</v>
      </c>
    </row>
    <row r="1261" spans="1:53" ht="15.75" thickBot="1" x14ac:dyDescent="0.3">
      <c r="A1261" s="88"/>
      <c r="B1261" s="66" t="s">
        <v>292</v>
      </c>
      <c r="C1261" s="67"/>
      <c r="D1261" s="102"/>
      <c r="E1261" s="32"/>
      <c r="F1261" s="32"/>
      <c r="G1261" s="68" t="s">
        <v>277</v>
      </c>
      <c r="H1261" s="69">
        <f t="shared" si="528"/>
        <v>0</v>
      </c>
      <c r="I1261" s="70">
        <f t="shared" si="529"/>
        <v>0</v>
      </c>
      <c r="J1261" s="73" t="str">
        <f t="shared" si="530"/>
        <v>--</v>
      </c>
      <c r="K1261" s="32"/>
      <c r="L1261" s="233"/>
      <c r="M1261" s="277"/>
      <c r="N1261" s="277"/>
      <c r="O1261" s="277"/>
      <c r="P1261" s="277"/>
      <c r="Q1261" s="277"/>
      <c r="R1261" s="277"/>
      <c r="S1261" s="277"/>
      <c r="T1261" s="277"/>
      <c r="U1261" s="278"/>
      <c r="V1261" s="103"/>
      <c r="W1261" s="84">
        <f>Y1261+1</f>
        <v>121</v>
      </c>
      <c r="X1261" s="84"/>
      <c r="Y1261" s="78">
        <f>SUM(E1247:E1261)</f>
        <v>120</v>
      </c>
      <c r="Z1261" s="72" t="str">
        <f t="shared" si="533"/>
        <v/>
      </c>
      <c r="AA1261" s="72" t="str">
        <f t="shared" ref="AA1261:AA1273" si="534">IF(AND(C1259&lt;&gt;"Field SPL",W1258&lt;=144,Y1259&gt;144),"ERROR","")</f>
        <v/>
      </c>
      <c r="AB1261" s="72"/>
      <c r="AC1261" s="72">
        <f t="shared" si="519"/>
        <v>1</v>
      </c>
      <c r="AD1261" s="72">
        <f t="shared" si="520"/>
        <v>1</v>
      </c>
      <c r="AE1261" s="109" t="str">
        <f t="shared" si="521"/>
        <v>0-0</v>
      </c>
      <c r="AF1261" s="109" t="str">
        <f t="shared" si="522"/>
        <v>Y</v>
      </c>
      <c r="AG1261" s="109" t="str">
        <f t="shared" si="523"/>
        <v>B</v>
      </c>
      <c r="AM1261" s="109">
        <f t="shared" si="524"/>
        <v>0</v>
      </c>
      <c r="AN1261" s="109">
        <f t="shared" si="525"/>
        <v>0</v>
      </c>
      <c r="AO1261" s="109" t="str">
        <f t="shared" si="526"/>
        <v/>
      </c>
      <c r="AQ1261" s="109" t="str">
        <f t="shared" si="527"/>
        <v/>
      </c>
      <c r="BA1261" s="229">
        <f>MOD(SUM(E1247:E1262),12)</f>
        <v>0</v>
      </c>
    </row>
    <row r="1262" spans="1:53" ht="15.75" thickBot="1" x14ac:dyDescent="0.3">
      <c r="A1262" s="88"/>
      <c r="B1262" s="66" t="s">
        <v>293</v>
      </c>
      <c r="C1262" s="67"/>
      <c r="D1262" s="102"/>
      <c r="E1262" s="32"/>
      <c r="F1262" s="32"/>
      <c r="G1262" s="68" t="s">
        <v>277</v>
      </c>
      <c r="H1262" s="69">
        <f t="shared" si="528"/>
        <v>0</v>
      </c>
      <c r="I1262" s="70">
        <f t="shared" si="529"/>
        <v>0</v>
      </c>
      <c r="J1262" s="73" t="str">
        <f t="shared" si="530"/>
        <v>--</v>
      </c>
      <c r="K1262" s="32"/>
      <c r="L1262" s="233"/>
      <c r="M1262" s="277"/>
      <c r="N1262" s="277"/>
      <c r="O1262" s="277"/>
      <c r="P1262" s="277"/>
      <c r="Q1262" s="277"/>
      <c r="R1262" s="277"/>
      <c r="S1262" s="277"/>
      <c r="T1262" s="277"/>
      <c r="U1262" s="278"/>
      <c r="V1262" s="103"/>
      <c r="W1262" s="84">
        <f t="shared" ref="W1262:W1270" si="535">Y1262+1</f>
        <v>121</v>
      </c>
      <c r="X1262" s="84"/>
      <c r="Y1262" s="78">
        <f>SUM(E1247:E1262)</f>
        <v>120</v>
      </c>
      <c r="Z1262" s="72" t="str">
        <f t="shared" si="533"/>
        <v/>
      </c>
      <c r="AA1262" s="72" t="str">
        <f t="shared" si="534"/>
        <v/>
      </c>
      <c r="AB1262" s="72"/>
      <c r="AC1262" s="72">
        <f t="shared" si="519"/>
        <v>1</v>
      </c>
      <c r="AD1262" s="72">
        <f t="shared" si="520"/>
        <v>1</v>
      </c>
      <c r="AE1262" s="109" t="str">
        <f t="shared" si="521"/>
        <v>0-0</v>
      </c>
      <c r="AF1262" s="109" t="str">
        <f t="shared" si="522"/>
        <v>Y</v>
      </c>
      <c r="AG1262" s="109" t="str">
        <f t="shared" si="523"/>
        <v>B</v>
      </c>
      <c r="AM1262" s="109">
        <f t="shared" si="524"/>
        <v>0</v>
      </c>
      <c r="AN1262" s="109">
        <f t="shared" si="525"/>
        <v>0</v>
      </c>
      <c r="AO1262" s="109" t="str">
        <f t="shared" si="526"/>
        <v/>
      </c>
      <c r="AQ1262" s="109" t="str">
        <f t="shared" si="527"/>
        <v/>
      </c>
      <c r="BA1262" s="229">
        <f>MOD(SUM(E1247:E1263),12)</f>
        <v>0</v>
      </c>
    </row>
    <row r="1263" spans="1:53" ht="15.75" thickBot="1" x14ac:dyDescent="0.3">
      <c r="A1263" s="88"/>
      <c r="B1263" s="66" t="s">
        <v>294</v>
      </c>
      <c r="C1263" s="67"/>
      <c r="D1263" s="102"/>
      <c r="E1263" s="32"/>
      <c r="F1263" s="32"/>
      <c r="G1263" s="68" t="s">
        <v>277</v>
      </c>
      <c r="H1263" s="69">
        <f t="shared" si="528"/>
        <v>0</v>
      </c>
      <c r="I1263" s="70">
        <f t="shared" si="529"/>
        <v>0</v>
      </c>
      <c r="J1263" s="73" t="str">
        <f t="shared" si="530"/>
        <v>--</v>
      </c>
      <c r="K1263" s="32"/>
      <c r="L1263" s="233"/>
      <c r="M1263" s="277"/>
      <c r="N1263" s="277"/>
      <c r="O1263" s="277"/>
      <c r="P1263" s="277"/>
      <c r="Q1263" s="277"/>
      <c r="R1263" s="277"/>
      <c r="S1263" s="277"/>
      <c r="T1263" s="277"/>
      <c r="U1263" s="278"/>
      <c r="V1263" s="103"/>
      <c r="W1263" s="84">
        <f t="shared" si="535"/>
        <v>121</v>
      </c>
      <c r="X1263" s="84"/>
      <c r="Y1263" s="78">
        <f>SUM(E1247:E1263)</f>
        <v>120</v>
      </c>
      <c r="Z1263" s="72" t="str">
        <f t="shared" si="533"/>
        <v/>
      </c>
      <c r="AA1263" s="72" t="str">
        <f t="shared" si="534"/>
        <v/>
      </c>
      <c r="AB1263" s="72"/>
      <c r="AC1263" s="72">
        <f t="shared" si="519"/>
        <v>1</v>
      </c>
      <c r="AD1263" s="72">
        <f t="shared" si="520"/>
        <v>1</v>
      </c>
      <c r="AE1263" s="109" t="str">
        <f t="shared" si="521"/>
        <v>0-0</v>
      </c>
      <c r="AF1263" s="109" t="str">
        <f t="shared" si="522"/>
        <v>Y</v>
      </c>
      <c r="AG1263" s="109" t="str">
        <f t="shared" si="523"/>
        <v>B</v>
      </c>
      <c r="AM1263" s="109">
        <f t="shared" si="524"/>
        <v>0</v>
      </c>
      <c r="AN1263" s="109">
        <f t="shared" si="525"/>
        <v>0</v>
      </c>
      <c r="AO1263" s="109" t="str">
        <f t="shared" si="526"/>
        <v/>
      </c>
      <c r="AQ1263" s="109" t="str">
        <f t="shared" si="527"/>
        <v/>
      </c>
      <c r="BA1263" s="229">
        <f>MOD(SUM(E1247:E1264),12)</f>
        <v>0</v>
      </c>
    </row>
    <row r="1264" spans="1:53" ht="15.75" thickBot="1" x14ac:dyDescent="0.3">
      <c r="A1264" s="88"/>
      <c r="B1264" s="66" t="s">
        <v>295</v>
      </c>
      <c r="C1264" s="67"/>
      <c r="D1264" s="102"/>
      <c r="E1264" s="32"/>
      <c r="F1264" s="32"/>
      <c r="G1264" s="68" t="s">
        <v>277</v>
      </c>
      <c r="H1264" s="69">
        <f t="shared" si="528"/>
        <v>0</v>
      </c>
      <c r="I1264" s="70">
        <f t="shared" si="529"/>
        <v>0</v>
      </c>
      <c r="J1264" s="73" t="str">
        <f t="shared" si="530"/>
        <v>--</v>
      </c>
      <c r="K1264" s="32"/>
      <c r="L1264" s="233"/>
      <c r="M1264" s="277"/>
      <c r="N1264" s="277"/>
      <c r="O1264" s="277"/>
      <c r="P1264" s="277"/>
      <c r="Q1264" s="277"/>
      <c r="R1264" s="277"/>
      <c r="S1264" s="277"/>
      <c r="T1264" s="277"/>
      <c r="U1264" s="278"/>
      <c r="V1264" s="103"/>
      <c r="W1264" s="84">
        <f t="shared" si="535"/>
        <v>121</v>
      </c>
      <c r="X1264" s="84"/>
      <c r="Y1264" s="78">
        <f>SUM(E1247:E1264)</f>
        <v>120</v>
      </c>
      <c r="Z1264" s="72" t="str">
        <f t="shared" si="533"/>
        <v/>
      </c>
      <c r="AA1264" s="72" t="str">
        <f t="shared" si="534"/>
        <v/>
      </c>
      <c r="AB1264" s="72"/>
      <c r="AC1264" s="72">
        <f t="shared" si="519"/>
        <v>1</v>
      </c>
      <c r="AD1264" s="72">
        <f t="shared" si="520"/>
        <v>1</v>
      </c>
      <c r="AE1264" s="109" t="str">
        <f t="shared" si="521"/>
        <v>0-0</v>
      </c>
      <c r="AF1264" s="109" t="str">
        <f t="shared" si="522"/>
        <v>Y</v>
      </c>
      <c r="AG1264" s="109" t="str">
        <f t="shared" si="523"/>
        <v>B</v>
      </c>
      <c r="AM1264" s="109">
        <f t="shared" si="524"/>
        <v>0</v>
      </c>
      <c r="AN1264" s="109">
        <f t="shared" si="525"/>
        <v>0</v>
      </c>
      <c r="AO1264" s="109" t="str">
        <f t="shared" si="526"/>
        <v/>
      </c>
      <c r="AQ1264" s="109" t="str">
        <f t="shared" si="527"/>
        <v/>
      </c>
      <c r="BA1264" s="229">
        <f>MOD(SUM(E1247:E1265),12)</f>
        <v>0</v>
      </c>
    </row>
    <row r="1265" spans="1:53" ht="15.75" thickBot="1" x14ac:dyDescent="0.3">
      <c r="A1265" s="88"/>
      <c r="B1265" s="66" t="s">
        <v>296</v>
      </c>
      <c r="C1265" s="67"/>
      <c r="D1265" s="102"/>
      <c r="E1265" s="32"/>
      <c r="F1265" s="32"/>
      <c r="G1265" s="68" t="s">
        <v>277</v>
      </c>
      <c r="H1265" s="69">
        <f t="shared" si="528"/>
        <v>0</v>
      </c>
      <c r="I1265" s="70">
        <f t="shared" si="529"/>
        <v>0</v>
      </c>
      <c r="J1265" s="73" t="str">
        <f t="shared" si="530"/>
        <v>--</v>
      </c>
      <c r="K1265" s="32"/>
      <c r="L1265" s="233"/>
      <c r="M1265" s="277"/>
      <c r="N1265" s="277"/>
      <c r="O1265" s="277"/>
      <c r="P1265" s="277"/>
      <c r="Q1265" s="277"/>
      <c r="R1265" s="277"/>
      <c r="S1265" s="277"/>
      <c r="T1265" s="277"/>
      <c r="U1265" s="278"/>
      <c r="V1265" s="103"/>
      <c r="W1265" s="84">
        <f t="shared" si="535"/>
        <v>121</v>
      </c>
      <c r="X1265" s="84"/>
      <c r="Y1265" s="78">
        <f>SUM(E1247:E1265)</f>
        <v>120</v>
      </c>
      <c r="Z1265" s="72" t="str">
        <f t="shared" si="533"/>
        <v/>
      </c>
      <c r="AA1265" s="72" t="str">
        <f t="shared" si="534"/>
        <v/>
      </c>
      <c r="AB1265" s="72"/>
      <c r="AC1265" s="72">
        <f t="shared" si="519"/>
        <v>1</v>
      </c>
      <c r="AD1265" s="72">
        <f t="shared" si="520"/>
        <v>1</v>
      </c>
      <c r="AE1265" s="109" t="str">
        <f t="shared" si="521"/>
        <v>0-0</v>
      </c>
      <c r="AF1265" s="109" t="str">
        <f t="shared" si="522"/>
        <v>Y</v>
      </c>
      <c r="AG1265" s="109" t="str">
        <f t="shared" si="523"/>
        <v>B</v>
      </c>
      <c r="AM1265" s="109">
        <f t="shared" si="524"/>
        <v>0</v>
      </c>
      <c r="AN1265" s="109">
        <f t="shared" si="525"/>
        <v>0</v>
      </c>
      <c r="AO1265" s="109" t="str">
        <f t="shared" si="526"/>
        <v/>
      </c>
      <c r="AQ1265" s="109" t="str">
        <f t="shared" si="527"/>
        <v/>
      </c>
      <c r="BA1265" s="229">
        <f>MOD(SUM(E1247:E1266),12)</f>
        <v>0</v>
      </c>
    </row>
    <row r="1266" spans="1:53" ht="15.75" thickBot="1" x14ac:dyDescent="0.3">
      <c r="A1266" s="88"/>
      <c r="B1266" s="66" t="s">
        <v>297</v>
      </c>
      <c r="C1266" s="67"/>
      <c r="D1266" s="102"/>
      <c r="E1266" s="32"/>
      <c r="F1266" s="32"/>
      <c r="G1266" s="68" t="s">
        <v>277</v>
      </c>
      <c r="H1266" s="69">
        <f t="shared" si="528"/>
        <v>0</v>
      </c>
      <c r="I1266" s="70">
        <f t="shared" si="529"/>
        <v>0</v>
      </c>
      <c r="J1266" s="73" t="str">
        <f t="shared" si="530"/>
        <v>--</v>
      </c>
      <c r="K1266" s="32"/>
      <c r="L1266" s="233"/>
      <c r="M1266" s="277"/>
      <c r="N1266" s="277"/>
      <c r="O1266" s="277"/>
      <c r="P1266" s="277"/>
      <c r="Q1266" s="277"/>
      <c r="R1266" s="277"/>
      <c r="S1266" s="277"/>
      <c r="T1266" s="277"/>
      <c r="U1266" s="278"/>
      <c r="V1266" s="103"/>
      <c r="W1266" s="84">
        <f t="shared" si="535"/>
        <v>121</v>
      </c>
      <c r="X1266" s="84"/>
      <c r="Y1266" s="78">
        <f>SUM(E1247:E1266)</f>
        <v>120</v>
      </c>
      <c r="Z1266" s="72" t="str">
        <f t="shared" si="533"/>
        <v/>
      </c>
      <c r="AA1266" s="72" t="str">
        <f t="shared" si="534"/>
        <v/>
      </c>
      <c r="AB1266" s="72"/>
      <c r="AC1266" s="72">
        <f t="shared" si="519"/>
        <v>1</v>
      </c>
      <c r="AD1266" s="72">
        <f t="shared" si="520"/>
        <v>1</v>
      </c>
      <c r="AE1266" s="109" t="str">
        <f t="shared" si="521"/>
        <v>0-0</v>
      </c>
      <c r="AF1266" s="109" t="str">
        <f t="shared" si="522"/>
        <v>Y</v>
      </c>
      <c r="AG1266" s="109" t="str">
        <f t="shared" si="523"/>
        <v>B</v>
      </c>
      <c r="AM1266" s="109">
        <f t="shared" si="524"/>
        <v>0</v>
      </c>
      <c r="AN1266" s="109">
        <f t="shared" si="525"/>
        <v>0</v>
      </c>
      <c r="AO1266" s="109" t="str">
        <f t="shared" si="526"/>
        <v/>
      </c>
      <c r="AQ1266" s="109" t="str">
        <f t="shared" si="527"/>
        <v/>
      </c>
      <c r="BA1266" s="229">
        <f>MOD(SUM(E1247:E1267),12)</f>
        <v>0</v>
      </c>
    </row>
    <row r="1267" spans="1:53" ht="15.75" thickBot="1" x14ac:dyDescent="0.3">
      <c r="A1267" s="88"/>
      <c r="B1267" s="66" t="s">
        <v>298</v>
      </c>
      <c r="C1267" s="67"/>
      <c r="D1267" s="102"/>
      <c r="E1267" s="32"/>
      <c r="F1267" s="32"/>
      <c r="G1267" s="68" t="s">
        <v>277</v>
      </c>
      <c r="H1267" s="69">
        <f t="shared" si="528"/>
        <v>0</v>
      </c>
      <c r="I1267" s="70">
        <f t="shared" si="529"/>
        <v>0</v>
      </c>
      <c r="J1267" s="73" t="str">
        <f t="shared" si="530"/>
        <v>--</v>
      </c>
      <c r="K1267" s="32"/>
      <c r="L1267" s="233"/>
      <c r="M1267" s="277"/>
      <c r="N1267" s="277"/>
      <c r="O1267" s="277"/>
      <c r="P1267" s="277"/>
      <c r="Q1267" s="277"/>
      <c r="R1267" s="277"/>
      <c r="S1267" s="277"/>
      <c r="T1267" s="277"/>
      <c r="U1267" s="278"/>
      <c r="V1267" s="103"/>
      <c r="W1267" s="84">
        <f t="shared" si="535"/>
        <v>121</v>
      </c>
      <c r="X1267" s="84"/>
      <c r="Y1267" s="78">
        <f>SUM(E1247:E1267)</f>
        <v>120</v>
      </c>
      <c r="Z1267" s="72" t="str">
        <f t="shared" si="533"/>
        <v/>
      </c>
      <c r="AA1267" s="72" t="str">
        <f t="shared" si="534"/>
        <v/>
      </c>
      <c r="AB1267" s="72"/>
      <c r="AC1267" s="72">
        <f t="shared" si="519"/>
        <v>1</v>
      </c>
      <c r="AD1267" s="72">
        <f t="shared" si="520"/>
        <v>1</v>
      </c>
      <c r="AE1267" s="109" t="str">
        <f t="shared" si="521"/>
        <v>0-0</v>
      </c>
      <c r="AF1267" s="109" t="str">
        <f t="shared" si="522"/>
        <v>Y</v>
      </c>
      <c r="AG1267" s="109" t="str">
        <f t="shared" si="523"/>
        <v>B</v>
      </c>
      <c r="AM1267" s="109">
        <f t="shared" si="524"/>
        <v>0</v>
      </c>
      <c r="AN1267" s="109">
        <f t="shared" si="525"/>
        <v>0</v>
      </c>
      <c r="AO1267" s="109" t="str">
        <f t="shared" si="526"/>
        <v/>
      </c>
      <c r="AQ1267" s="109" t="str">
        <f t="shared" si="527"/>
        <v/>
      </c>
      <c r="BA1267" s="229">
        <f>MOD(SUM(E1247:E1268),12)</f>
        <v>0</v>
      </c>
    </row>
    <row r="1268" spans="1:53" ht="15.75" thickBot="1" x14ac:dyDescent="0.3">
      <c r="A1268" s="88"/>
      <c r="B1268" s="66" t="s">
        <v>299</v>
      </c>
      <c r="C1268" s="67"/>
      <c r="D1268" s="102"/>
      <c r="E1268" s="32"/>
      <c r="F1268" s="32"/>
      <c r="G1268" s="68" t="s">
        <v>277</v>
      </c>
      <c r="H1268" s="69">
        <f t="shared" si="528"/>
        <v>0</v>
      </c>
      <c r="I1268" s="70">
        <f t="shared" si="529"/>
        <v>0</v>
      </c>
      <c r="J1268" s="73" t="str">
        <f t="shared" si="530"/>
        <v>--</v>
      </c>
      <c r="K1268" s="32"/>
      <c r="L1268" s="233"/>
      <c r="M1268" s="277"/>
      <c r="N1268" s="277"/>
      <c r="O1268" s="277"/>
      <c r="P1268" s="277"/>
      <c r="Q1268" s="277"/>
      <c r="R1268" s="277"/>
      <c r="S1268" s="277"/>
      <c r="T1268" s="277"/>
      <c r="U1268" s="278"/>
      <c r="V1268" s="103"/>
      <c r="W1268" s="84">
        <f t="shared" si="535"/>
        <v>121</v>
      </c>
      <c r="X1268" s="84"/>
      <c r="Y1268" s="78">
        <f>SUM(E1247:E1268)</f>
        <v>120</v>
      </c>
      <c r="Z1268" s="72" t="str">
        <f t="shared" si="533"/>
        <v/>
      </c>
      <c r="AA1268" s="72" t="str">
        <f t="shared" si="534"/>
        <v/>
      </c>
      <c r="AB1268" s="72"/>
      <c r="AC1268" s="72">
        <f t="shared" si="519"/>
        <v>1</v>
      </c>
      <c r="AD1268" s="72">
        <f t="shared" si="520"/>
        <v>1</v>
      </c>
      <c r="AE1268" s="109" t="str">
        <f t="shared" si="521"/>
        <v>0-0</v>
      </c>
      <c r="AF1268" s="109" t="str">
        <f t="shared" si="522"/>
        <v>Y</v>
      </c>
      <c r="AG1268" s="109" t="str">
        <f t="shared" si="523"/>
        <v>B</v>
      </c>
      <c r="AM1268" s="109">
        <f t="shared" si="524"/>
        <v>0</v>
      </c>
      <c r="AN1268" s="109">
        <f t="shared" si="525"/>
        <v>0</v>
      </c>
      <c r="AO1268" s="109" t="str">
        <f t="shared" si="526"/>
        <v/>
      </c>
      <c r="AQ1268" s="109" t="str">
        <f t="shared" si="527"/>
        <v/>
      </c>
      <c r="BA1268" s="229">
        <f>MOD(SUM(E1247:E1269),12)</f>
        <v>0</v>
      </c>
    </row>
    <row r="1269" spans="1:53" ht="15.75" thickBot="1" x14ac:dyDescent="0.3">
      <c r="A1269" s="88"/>
      <c r="B1269" s="66" t="s">
        <v>300</v>
      </c>
      <c r="C1269" s="67"/>
      <c r="D1269" s="102"/>
      <c r="E1269" s="32"/>
      <c r="F1269" s="32"/>
      <c r="G1269" s="68" t="s">
        <v>277</v>
      </c>
      <c r="H1269" s="69">
        <f t="shared" si="528"/>
        <v>0</v>
      </c>
      <c r="I1269" s="70">
        <f t="shared" si="529"/>
        <v>0</v>
      </c>
      <c r="J1269" s="73" t="str">
        <f t="shared" si="530"/>
        <v>--</v>
      </c>
      <c r="K1269" s="32"/>
      <c r="L1269" s="233"/>
      <c r="M1269" s="277"/>
      <c r="N1269" s="277"/>
      <c r="O1269" s="277"/>
      <c r="P1269" s="277"/>
      <c r="Q1269" s="277"/>
      <c r="R1269" s="277"/>
      <c r="S1269" s="277"/>
      <c r="T1269" s="277"/>
      <c r="U1269" s="278"/>
      <c r="V1269" s="103"/>
      <c r="W1269" s="84">
        <f t="shared" si="535"/>
        <v>121</v>
      </c>
      <c r="X1269" s="84"/>
      <c r="Y1269" s="78">
        <f>SUM(E1247:E1269)</f>
        <v>120</v>
      </c>
      <c r="Z1269" s="72" t="str">
        <f t="shared" si="533"/>
        <v/>
      </c>
      <c r="AA1269" s="72" t="str">
        <f t="shared" si="534"/>
        <v/>
      </c>
      <c r="AB1269" s="72"/>
      <c r="AC1269" s="72">
        <f t="shared" si="519"/>
        <v>1</v>
      </c>
      <c r="AD1269" s="72">
        <f t="shared" si="520"/>
        <v>1</v>
      </c>
      <c r="AE1269" s="109" t="str">
        <f t="shared" si="521"/>
        <v>0-0</v>
      </c>
      <c r="AF1269" s="109" t="str">
        <f t="shared" si="522"/>
        <v>Y</v>
      </c>
      <c r="AG1269" s="109" t="str">
        <f t="shared" si="523"/>
        <v>B</v>
      </c>
      <c r="AM1269" s="109">
        <f t="shared" si="524"/>
        <v>0</v>
      </c>
      <c r="AN1269" s="109">
        <f t="shared" si="525"/>
        <v>0</v>
      </c>
      <c r="AO1269" s="109" t="str">
        <f t="shared" si="526"/>
        <v/>
      </c>
      <c r="AQ1269" s="109" t="str">
        <f t="shared" si="527"/>
        <v/>
      </c>
      <c r="BA1269" s="229">
        <f>MOD(SUM(E1247:E1270),12)</f>
        <v>0</v>
      </c>
    </row>
    <row r="1270" spans="1:53" ht="15.75" thickBot="1" x14ac:dyDescent="0.3">
      <c r="A1270" s="88"/>
      <c r="B1270" s="66" t="s">
        <v>301</v>
      </c>
      <c r="C1270" s="67"/>
      <c r="D1270" s="102"/>
      <c r="E1270" s="32"/>
      <c r="F1270" s="32"/>
      <c r="G1270" s="68" t="s">
        <v>277</v>
      </c>
      <c r="H1270" s="69">
        <f t="shared" si="528"/>
        <v>0</v>
      </c>
      <c r="I1270" s="70">
        <f t="shared" si="529"/>
        <v>0</v>
      </c>
      <c r="J1270" s="73" t="str">
        <f t="shared" si="530"/>
        <v>--</v>
      </c>
      <c r="K1270" s="32"/>
      <c r="L1270" s="233"/>
      <c r="M1270" s="277"/>
      <c r="N1270" s="277"/>
      <c r="O1270" s="277"/>
      <c r="P1270" s="277"/>
      <c r="Q1270" s="277"/>
      <c r="R1270" s="277"/>
      <c r="S1270" s="277"/>
      <c r="T1270" s="277"/>
      <c r="U1270" s="278"/>
      <c r="V1270" s="103"/>
      <c r="W1270" s="84">
        <f t="shared" si="535"/>
        <v>121</v>
      </c>
      <c r="X1270" s="84"/>
      <c r="Y1270" s="78">
        <f>SUM(E1247:E1270)</f>
        <v>120</v>
      </c>
      <c r="Z1270" s="72" t="str">
        <f t="shared" si="533"/>
        <v/>
      </c>
      <c r="AA1270" s="72" t="str">
        <f t="shared" si="534"/>
        <v/>
      </c>
      <c r="AB1270" s="72"/>
      <c r="AC1270" s="72">
        <f t="shared" si="519"/>
        <v>1</v>
      </c>
      <c r="AD1270" s="72">
        <f t="shared" si="520"/>
        <v>1</v>
      </c>
      <c r="AE1270" s="109" t="str">
        <f t="shared" si="521"/>
        <v>0-0</v>
      </c>
      <c r="AF1270" s="109" t="str">
        <f t="shared" si="522"/>
        <v>Y</v>
      </c>
      <c r="AG1270" s="109" t="str">
        <f t="shared" si="523"/>
        <v>B</v>
      </c>
      <c r="AM1270" s="109">
        <f t="shared" si="524"/>
        <v>0</v>
      </c>
      <c r="AN1270" s="109">
        <f t="shared" si="525"/>
        <v>0</v>
      </c>
      <c r="AO1270" s="109" t="str">
        <f t="shared" si="526"/>
        <v/>
      </c>
      <c r="AQ1270" s="109" t="str">
        <f t="shared" si="527"/>
        <v/>
      </c>
      <c r="BA1270" s="229">
        <f>MOD(SUM(E1247:E1271),12)</f>
        <v>0</v>
      </c>
    </row>
    <row r="1271" spans="1:53" ht="15.75" thickBot="1" x14ac:dyDescent="0.3">
      <c r="A1271" s="88"/>
      <c r="B1271" s="66" t="s">
        <v>302</v>
      </c>
      <c r="C1271" s="67"/>
      <c r="D1271" s="102"/>
      <c r="E1271" s="32"/>
      <c r="F1271" s="32"/>
      <c r="G1271" s="68" t="s">
        <v>277</v>
      </c>
      <c r="H1271" s="69">
        <f t="shared" si="528"/>
        <v>0</v>
      </c>
      <c r="I1271" s="70">
        <f t="shared" si="529"/>
        <v>0</v>
      </c>
      <c r="J1271" s="73" t="str">
        <f t="shared" si="530"/>
        <v>--</v>
      </c>
      <c r="K1271" s="32"/>
      <c r="L1271" s="234"/>
      <c r="M1271" s="277"/>
      <c r="N1271" s="277"/>
      <c r="O1271" s="277"/>
      <c r="P1271" s="277"/>
      <c r="Q1271" s="277"/>
      <c r="R1271" s="277"/>
      <c r="S1271" s="277"/>
      <c r="T1271" s="277"/>
      <c r="U1271" s="278"/>
      <c r="V1271" s="103"/>
      <c r="W1271" s="72"/>
      <c r="X1271" s="72"/>
      <c r="Y1271" s="78">
        <f>SUM(E1247:E1271)</f>
        <v>120</v>
      </c>
      <c r="Z1271" s="72" t="str">
        <f t="shared" si="533"/>
        <v/>
      </c>
      <c r="AA1271" s="72" t="str">
        <f t="shared" si="534"/>
        <v/>
      </c>
      <c r="AB1271" s="72"/>
      <c r="AC1271" s="72">
        <f t="shared" si="519"/>
        <v>1</v>
      </c>
      <c r="AD1271" s="72">
        <f t="shared" si="520"/>
        <v>1</v>
      </c>
      <c r="AE1271" s="109" t="str">
        <f t="shared" si="521"/>
        <v>0-0</v>
      </c>
      <c r="AF1271" s="109" t="str">
        <f t="shared" si="522"/>
        <v>Y</v>
      </c>
      <c r="AG1271" s="109" t="str">
        <f t="shared" si="523"/>
        <v>B</v>
      </c>
      <c r="AM1271" s="109">
        <f t="shared" si="524"/>
        <v>0</v>
      </c>
      <c r="AN1271" s="109">
        <f t="shared" si="525"/>
        <v>0</v>
      </c>
      <c r="AO1271" s="109" t="str">
        <f t="shared" si="526"/>
        <v/>
      </c>
      <c r="AQ1271" s="109" t="str">
        <f t="shared" si="527"/>
        <v/>
      </c>
      <c r="BA1271" s="228"/>
    </row>
    <row r="1272" spans="1:53" ht="16.5" thickBot="1" x14ac:dyDescent="0.3">
      <c r="A1272" s="88"/>
      <c r="B1272" s="319" t="s">
        <v>365</v>
      </c>
      <c r="C1272" s="320"/>
      <c r="D1272" s="79"/>
      <c r="E1272" s="80"/>
      <c r="F1272" s="80"/>
      <c r="G1272" s="81"/>
      <c r="H1272" s="192"/>
      <c r="I1272" s="192"/>
      <c r="J1272" s="192"/>
      <c r="K1272" s="82"/>
      <c r="L1272" s="319" t="s">
        <v>306</v>
      </c>
      <c r="M1272" s="330"/>
      <c r="N1272" s="330"/>
      <c r="O1272" s="330"/>
      <c r="P1272" s="330"/>
      <c r="Q1272" s="330"/>
      <c r="R1272" s="330"/>
      <c r="S1272" s="330"/>
      <c r="T1272" s="330"/>
      <c r="U1272" s="320"/>
      <c r="V1272" s="104"/>
      <c r="W1272" s="72"/>
      <c r="X1272" s="72"/>
      <c r="Y1272" s="72"/>
      <c r="Z1272" s="72"/>
      <c r="AA1272" s="72" t="str">
        <f t="shared" si="534"/>
        <v/>
      </c>
      <c r="AB1272" s="72"/>
      <c r="AC1272" s="72">
        <f>SUM(AC1247:AC1271)</f>
        <v>25</v>
      </c>
      <c r="AD1272" s="72">
        <f>SUM(AD1247:AD1271)</f>
        <v>25</v>
      </c>
      <c r="AM1272" s="109">
        <f>SUM(AM1247:AM1271)</f>
        <v>2</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319" t="s">
        <v>307</v>
      </c>
      <c r="C1273" s="320"/>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34"/>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312" t="s">
        <v>222</v>
      </c>
      <c r="C1277" s="313"/>
      <c r="D1277" s="314" t="s">
        <v>223</v>
      </c>
      <c r="E1277" s="305"/>
      <c r="F1277" s="88"/>
      <c r="G1277" s="315" t="s">
        <v>224</v>
      </c>
      <c r="H1277" s="316"/>
      <c r="I1277" s="28">
        <f>SUM(E1288:E1312)</f>
        <v>48</v>
      </c>
      <c r="J1277" s="317" t="s">
        <v>225</v>
      </c>
      <c r="K1277" s="318"/>
      <c r="L1277" s="305"/>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5" t="s">
        <v>226</v>
      </c>
      <c r="AA1277" s="296"/>
      <c r="AB1277" s="297"/>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12</v>
      </c>
      <c r="D1278" s="31" t="s">
        <v>229</v>
      </c>
      <c r="E1278" s="66" t="str">
        <f>TEXT(IF('Cable Calculator'!FC7="","",'Cable Calculator'!FC7),)</f>
        <v/>
      </c>
      <c r="F1278" s="88"/>
      <c r="G1278" s="304" t="s">
        <v>230</v>
      </c>
      <c r="H1278" s="305"/>
      <c r="I1278" s="33">
        <f>E1279-I1277</f>
        <v>24</v>
      </c>
      <c r="J1278" s="289" t="s">
        <v>231</v>
      </c>
      <c r="K1278" s="290"/>
      <c r="L1278" s="34">
        <f>I1282</f>
        <v>769</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298" t="s">
        <v>232</v>
      </c>
      <c r="AA1278" s="300" t="s">
        <v>233</v>
      </c>
      <c r="AB1278" s="301"/>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v>72</v>
      </c>
      <c r="F1279" s="88"/>
      <c r="G1279" s="291" t="s">
        <v>237</v>
      </c>
      <c r="H1279" s="292"/>
      <c r="I1279" s="35">
        <f>IF(E1279=0,0,12-(MOD(I1277,12)))</f>
        <v>12</v>
      </c>
      <c r="J1279" s="289" t="s">
        <v>238</v>
      </c>
      <c r="K1279" s="290"/>
      <c r="L1279" s="39">
        <f>I1283-I1277</f>
        <v>780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299"/>
      <c r="AA1279" s="302"/>
      <c r="AB1279" s="303"/>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v>12</v>
      </c>
      <c r="F1280" s="88"/>
      <c r="G1280" s="321" t="s">
        <v>242</v>
      </c>
      <c r="H1280" s="43" t="s">
        <v>243</v>
      </c>
      <c r="I1280" s="35">
        <f>IF(E1280&lt;&gt;0,1,0)</f>
        <v>1</v>
      </c>
      <c r="J1280" s="291" t="s">
        <v>244</v>
      </c>
      <c r="K1280" s="292"/>
      <c r="L1280" s="44">
        <f>'Cable Calculator'!FC3</f>
        <v>1043</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v>769</v>
      </c>
      <c r="F1281" s="88"/>
      <c r="G1281" s="322"/>
      <c r="H1281" s="47" t="s">
        <v>248</v>
      </c>
      <c r="I1281" s="35">
        <f>IF(E1280&lt;&gt;0,E1280,0)</f>
        <v>12</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6</v>
      </c>
      <c r="F1282" s="88"/>
      <c r="G1282" s="321" t="s">
        <v>251</v>
      </c>
      <c r="H1282" s="51" t="s">
        <v>252</v>
      </c>
      <c r="I1282" s="112">
        <f>E1281</f>
        <v>769</v>
      </c>
      <c r="J1282" s="323" t="s">
        <v>253</v>
      </c>
      <c r="K1282" s="324"/>
      <c r="L1282" s="325"/>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N</v>
      </c>
      <c r="F1283" s="88"/>
      <c r="G1283" s="322"/>
      <c r="H1283" s="47" t="s">
        <v>257</v>
      </c>
      <c r="I1283" s="35">
        <f>IF(E1281="","0",IF(AND(E1278="EUC",E1279=432), I1282+(203-E1280),IF(E1281=0,0,(E1281+(E1279-E1280)-1))))</f>
        <v>828</v>
      </c>
      <c r="J1283" s="285" t="str">
        <f>IFERROR(IF(OR(E1278="EUC",E1278="SS"),"---",IF(OR(P1277,S1277),"NO 2F Tethers for RPX!",IF(OR(P1279,S1279),"NO 6F Tethers for RPX!","---"))),"---")</f>
        <v>---</v>
      </c>
      <c r="K1283" s="286"/>
      <c r="L1283" s="287"/>
      <c r="M1283" s="285" t="str">
        <f>IF(E1280&gt;60,"Dead Count &gt;60: Consider Downsize","---")</f>
        <v>---</v>
      </c>
      <c r="N1283" s="286"/>
      <c r="O1283" s="286"/>
      <c r="P1283" s="286"/>
      <c r="Q1283" s="286"/>
      <c r="R1283" s="286"/>
      <c r="S1283" s="286"/>
      <c r="T1283" s="286"/>
      <c r="U1283" s="287"/>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60</v>
      </c>
      <c r="D1284" s="31" t="s">
        <v>259</v>
      </c>
      <c r="E1284" s="101" t="str">
        <f>IF(AS1278="Y","DBL",IF(AS1279="Y","TRPL",IF(AS1280="Y","QUAD","")))</f>
        <v/>
      </c>
      <c r="F1284" s="88"/>
      <c r="G1284" s="192"/>
      <c r="H1284" s="57"/>
      <c r="I1284" s="192"/>
      <c r="J1284" s="285"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86"/>
      <c r="L1284" s="287"/>
      <c r="M1284" s="285" t="str">
        <f>IF(AND(OR(E1278="SS",E1278="RPX",E1278="EUC",E1278="RPX-T"),(OR(C1288="",C1288="Field SPL"))),"Cannot have FlexNap cables without tethers","---")</f>
        <v>---</v>
      </c>
      <c r="N1284" s="286"/>
      <c r="O1284" s="286"/>
      <c r="P1284" s="286"/>
      <c r="Q1284" s="286"/>
      <c r="R1284" s="286"/>
      <c r="S1284" s="286"/>
      <c r="T1284" s="286"/>
      <c r="U1284" s="287"/>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85" t="str">
        <f>IF(AND(OR(E1278="RPX", E1278="RPX-T", E1278="SS"),E1279=216),"NO 216 For RPX, RPX-T, OR SS CABLE","---")</f>
        <v>---</v>
      </c>
      <c r="K1285" s="286"/>
      <c r="L1285" s="287"/>
      <c r="M1285" s="285" t="str" cm="1">
        <f t="array" ref="M1285">IF(AND(E1278="",OR(C1288:C1312="FST",C1288:C1312="REV T",C1288:C1312="DBL REV",C1288:C1312="TPL REV", C1288:C1312="QD REV")),"Non-FlexNap cables cannot have tethers","---")</f>
        <v>---</v>
      </c>
      <c r="N1285" s="286"/>
      <c r="O1285" s="286"/>
      <c r="P1285" s="286"/>
      <c r="Q1285" s="286"/>
      <c r="R1285" s="286"/>
      <c r="S1285" s="286"/>
      <c r="T1285" s="286"/>
      <c r="U1285" s="287"/>
      <c r="V1285" s="25"/>
      <c r="W1285" s="58"/>
      <c r="X1285" s="58"/>
      <c r="Y1285" s="25"/>
      <c r="Z1285" s="45">
        <v>6</v>
      </c>
      <c r="AA1285" s="65">
        <v>61</v>
      </c>
      <c r="AB1285" s="65">
        <v>72</v>
      </c>
      <c r="AC1285" s="25"/>
      <c r="AD1285" s="25"/>
      <c r="BA1285" s="226"/>
    </row>
    <row r="1286" spans="1:53" ht="15.75" customHeight="1" thickBot="1" x14ac:dyDescent="0.3">
      <c r="A1286" s="88"/>
      <c r="B1286" s="321" t="s">
        <v>260</v>
      </c>
      <c r="C1286" s="293" t="s">
        <v>261</v>
      </c>
      <c r="D1286" s="293" t="s">
        <v>262</v>
      </c>
      <c r="E1286" s="306" t="s">
        <v>263</v>
      </c>
      <c r="F1286" s="293" t="s">
        <v>264</v>
      </c>
      <c r="G1286" s="308" t="s">
        <v>265</v>
      </c>
      <c r="H1286" s="308" t="s">
        <v>266</v>
      </c>
      <c r="I1286" s="308" t="s">
        <v>267</v>
      </c>
      <c r="J1286" s="310" t="s">
        <v>268</v>
      </c>
      <c r="K1286" s="293" t="s">
        <v>269</v>
      </c>
      <c r="L1286" s="279" t="s">
        <v>270</v>
      </c>
      <c r="M1286" s="281" t="s">
        <v>271</v>
      </c>
      <c r="N1286" s="281"/>
      <c r="O1286" s="281"/>
      <c r="P1286" s="281"/>
      <c r="Q1286" s="281"/>
      <c r="R1286" s="281"/>
      <c r="S1286" s="281"/>
      <c r="T1286" s="281"/>
      <c r="U1286" s="282"/>
      <c r="V1286" s="107"/>
      <c r="W1286" s="72"/>
      <c r="X1286" s="72"/>
      <c r="Y1286" s="72"/>
      <c r="Z1286" s="45">
        <v>7</v>
      </c>
      <c r="AA1286" s="65">
        <v>73</v>
      </c>
      <c r="AB1286" s="65">
        <v>84</v>
      </c>
      <c r="AC1286" s="25"/>
      <c r="AD1286" s="25"/>
      <c r="BA1286" s="228"/>
    </row>
    <row r="1287" spans="1:53" ht="15.75" thickBot="1" x14ac:dyDescent="0.3">
      <c r="A1287" s="88"/>
      <c r="B1287" s="322"/>
      <c r="C1287" s="294"/>
      <c r="D1287" s="294"/>
      <c r="E1287" s="307"/>
      <c r="F1287" s="294"/>
      <c r="G1287" s="309"/>
      <c r="H1287" s="309"/>
      <c r="I1287" s="309"/>
      <c r="J1287" s="311"/>
      <c r="K1287" s="294"/>
      <c r="L1287" s="280"/>
      <c r="M1287" s="283"/>
      <c r="N1287" s="283"/>
      <c r="O1287" s="283"/>
      <c r="P1287" s="283"/>
      <c r="Q1287" s="283"/>
      <c r="R1287" s="283"/>
      <c r="S1287" s="283"/>
      <c r="T1287" s="283"/>
      <c r="U1287" s="284"/>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t="s">
        <v>502</v>
      </c>
      <c r="D1288" s="102"/>
      <c r="E1288" s="32">
        <v>48</v>
      </c>
      <c r="F1288" s="32"/>
      <c r="G1288" s="68" t="s">
        <v>277</v>
      </c>
      <c r="H1288" s="69">
        <f>IF(I1288=0,0,I1288-(E1288-1))</f>
        <v>781</v>
      </c>
      <c r="I1288" s="70">
        <f>IF(E1288=0,0,I1283)</f>
        <v>828</v>
      </c>
      <c r="J1288" s="71" t="s">
        <v>278</v>
      </c>
      <c r="K1288" s="32"/>
      <c r="L1288" s="233"/>
      <c r="M1288" s="277" t="s">
        <v>405</v>
      </c>
      <c r="N1288" s="277"/>
      <c r="O1288" s="277"/>
      <c r="P1288" s="277"/>
      <c r="Q1288" s="277"/>
      <c r="R1288" s="277"/>
      <c r="S1288" s="277"/>
      <c r="T1288" s="277"/>
      <c r="U1288" s="278"/>
      <c r="V1288" s="103"/>
      <c r="W1288" s="72"/>
      <c r="X1288" s="72"/>
      <c r="Y1288" s="72"/>
      <c r="Z1288" s="45">
        <v>9</v>
      </c>
      <c r="AA1288" s="46">
        <v>97</v>
      </c>
      <c r="AB1288" s="46">
        <v>108</v>
      </c>
      <c r="AC1288" s="72">
        <f t="shared" ref="AC1288:AC1312" si="536">IF(B1288&lt;&gt;"FST",1,0)</f>
        <v>1</v>
      </c>
      <c r="AD1288" s="72">
        <f t="shared" ref="AD1288:AD1312" si="537">IF(C1288&lt;&gt;"FST",1,0)</f>
        <v>1</v>
      </c>
      <c r="AE1288" s="109" t="str">
        <f t="shared" ref="AE1288:AE1312" si="538">CONCATENATE(H1288,"-",I1288)</f>
        <v>781-828</v>
      </c>
      <c r="AF1288" s="109" t="str">
        <f t="shared" ref="AF1288:AF1312" si="539">IF(C1288="Field SPL","N","Y")</f>
        <v>N</v>
      </c>
      <c r="AG1288" s="109" t="str">
        <f t="shared" ref="AG1288:AG1312" si="540">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41">VALUE(IF(C1288="FST","0",IF(C1288="REV T","1",IF(C1288="DBL REV",".5","0"))))</f>
        <v>0</v>
      </c>
      <c r="AN1288" s="109">
        <f t="shared" ref="AN1288:AN1312" si="542">VALUE(IF(C1288="FST","0",IF(C1288="REV T","0",IF(C1288="DBL REV",".5","0"))))</f>
        <v>0</v>
      </c>
      <c r="AO1288" s="109" t="str">
        <f t="shared" ref="AO1288:AO1312" si="543">IF(C1288="TPL REV","Y","")</f>
        <v/>
      </c>
      <c r="AQ1288" s="109" t="str">
        <f t="shared" ref="AQ1288:AQ1312" si="544">IF(C1288="QD REV","Y","")</f>
        <v/>
      </c>
      <c r="BA1288" s="229">
        <f>MOD(E1288,12)</f>
        <v>0</v>
      </c>
    </row>
    <row r="1289" spans="1:53" ht="15.75" thickBot="1" x14ac:dyDescent="0.3">
      <c r="A1289" s="88"/>
      <c r="B1289" s="66" t="s">
        <v>279</v>
      </c>
      <c r="C1289" s="67"/>
      <c r="D1289" s="102"/>
      <c r="E1289" s="32"/>
      <c r="F1289" s="32"/>
      <c r="G1289" s="68" t="s">
        <v>277</v>
      </c>
      <c r="H1289" s="69">
        <f t="shared" ref="H1289:H1312" si="545">IF(E1289=0,0,I1289-(E1289-1))</f>
        <v>0</v>
      </c>
      <c r="I1289" s="70">
        <f t="shared" ref="I1289:I1312" si="546">IF(E1289=0,0,H1288-1)</f>
        <v>0</v>
      </c>
      <c r="J1289" s="73" t="str">
        <f>IF(C1289="","--",IF(AND(C1289&lt;&gt;"FST",C1289&lt;&gt;"TCF",BA1288&lt;&gt;0),BA1288,"--"))</f>
        <v>--</v>
      </c>
      <c r="K1289" s="32"/>
      <c r="L1289" s="233"/>
      <c r="M1289" s="277"/>
      <c r="N1289" s="277"/>
      <c r="O1289" s="277"/>
      <c r="P1289" s="277"/>
      <c r="Q1289" s="277"/>
      <c r="R1289" s="277"/>
      <c r="S1289" s="277"/>
      <c r="T1289" s="277"/>
      <c r="U1289" s="278"/>
      <c r="V1289" s="103"/>
      <c r="W1289" s="72"/>
      <c r="X1289" s="72"/>
      <c r="Y1289" s="72"/>
      <c r="Z1289" s="45">
        <v>10</v>
      </c>
      <c r="AA1289" s="46">
        <v>109</v>
      </c>
      <c r="AB1289" s="46">
        <v>120</v>
      </c>
      <c r="AC1289" s="72">
        <f t="shared" si="536"/>
        <v>1</v>
      </c>
      <c r="AD1289" s="72">
        <f t="shared" si="537"/>
        <v>1</v>
      </c>
      <c r="AE1289" s="109" t="str">
        <f t="shared" si="538"/>
        <v>0-0</v>
      </c>
      <c r="AF1289" s="109" t="str">
        <f t="shared" si="539"/>
        <v>Y</v>
      </c>
      <c r="AG1289" s="109" t="str">
        <f t="shared" si="540"/>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41"/>
        <v>0</v>
      </c>
      <c r="AN1289" s="109">
        <f t="shared" si="542"/>
        <v>0</v>
      </c>
      <c r="AO1289" s="109" t="str">
        <f t="shared" si="543"/>
        <v/>
      </c>
      <c r="AQ1289" s="109" t="str">
        <f t="shared" si="544"/>
        <v/>
      </c>
      <c r="BA1289" s="229">
        <f>MOD(SUM(E1288:E1289),12)</f>
        <v>0</v>
      </c>
    </row>
    <row r="1290" spans="1:53" ht="15.75" thickBot="1" x14ac:dyDescent="0.3">
      <c r="A1290" s="88"/>
      <c r="B1290" s="74" t="s">
        <v>280</v>
      </c>
      <c r="C1290" s="67"/>
      <c r="D1290" s="102"/>
      <c r="E1290" s="32"/>
      <c r="F1290" s="32"/>
      <c r="G1290" s="75" t="s">
        <v>277</v>
      </c>
      <c r="H1290" s="69">
        <f t="shared" si="545"/>
        <v>0</v>
      </c>
      <c r="I1290" s="70">
        <f t="shared" si="546"/>
        <v>0</v>
      </c>
      <c r="J1290" s="73" t="str">
        <f t="shared" ref="J1290:J1312" si="547">IF(C1290="","--",IF(AND(C1290&lt;&gt;"FST",C1290&lt;&gt;"TCF",BA1289&lt;&gt;0),BA1289,"--"))</f>
        <v>--</v>
      </c>
      <c r="K1290" s="32"/>
      <c r="L1290" s="233"/>
      <c r="M1290" s="277"/>
      <c r="N1290" s="277"/>
      <c r="O1290" s="277"/>
      <c r="P1290" s="277"/>
      <c r="Q1290" s="277"/>
      <c r="R1290" s="277"/>
      <c r="S1290" s="277"/>
      <c r="T1290" s="277"/>
      <c r="U1290" s="278"/>
      <c r="V1290" s="103"/>
      <c r="W1290" s="72"/>
      <c r="X1290" s="72"/>
      <c r="Y1290" s="72"/>
      <c r="Z1290" s="45">
        <v>11</v>
      </c>
      <c r="AA1290" s="46">
        <v>121</v>
      </c>
      <c r="AB1290" s="46">
        <v>132</v>
      </c>
      <c r="AC1290" s="72">
        <f t="shared" si="536"/>
        <v>1</v>
      </c>
      <c r="AD1290" s="72">
        <f t="shared" si="537"/>
        <v>1</v>
      </c>
      <c r="AE1290" s="109" t="str">
        <f t="shared" si="538"/>
        <v>0-0</v>
      </c>
      <c r="AF1290" s="109" t="str">
        <f t="shared" si="539"/>
        <v>Y</v>
      </c>
      <c r="AG1290" s="109" t="str">
        <f t="shared" si="540"/>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41"/>
        <v>0</v>
      </c>
      <c r="AN1290" s="109">
        <f t="shared" si="542"/>
        <v>0</v>
      </c>
      <c r="AO1290" s="109" t="str">
        <f t="shared" si="543"/>
        <v/>
      </c>
      <c r="AQ1290" s="109" t="str">
        <f t="shared" si="544"/>
        <v/>
      </c>
      <c r="BA1290" s="229">
        <f>MOD(SUM(E1288:E1291),12)</f>
        <v>0</v>
      </c>
    </row>
    <row r="1291" spans="1:53" ht="15.75" thickBot="1" x14ac:dyDescent="0.3">
      <c r="A1291" s="88"/>
      <c r="B1291" s="66" t="s">
        <v>281</v>
      </c>
      <c r="C1291" s="67"/>
      <c r="D1291" s="102"/>
      <c r="E1291" s="32"/>
      <c r="F1291" s="32"/>
      <c r="G1291" s="68" t="s">
        <v>277</v>
      </c>
      <c r="H1291" s="69">
        <f t="shared" si="545"/>
        <v>0</v>
      </c>
      <c r="I1291" s="70">
        <f t="shared" si="546"/>
        <v>0</v>
      </c>
      <c r="J1291" s="73" t="str">
        <f t="shared" si="547"/>
        <v>--</v>
      </c>
      <c r="K1291" s="32"/>
      <c r="L1291" s="233"/>
      <c r="M1291" s="277"/>
      <c r="N1291" s="277"/>
      <c r="O1291" s="277"/>
      <c r="P1291" s="277"/>
      <c r="Q1291" s="277"/>
      <c r="R1291" s="277"/>
      <c r="S1291" s="277"/>
      <c r="T1291" s="277"/>
      <c r="U1291" s="278"/>
      <c r="V1291" s="103"/>
      <c r="W1291" s="72"/>
      <c r="X1291" s="72"/>
      <c r="Y1291" s="72"/>
      <c r="Z1291" s="45">
        <v>12</v>
      </c>
      <c r="AA1291" s="76">
        <v>133</v>
      </c>
      <c r="AB1291" s="76">
        <v>144</v>
      </c>
      <c r="AC1291" s="72">
        <f t="shared" si="536"/>
        <v>1</v>
      </c>
      <c r="AD1291" s="72">
        <f t="shared" si="537"/>
        <v>1</v>
      </c>
      <c r="AE1291" s="109" t="str">
        <f t="shared" si="538"/>
        <v>0-0</v>
      </c>
      <c r="AF1291" s="109" t="str">
        <f t="shared" si="539"/>
        <v>Y</v>
      </c>
      <c r="AG1291" s="109" t="str">
        <f t="shared" si="540"/>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41"/>
        <v>0</v>
      </c>
      <c r="AN1291" s="109">
        <f t="shared" si="542"/>
        <v>0</v>
      </c>
      <c r="AO1291" s="109" t="str">
        <f t="shared" si="543"/>
        <v/>
      </c>
      <c r="AQ1291" s="109" t="str">
        <f t="shared" si="544"/>
        <v/>
      </c>
      <c r="BA1291" s="229">
        <f>MOD(SUM(E1288:E1292),12)</f>
        <v>0</v>
      </c>
    </row>
    <row r="1292" spans="1:53" ht="15.75" thickBot="1" x14ac:dyDescent="0.3">
      <c r="A1292" s="88"/>
      <c r="B1292" s="66" t="s">
        <v>282</v>
      </c>
      <c r="C1292" s="67"/>
      <c r="D1292" s="102"/>
      <c r="E1292" s="32"/>
      <c r="F1292" s="32"/>
      <c r="G1292" s="68" t="s">
        <v>277</v>
      </c>
      <c r="H1292" s="69">
        <f t="shared" si="545"/>
        <v>0</v>
      </c>
      <c r="I1292" s="70">
        <f t="shared" si="546"/>
        <v>0</v>
      </c>
      <c r="J1292" s="73" t="str">
        <f t="shared" si="547"/>
        <v>--</v>
      </c>
      <c r="K1292" s="32"/>
      <c r="L1292" s="233"/>
      <c r="M1292" s="277"/>
      <c r="N1292" s="277"/>
      <c r="O1292" s="277"/>
      <c r="P1292" s="277"/>
      <c r="Q1292" s="277"/>
      <c r="R1292" s="277"/>
      <c r="S1292" s="277"/>
      <c r="T1292" s="277"/>
      <c r="U1292" s="278"/>
      <c r="V1292" s="103"/>
      <c r="W1292" s="72"/>
      <c r="X1292" s="72"/>
      <c r="Y1292" s="72"/>
      <c r="Z1292" s="45">
        <v>13</v>
      </c>
      <c r="AA1292" s="77">
        <f t="shared" ref="AA1292:AA1297" si="548">AB1291+1</f>
        <v>145</v>
      </c>
      <c r="AB1292" s="77">
        <f t="shared" ref="AB1292:AB1297" si="549">AB1291+12</f>
        <v>156</v>
      </c>
      <c r="AC1292" s="72">
        <f t="shared" si="536"/>
        <v>1</v>
      </c>
      <c r="AD1292" s="72">
        <f t="shared" si="537"/>
        <v>1</v>
      </c>
      <c r="AE1292" s="109" t="str">
        <f t="shared" si="538"/>
        <v>0-0</v>
      </c>
      <c r="AF1292" s="109" t="str">
        <f t="shared" si="539"/>
        <v>Y</v>
      </c>
      <c r="AG1292" s="109" t="str">
        <f t="shared" si="540"/>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41"/>
        <v>0</v>
      </c>
      <c r="AN1292" s="109">
        <f t="shared" si="542"/>
        <v>0</v>
      </c>
      <c r="AO1292" s="109" t="str">
        <f t="shared" si="543"/>
        <v/>
      </c>
      <c r="AQ1292" s="109" t="str">
        <f t="shared" si="544"/>
        <v/>
      </c>
      <c r="BA1292" s="229">
        <f>MOD(SUM(E1288:E1293),12)</f>
        <v>0</v>
      </c>
    </row>
    <row r="1293" spans="1:53" ht="15.75" thickBot="1" x14ac:dyDescent="0.3">
      <c r="A1293" s="88"/>
      <c r="B1293" s="66" t="s">
        <v>283</v>
      </c>
      <c r="C1293" s="67"/>
      <c r="D1293" s="102"/>
      <c r="E1293" s="32"/>
      <c r="F1293" s="32"/>
      <c r="G1293" s="68" t="s">
        <v>277</v>
      </c>
      <c r="H1293" s="69">
        <f t="shared" si="545"/>
        <v>0</v>
      </c>
      <c r="I1293" s="70">
        <f t="shared" si="546"/>
        <v>0</v>
      </c>
      <c r="J1293" s="73" t="str">
        <f t="shared" si="547"/>
        <v>--</v>
      </c>
      <c r="K1293" s="32"/>
      <c r="L1293" s="233"/>
      <c r="M1293" s="277"/>
      <c r="N1293" s="277"/>
      <c r="O1293" s="277"/>
      <c r="P1293" s="277"/>
      <c r="Q1293" s="277"/>
      <c r="R1293" s="277"/>
      <c r="S1293" s="277"/>
      <c r="T1293" s="277"/>
      <c r="U1293" s="278"/>
      <c r="V1293" s="103"/>
      <c r="W1293" s="72"/>
      <c r="X1293" s="72"/>
      <c r="Y1293" s="72"/>
      <c r="Z1293" s="45">
        <v>14</v>
      </c>
      <c r="AA1293" s="77">
        <f t="shared" si="548"/>
        <v>157</v>
      </c>
      <c r="AB1293" s="77">
        <f t="shared" si="549"/>
        <v>168</v>
      </c>
      <c r="AC1293" s="72">
        <f t="shared" si="536"/>
        <v>1</v>
      </c>
      <c r="AD1293" s="72">
        <f t="shared" si="537"/>
        <v>1</v>
      </c>
      <c r="AE1293" s="109" t="str">
        <f t="shared" si="538"/>
        <v>0-0</v>
      </c>
      <c r="AF1293" s="109" t="str">
        <f t="shared" si="539"/>
        <v>Y</v>
      </c>
      <c r="AG1293" s="109" t="str">
        <f t="shared" si="540"/>
        <v>B</v>
      </c>
      <c r="AM1293" s="109">
        <f t="shared" si="541"/>
        <v>0</v>
      </c>
      <c r="AN1293" s="109">
        <f t="shared" si="542"/>
        <v>0</v>
      </c>
      <c r="AO1293" s="109" t="str">
        <f t="shared" si="543"/>
        <v/>
      </c>
      <c r="AQ1293" s="109" t="str">
        <f t="shared" si="544"/>
        <v/>
      </c>
      <c r="BA1293" s="229">
        <f>MOD(SUM(E1288:E1294),12)</f>
        <v>0</v>
      </c>
    </row>
    <row r="1294" spans="1:53" ht="15.75" thickBot="1" x14ac:dyDescent="0.3">
      <c r="A1294" s="88"/>
      <c r="B1294" s="66" t="s">
        <v>284</v>
      </c>
      <c r="C1294" s="67"/>
      <c r="D1294" s="102"/>
      <c r="E1294" s="32"/>
      <c r="F1294" s="32"/>
      <c r="G1294" s="68" t="s">
        <v>277</v>
      </c>
      <c r="H1294" s="69">
        <f t="shared" si="545"/>
        <v>0</v>
      </c>
      <c r="I1294" s="70">
        <f t="shared" si="546"/>
        <v>0</v>
      </c>
      <c r="J1294" s="73" t="str">
        <f t="shared" si="547"/>
        <v>--</v>
      </c>
      <c r="K1294" s="32"/>
      <c r="L1294" s="233"/>
      <c r="M1294" s="277"/>
      <c r="N1294" s="277"/>
      <c r="O1294" s="277"/>
      <c r="P1294" s="277"/>
      <c r="Q1294" s="277"/>
      <c r="R1294" s="277"/>
      <c r="S1294" s="277"/>
      <c r="T1294" s="277"/>
      <c r="U1294" s="278"/>
      <c r="V1294" s="103"/>
      <c r="W1294" s="72"/>
      <c r="X1294" s="72"/>
      <c r="Y1294" s="72"/>
      <c r="Z1294" s="45">
        <v>15</v>
      </c>
      <c r="AA1294" s="77">
        <f t="shared" si="548"/>
        <v>169</v>
      </c>
      <c r="AB1294" s="77">
        <f t="shared" si="549"/>
        <v>180</v>
      </c>
      <c r="AC1294" s="72">
        <f t="shared" si="536"/>
        <v>1</v>
      </c>
      <c r="AD1294" s="72">
        <f t="shared" si="537"/>
        <v>1</v>
      </c>
      <c r="AE1294" s="109" t="str">
        <f t="shared" si="538"/>
        <v>0-0</v>
      </c>
      <c r="AF1294" s="109" t="str">
        <f t="shared" si="539"/>
        <v>Y</v>
      </c>
      <c r="AG1294" s="109" t="str">
        <f t="shared" si="540"/>
        <v>B</v>
      </c>
      <c r="AM1294" s="109">
        <f t="shared" si="541"/>
        <v>0</v>
      </c>
      <c r="AN1294" s="109">
        <f t="shared" si="542"/>
        <v>0</v>
      </c>
      <c r="AO1294" s="109" t="str">
        <f t="shared" si="543"/>
        <v/>
      </c>
      <c r="AQ1294" s="109" t="str">
        <f t="shared" si="544"/>
        <v/>
      </c>
      <c r="BA1294" s="229">
        <f>MOD(SUM(E1288:E1295),12)</f>
        <v>0</v>
      </c>
    </row>
    <row r="1295" spans="1:53" ht="15.75" thickBot="1" x14ac:dyDescent="0.3">
      <c r="A1295" s="88"/>
      <c r="B1295" s="66" t="s">
        <v>285</v>
      </c>
      <c r="C1295" s="67"/>
      <c r="D1295" s="102"/>
      <c r="E1295" s="32"/>
      <c r="F1295" s="32"/>
      <c r="G1295" s="68" t="s">
        <v>277</v>
      </c>
      <c r="H1295" s="69">
        <f t="shared" si="545"/>
        <v>0</v>
      </c>
      <c r="I1295" s="70">
        <f t="shared" si="546"/>
        <v>0</v>
      </c>
      <c r="J1295" s="73" t="str">
        <f t="shared" si="547"/>
        <v>--</v>
      </c>
      <c r="K1295" s="32"/>
      <c r="L1295" s="233"/>
      <c r="M1295" s="277"/>
      <c r="N1295" s="277"/>
      <c r="O1295" s="277"/>
      <c r="P1295" s="277"/>
      <c r="Q1295" s="277"/>
      <c r="R1295" s="277"/>
      <c r="S1295" s="277"/>
      <c r="T1295" s="277"/>
      <c r="U1295" s="278"/>
      <c r="V1295" s="103"/>
      <c r="W1295" s="72"/>
      <c r="X1295" s="72"/>
      <c r="Y1295" s="72"/>
      <c r="Z1295" s="45">
        <f>Z1294+1</f>
        <v>16</v>
      </c>
      <c r="AA1295" s="77">
        <f t="shared" si="548"/>
        <v>181</v>
      </c>
      <c r="AB1295" s="77">
        <f t="shared" si="549"/>
        <v>192</v>
      </c>
      <c r="AC1295" s="72">
        <f t="shared" si="536"/>
        <v>1</v>
      </c>
      <c r="AD1295" s="72">
        <f t="shared" si="537"/>
        <v>1</v>
      </c>
      <c r="AE1295" s="109" t="str">
        <f t="shared" si="538"/>
        <v>0-0</v>
      </c>
      <c r="AF1295" s="109" t="str">
        <f t="shared" si="539"/>
        <v>Y</v>
      </c>
      <c r="AG1295" s="109" t="str">
        <f t="shared" si="540"/>
        <v>B</v>
      </c>
      <c r="AM1295" s="109">
        <f t="shared" si="541"/>
        <v>0</v>
      </c>
      <c r="AN1295" s="109">
        <f t="shared" si="542"/>
        <v>0</v>
      </c>
      <c r="AO1295" s="109" t="str">
        <f t="shared" si="543"/>
        <v/>
      </c>
      <c r="AQ1295" s="109" t="str">
        <f t="shared" si="544"/>
        <v/>
      </c>
      <c r="BA1295" s="229">
        <f>MOD(SUM(E1288:E1296),12)</f>
        <v>0</v>
      </c>
    </row>
    <row r="1296" spans="1:53" ht="15.75" thickBot="1" x14ac:dyDescent="0.3">
      <c r="A1296" s="88"/>
      <c r="B1296" s="66" t="s">
        <v>286</v>
      </c>
      <c r="C1296" s="67"/>
      <c r="D1296" s="102"/>
      <c r="E1296" s="32"/>
      <c r="F1296" s="32"/>
      <c r="G1296" s="68" t="s">
        <v>277</v>
      </c>
      <c r="H1296" s="69">
        <f t="shared" si="545"/>
        <v>0</v>
      </c>
      <c r="I1296" s="70">
        <f t="shared" si="546"/>
        <v>0</v>
      </c>
      <c r="J1296" s="73" t="str">
        <f t="shared" si="547"/>
        <v>--</v>
      </c>
      <c r="K1296" s="32"/>
      <c r="L1296" s="233"/>
      <c r="M1296" s="277"/>
      <c r="N1296" s="277"/>
      <c r="O1296" s="277"/>
      <c r="P1296" s="277"/>
      <c r="Q1296" s="277"/>
      <c r="R1296" s="277"/>
      <c r="S1296" s="277"/>
      <c r="T1296" s="277"/>
      <c r="U1296" s="278"/>
      <c r="V1296" s="103"/>
      <c r="W1296" s="72"/>
      <c r="X1296" s="72"/>
      <c r="Y1296" s="72"/>
      <c r="Z1296" s="45">
        <f>Z1295+1</f>
        <v>17</v>
      </c>
      <c r="AA1296" s="77">
        <f t="shared" si="548"/>
        <v>193</v>
      </c>
      <c r="AB1296" s="77">
        <f t="shared" si="549"/>
        <v>204</v>
      </c>
      <c r="AC1296" s="72">
        <f t="shared" si="536"/>
        <v>1</v>
      </c>
      <c r="AD1296" s="72">
        <f t="shared" si="537"/>
        <v>1</v>
      </c>
      <c r="AE1296" s="109" t="str">
        <f t="shared" si="538"/>
        <v>0-0</v>
      </c>
      <c r="AF1296" s="109" t="str">
        <f t="shared" si="539"/>
        <v>Y</v>
      </c>
      <c r="AG1296" s="109" t="str">
        <f t="shared" si="540"/>
        <v>B</v>
      </c>
      <c r="AM1296" s="109">
        <f t="shared" si="541"/>
        <v>0</v>
      </c>
      <c r="AN1296" s="109">
        <f t="shared" si="542"/>
        <v>0</v>
      </c>
      <c r="AO1296" s="109" t="str">
        <f t="shared" si="543"/>
        <v/>
      </c>
      <c r="AQ1296" s="109" t="str">
        <f t="shared" si="544"/>
        <v/>
      </c>
      <c r="BA1296" s="229">
        <f>MOD(SUM(E1288:E1297),12)</f>
        <v>0</v>
      </c>
    </row>
    <row r="1297" spans="1:53" ht="15.75" thickBot="1" x14ac:dyDescent="0.3">
      <c r="A1297" s="88"/>
      <c r="B1297" s="66" t="s">
        <v>287</v>
      </c>
      <c r="C1297" s="67"/>
      <c r="D1297" s="102"/>
      <c r="E1297" s="32"/>
      <c r="F1297" s="32"/>
      <c r="G1297" s="68" t="s">
        <v>277</v>
      </c>
      <c r="H1297" s="69">
        <f t="shared" si="545"/>
        <v>0</v>
      </c>
      <c r="I1297" s="70">
        <f t="shared" si="546"/>
        <v>0</v>
      </c>
      <c r="J1297" s="73" t="str">
        <f t="shared" si="547"/>
        <v>--</v>
      </c>
      <c r="K1297" s="32"/>
      <c r="L1297" s="233"/>
      <c r="M1297" s="277"/>
      <c r="N1297" s="277"/>
      <c r="O1297" s="277"/>
      <c r="P1297" s="277"/>
      <c r="Q1297" s="277"/>
      <c r="R1297" s="277"/>
      <c r="S1297" s="277"/>
      <c r="T1297" s="277"/>
      <c r="U1297" s="278"/>
      <c r="V1297" s="103"/>
      <c r="W1297" s="72"/>
      <c r="X1297" s="72"/>
      <c r="Y1297" s="72"/>
      <c r="Z1297" s="45">
        <f>Z1296+1</f>
        <v>18</v>
      </c>
      <c r="AA1297" s="77">
        <f t="shared" si="548"/>
        <v>205</v>
      </c>
      <c r="AB1297" s="77">
        <f t="shared" si="549"/>
        <v>216</v>
      </c>
      <c r="AC1297" s="72">
        <f t="shared" si="536"/>
        <v>1</v>
      </c>
      <c r="AD1297" s="72">
        <f t="shared" si="537"/>
        <v>1</v>
      </c>
      <c r="AE1297" s="109" t="str">
        <f t="shared" si="538"/>
        <v>0-0</v>
      </c>
      <c r="AF1297" s="109" t="str">
        <f t="shared" si="539"/>
        <v>Y</v>
      </c>
      <c r="AG1297" s="109" t="str">
        <f t="shared" si="540"/>
        <v>B</v>
      </c>
      <c r="AM1297" s="109">
        <f t="shared" si="541"/>
        <v>0</v>
      </c>
      <c r="AN1297" s="109">
        <f t="shared" si="542"/>
        <v>0</v>
      </c>
      <c r="AO1297" s="109" t="str">
        <f t="shared" si="543"/>
        <v/>
      </c>
      <c r="AQ1297" s="109" t="str">
        <f t="shared" si="544"/>
        <v/>
      </c>
      <c r="BA1297" s="229">
        <f>MOD(SUM(E1288:E1298),12)</f>
        <v>0</v>
      </c>
    </row>
    <row r="1298" spans="1:53" ht="15.75" thickBot="1" x14ac:dyDescent="0.3">
      <c r="A1298" s="88"/>
      <c r="B1298" s="66" t="s">
        <v>288</v>
      </c>
      <c r="C1298" s="67"/>
      <c r="D1298" s="102"/>
      <c r="E1298" s="32"/>
      <c r="F1298" s="32"/>
      <c r="G1298" s="68" t="s">
        <v>277</v>
      </c>
      <c r="H1298" s="69">
        <f t="shared" si="545"/>
        <v>0</v>
      </c>
      <c r="I1298" s="70">
        <f t="shared" si="546"/>
        <v>0</v>
      </c>
      <c r="J1298" s="73" t="str">
        <f t="shared" si="547"/>
        <v>--</v>
      </c>
      <c r="K1298" s="32"/>
      <c r="L1298" s="233"/>
      <c r="M1298" s="277"/>
      <c r="N1298" s="277"/>
      <c r="O1298" s="277"/>
      <c r="P1298" s="277"/>
      <c r="Q1298" s="277"/>
      <c r="R1298" s="277"/>
      <c r="S1298" s="277"/>
      <c r="T1298" s="277"/>
      <c r="U1298" s="278"/>
      <c r="V1298" s="103"/>
      <c r="W1298" s="84"/>
      <c r="X1298" s="84"/>
      <c r="Y1298" s="72"/>
      <c r="Z1298" s="72"/>
      <c r="AA1298" s="72"/>
      <c r="AB1298" s="72"/>
      <c r="AC1298" s="72">
        <f t="shared" si="536"/>
        <v>1</v>
      </c>
      <c r="AD1298" s="72">
        <f t="shared" si="537"/>
        <v>1</v>
      </c>
      <c r="AE1298" s="109" t="str">
        <f t="shared" si="538"/>
        <v>0-0</v>
      </c>
      <c r="AF1298" s="109" t="str">
        <f t="shared" si="539"/>
        <v>Y</v>
      </c>
      <c r="AG1298" s="109" t="str">
        <f t="shared" si="540"/>
        <v>B</v>
      </c>
      <c r="AM1298" s="109">
        <f t="shared" si="541"/>
        <v>0</v>
      </c>
      <c r="AN1298" s="109">
        <f t="shared" si="542"/>
        <v>0</v>
      </c>
      <c r="AO1298" s="109" t="str">
        <f t="shared" si="543"/>
        <v/>
      </c>
      <c r="AQ1298" s="109" t="str">
        <f t="shared" si="544"/>
        <v/>
      </c>
      <c r="BA1298" s="229">
        <f>MOD(SUM(E1288:E1299),12)</f>
        <v>0</v>
      </c>
    </row>
    <row r="1299" spans="1:53" ht="15.75" thickBot="1" x14ac:dyDescent="0.3">
      <c r="A1299" s="88"/>
      <c r="B1299" s="66" t="s">
        <v>289</v>
      </c>
      <c r="C1299" s="67"/>
      <c r="D1299" s="102"/>
      <c r="E1299" s="32"/>
      <c r="F1299" s="32"/>
      <c r="G1299" s="68" t="s">
        <v>277</v>
      </c>
      <c r="H1299" s="69">
        <f t="shared" si="545"/>
        <v>0</v>
      </c>
      <c r="I1299" s="70">
        <f t="shared" si="546"/>
        <v>0</v>
      </c>
      <c r="J1299" s="73" t="str">
        <f t="shared" si="547"/>
        <v>--</v>
      </c>
      <c r="K1299" s="32"/>
      <c r="L1299" s="233"/>
      <c r="M1299" s="277"/>
      <c r="N1299" s="277"/>
      <c r="O1299" s="277"/>
      <c r="P1299" s="277"/>
      <c r="Q1299" s="277"/>
      <c r="R1299" s="277"/>
      <c r="S1299" s="277"/>
      <c r="T1299" s="277"/>
      <c r="U1299" s="278"/>
      <c r="V1299" s="103"/>
      <c r="W1299" s="84">
        <f>Y1299+1</f>
        <v>49</v>
      </c>
      <c r="X1299" s="84"/>
      <c r="Y1299" s="78">
        <f>SUM(E1288:E1299)</f>
        <v>48</v>
      </c>
      <c r="Z1299" s="72"/>
      <c r="AA1299" s="72"/>
      <c r="AB1299" s="72"/>
      <c r="AC1299" s="72">
        <f t="shared" si="536"/>
        <v>1</v>
      </c>
      <c r="AD1299" s="72">
        <f t="shared" si="537"/>
        <v>1</v>
      </c>
      <c r="AE1299" s="109" t="str">
        <f t="shared" si="538"/>
        <v>0-0</v>
      </c>
      <c r="AF1299" s="109" t="str">
        <f t="shared" si="539"/>
        <v>Y</v>
      </c>
      <c r="AG1299" s="109" t="str">
        <f t="shared" si="540"/>
        <v>B</v>
      </c>
      <c r="AM1299" s="109">
        <f t="shared" si="541"/>
        <v>0</v>
      </c>
      <c r="AN1299" s="109">
        <f t="shared" si="542"/>
        <v>0</v>
      </c>
      <c r="AO1299" s="109" t="str">
        <f t="shared" si="543"/>
        <v/>
      </c>
      <c r="AQ1299" s="109" t="str">
        <f t="shared" si="544"/>
        <v/>
      </c>
      <c r="BA1299" s="229">
        <f>MOD(SUM(E1288:E1300),12)</f>
        <v>0</v>
      </c>
    </row>
    <row r="1300" spans="1:53" ht="15.75" thickBot="1" x14ac:dyDescent="0.3">
      <c r="A1300" s="88"/>
      <c r="B1300" s="66" t="s">
        <v>290</v>
      </c>
      <c r="C1300" s="67"/>
      <c r="D1300" s="102"/>
      <c r="E1300" s="32"/>
      <c r="F1300" s="32"/>
      <c r="G1300" s="68" t="s">
        <v>277</v>
      </c>
      <c r="H1300" s="69">
        <f t="shared" si="545"/>
        <v>0</v>
      </c>
      <c r="I1300" s="70">
        <f t="shared" si="546"/>
        <v>0</v>
      </c>
      <c r="J1300" s="73" t="str">
        <f t="shared" si="547"/>
        <v>--</v>
      </c>
      <c r="K1300" s="32"/>
      <c r="L1300" s="233"/>
      <c r="M1300" s="277"/>
      <c r="N1300" s="277"/>
      <c r="O1300" s="277"/>
      <c r="P1300" s="277"/>
      <c r="Q1300" s="277"/>
      <c r="R1300" s="277"/>
      <c r="S1300" s="277"/>
      <c r="T1300" s="277"/>
      <c r="U1300" s="278"/>
      <c r="V1300" s="103"/>
      <c r="W1300" s="84">
        <f>Y1300+1</f>
        <v>49</v>
      </c>
      <c r="X1300" s="84"/>
      <c r="Y1300" s="78">
        <f>SUM(E1288:E1300)</f>
        <v>48</v>
      </c>
      <c r="Z1300" s="72" t="str">
        <f t="shared" ref="Z1300:Z1312" si="550">IF(OR(AND(E$8=216,C1299="DBL REV",C1300="DBL REV",Y1299&lt;=144,Y1300&gt;144),AND(E$8=216,C1299="TPL REV",C1300="TPL REV",Y1299&lt;=144,Y1300&gt;144),AND(E$8=216,C1299="QD REV",C1300="QD REV",Y1299&lt;=144,Y1300&gt;144)),"ERROR","")</f>
        <v/>
      </c>
      <c r="AA1300" s="72"/>
      <c r="AB1300" s="72"/>
      <c r="AC1300" s="72">
        <f t="shared" si="536"/>
        <v>1</v>
      </c>
      <c r="AD1300" s="72">
        <f t="shared" si="537"/>
        <v>1</v>
      </c>
      <c r="AE1300" s="109" t="str">
        <f t="shared" si="538"/>
        <v>0-0</v>
      </c>
      <c r="AF1300" s="109" t="str">
        <f t="shared" si="539"/>
        <v>Y</v>
      </c>
      <c r="AG1300" s="109" t="str">
        <f t="shared" si="540"/>
        <v>B</v>
      </c>
      <c r="AM1300" s="109">
        <f t="shared" si="541"/>
        <v>0</v>
      </c>
      <c r="AN1300" s="109">
        <f t="shared" si="542"/>
        <v>0</v>
      </c>
      <c r="AO1300" s="109" t="str">
        <f t="shared" si="543"/>
        <v/>
      </c>
      <c r="AQ1300" s="109" t="str">
        <f t="shared" si="544"/>
        <v/>
      </c>
      <c r="BA1300" s="229">
        <f>MOD(SUM(E1288:E1301),12)</f>
        <v>0</v>
      </c>
    </row>
    <row r="1301" spans="1:53" ht="15.75" thickBot="1" x14ac:dyDescent="0.3">
      <c r="A1301" s="88"/>
      <c r="B1301" s="66" t="s">
        <v>291</v>
      </c>
      <c r="C1301" s="67"/>
      <c r="D1301" s="102"/>
      <c r="E1301" s="32"/>
      <c r="F1301" s="32"/>
      <c r="G1301" s="68" t="s">
        <v>277</v>
      </c>
      <c r="H1301" s="69">
        <f t="shared" si="545"/>
        <v>0</v>
      </c>
      <c r="I1301" s="70">
        <f t="shared" si="546"/>
        <v>0</v>
      </c>
      <c r="J1301" s="73" t="str">
        <f t="shared" si="547"/>
        <v>--</v>
      </c>
      <c r="K1301" s="32"/>
      <c r="L1301" s="233"/>
      <c r="M1301" s="277"/>
      <c r="N1301" s="277"/>
      <c r="O1301" s="277"/>
      <c r="P1301" s="277"/>
      <c r="Q1301" s="277"/>
      <c r="R1301" s="277"/>
      <c r="S1301" s="277"/>
      <c r="T1301" s="277"/>
      <c r="U1301" s="278"/>
      <c r="V1301" s="103"/>
      <c r="W1301" s="84">
        <f>Y1301+1</f>
        <v>49</v>
      </c>
      <c r="X1301" s="84"/>
      <c r="Y1301" s="78">
        <f>SUM(E1288:E1301)</f>
        <v>48</v>
      </c>
      <c r="Z1301" s="72" t="str">
        <f t="shared" si="550"/>
        <v/>
      </c>
      <c r="AA1301" s="72"/>
      <c r="AB1301" s="72"/>
      <c r="AC1301" s="72">
        <f t="shared" si="536"/>
        <v>1</v>
      </c>
      <c r="AD1301" s="72">
        <f t="shared" si="537"/>
        <v>1</v>
      </c>
      <c r="AE1301" s="109" t="str">
        <f t="shared" si="538"/>
        <v>0-0</v>
      </c>
      <c r="AF1301" s="109" t="str">
        <f t="shared" si="539"/>
        <v>Y</v>
      </c>
      <c r="AG1301" s="109" t="str">
        <f t="shared" si="540"/>
        <v>B</v>
      </c>
      <c r="AM1301" s="109">
        <f t="shared" si="541"/>
        <v>0</v>
      </c>
      <c r="AN1301" s="109">
        <f t="shared" si="542"/>
        <v>0</v>
      </c>
      <c r="AO1301" s="109" t="str">
        <f t="shared" si="543"/>
        <v/>
      </c>
      <c r="AQ1301" s="109" t="str">
        <f t="shared" si="544"/>
        <v/>
      </c>
      <c r="BA1301" s="229">
        <f>MOD(SUM(E1288:E1302),12)</f>
        <v>0</v>
      </c>
    </row>
    <row r="1302" spans="1:53" ht="15.75" thickBot="1" x14ac:dyDescent="0.3">
      <c r="A1302" s="88"/>
      <c r="B1302" s="66" t="s">
        <v>292</v>
      </c>
      <c r="C1302" s="67"/>
      <c r="D1302" s="102"/>
      <c r="E1302" s="32"/>
      <c r="F1302" s="32"/>
      <c r="G1302" s="68" t="s">
        <v>277</v>
      </c>
      <c r="H1302" s="69">
        <f t="shared" si="545"/>
        <v>0</v>
      </c>
      <c r="I1302" s="70">
        <f t="shared" si="546"/>
        <v>0</v>
      </c>
      <c r="J1302" s="73" t="str">
        <f t="shared" si="547"/>
        <v>--</v>
      </c>
      <c r="K1302" s="32"/>
      <c r="L1302" s="233"/>
      <c r="M1302" s="277"/>
      <c r="N1302" s="277"/>
      <c r="O1302" s="277"/>
      <c r="P1302" s="277"/>
      <c r="Q1302" s="277"/>
      <c r="R1302" s="277"/>
      <c r="S1302" s="277"/>
      <c r="T1302" s="277"/>
      <c r="U1302" s="278"/>
      <c r="V1302" s="103"/>
      <c r="W1302" s="84">
        <f>Y1302+1</f>
        <v>49</v>
      </c>
      <c r="X1302" s="84"/>
      <c r="Y1302" s="78">
        <f>SUM(E1288:E1302)</f>
        <v>48</v>
      </c>
      <c r="Z1302" s="72" t="str">
        <f t="shared" si="550"/>
        <v/>
      </c>
      <c r="AA1302" s="72" t="str">
        <f t="shared" ref="AA1302:AA1314" si="551">IF(AND(C1300&lt;&gt;"Field SPL",W1299&lt;=144,Y1300&gt;144),"ERROR","")</f>
        <v/>
      </c>
      <c r="AB1302" s="72"/>
      <c r="AC1302" s="72">
        <f t="shared" si="536"/>
        <v>1</v>
      </c>
      <c r="AD1302" s="72">
        <f t="shared" si="537"/>
        <v>1</v>
      </c>
      <c r="AE1302" s="109" t="str">
        <f t="shared" si="538"/>
        <v>0-0</v>
      </c>
      <c r="AF1302" s="109" t="str">
        <f t="shared" si="539"/>
        <v>Y</v>
      </c>
      <c r="AG1302" s="109" t="str">
        <f t="shared" si="540"/>
        <v>B</v>
      </c>
      <c r="AM1302" s="109">
        <f t="shared" si="541"/>
        <v>0</v>
      </c>
      <c r="AN1302" s="109">
        <f t="shared" si="542"/>
        <v>0</v>
      </c>
      <c r="AO1302" s="109" t="str">
        <f t="shared" si="543"/>
        <v/>
      </c>
      <c r="AQ1302" s="109" t="str">
        <f t="shared" si="544"/>
        <v/>
      </c>
      <c r="BA1302" s="229">
        <f>MOD(SUM(E1288:E1303),12)</f>
        <v>0</v>
      </c>
    </row>
    <row r="1303" spans="1:53" ht="15.75" thickBot="1" x14ac:dyDescent="0.3">
      <c r="A1303" s="88"/>
      <c r="B1303" s="66" t="s">
        <v>293</v>
      </c>
      <c r="C1303" s="67"/>
      <c r="D1303" s="102"/>
      <c r="E1303" s="32"/>
      <c r="F1303" s="32"/>
      <c r="G1303" s="68" t="s">
        <v>277</v>
      </c>
      <c r="H1303" s="69">
        <f t="shared" si="545"/>
        <v>0</v>
      </c>
      <c r="I1303" s="70">
        <f t="shared" si="546"/>
        <v>0</v>
      </c>
      <c r="J1303" s="73" t="str">
        <f t="shared" si="547"/>
        <v>--</v>
      </c>
      <c r="K1303" s="32"/>
      <c r="L1303" s="233"/>
      <c r="M1303" s="277"/>
      <c r="N1303" s="277"/>
      <c r="O1303" s="277"/>
      <c r="P1303" s="277"/>
      <c r="Q1303" s="277"/>
      <c r="R1303" s="277"/>
      <c r="S1303" s="277"/>
      <c r="T1303" s="277"/>
      <c r="U1303" s="278"/>
      <c r="V1303" s="103"/>
      <c r="W1303" s="84">
        <f t="shared" ref="W1303:W1311" si="552">Y1303+1</f>
        <v>49</v>
      </c>
      <c r="X1303" s="84"/>
      <c r="Y1303" s="78">
        <f>SUM(E1288:E1303)</f>
        <v>48</v>
      </c>
      <c r="Z1303" s="72" t="str">
        <f t="shared" si="550"/>
        <v/>
      </c>
      <c r="AA1303" s="72" t="str">
        <f t="shared" si="551"/>
        <v/>
      </c>
      <c r="AB1303" s="72"/>
      <c r="AC1303" s="72">
        <f t="shared" si="536"/>
        <v>1</v>
      </c>
      <c r="AD1303" s="72">
        <f t="shared" si="537"/>
        <v>1</v>
      </c>
      <c r="AE1303" s="109" t="str">
        <f t="shared" si="538"/>
        <v>0-0</v>
      </c>
      <c r="AF1303" s="109" t="str">
        <f t="shared" si="539"/>
        <v>Y</v>
      </c>
      <c r="AG1303" s="109" t="str">
        <f t="shared" si="540"/>
        <v>B</v>
      </c>
      <c r="AM1303" s="109">
        <f t="shared" si="541"/>
        <v>0</v>
      </c>
      <c r="AN1303" s="109">
        <f t="shared" si="542"/>
        <v>0</v>
      </c>
      <c r="AO1303" s="109" t="str">
        <f t="shared" si="543"/>
        <v/>
      </c>
      <c r="AQ1303" s="109" t="str">
        <f t="shared" si="544"/>
        <v/>
      </c>
      <c r="BA1303" s="229">
        <f>MOD(SUM(E1288:E1304),12)</f>
        <v>0</v>
      </c>
    </row>
    <row r="1304" spans="1:53" ht="15.75" thickBot="1" x14ac:dyDescent="0.3">
      <c r="A1304" s="88"/>
      <c r="B1304" s="66" t="s">
        <v>294</v>
      </c>
      <c r="C1304" s="67"/>
      <c r="D1304" s="102"/>
      <c r="E1304" s="32"/>
      <c r="F1304" s="32"/>
      <c r="G1304" s="68" t="s">
        <v>277</v>
      </c>
      <c r="H1304" s="69">
        <f t="shared" si="545"/>
        <v>0</v>
      </c>
      <c r="I1304" s="70">
        <f t="shared" si="546"/>
        <v>0</v>
      </c>
      <c r="J1304" s="73" t="str">
        <f t="shared" si="547"/>
        <v>--</v>
      </c>
      <c r="K1304" s="32"/>
      <c r="L1304" s="233"/>
      <c r="M1304" s="277"/>
      <c r="N1304" s="277"/>
      <c r="O1304" s="277"/>
      <c r="P1304" s="277"/>
      <c r="Q1304" s="277"/>
      <c r="R1304" s="277"/>
      <c r="S1304" s="277"/>
      <c r="T1304" s="277"/>
      <c r="U1304" s="278"/>
      <c r="V1304" s="103"/>
      <c r="W1304" s="84">
        <f t="shared" si="552"/>
        <v>49</v>
      </c>
      <c r="X1304" s="84"/>
      <c r="Y1304" s="78">
        <f>SUM(E1288:E1304)</f>
        <v>48</v>
      </c>
      <c r="Z1304" s="72" t="str">
        <f t="shared" si="550"/>
        <v/>
      </c>
      <c r="AA1304" s="72" t="str">
        <f t="shared" si="551"/>
        <v/>
      </c>
      <c r="AB1304" s="72"/>
      <c r="AC1304" s="72">
        <f t="shared" si="536"/>
        <v>1</v>
      </c>
      <c r="AD1304" s="72">
        <f t="shared" si="537"/>
        <v>1</v>
      </c>
      <c r="AE1304" s="109" t="str">
        <f t="shared" si="538"/>
        <v>0-0</v>
      </c>
      <c r="AF1304" s="109" t="str">
        <f t="shared" si="539"/>
        <v>Y</v>
      </c>
      <c r="AG1304" s="109" t="str">
        <f t="shared" si="540"/>
        <v>B</v>
      </c>
      <c r="AM1304" s="109">
        <f t="shared" si="541"/>
        <v>0</v>
      </c>
      <c r="AN1304" s="109">
        <f t="shared" si="542"/>
        <v>0</v>
      </c>
      <c r="AO1304" s="109" t="str">
        <f t="shared" si="543"/>
        <v/>
      </c>
      <c r="AQ1304" s="109" t="str">
        <f t="shared" si="544"/>
        <v/>
      </c>
      <c r="BA1304" s="229">
        <f>MOD(SUM(E1288:E1305),12)</f>
        <v>0</v>
      </c>
    </row>
    <row r="1305" spans="1:53" ht="15.75" thickBot="1" x14ac:dyDescent="0.3">
      <c r="A1305" s="88"/>
      <c r="B1305" s="66" t="s">
        <v>295</v>
      </c>
      <c r="C1305" s="67"/>
      <c r="D1305" s="102"/>
      <c r="E1305" s="32"/>
      <c r="F1305" s="32"/>
      <c r="G1305" s="68" t="s">
        <v>277</v>
      </c>
      <c r="H1305" s="69">
        <f t="shared" si="545"/>
        <v>0</v>
      </c>
      <c r="I1305" s="70">
        <f t="shared" si="546"/>
        <v>0</v>
      </c>
      <c r="J1305" s="73" t="str">
        <f t="shared" si="547"/>
        <v>--</v>
      </c>
      <c r="K1305" s="32"/>
      <c r="L1305" s="233"/>
      <c r="M1305" s="277"/>
      <c r="N1305" s="277"/>
      <c r="O1305" s="277"/>
      <c r="P1305" s="277"/>
      <c r="Q1305" s="277"/>
      <c r="R1305" s="277"/>
      <c r="S1305" s="277"/>
      <c r="T1305" s="277"/>
      <c r="U1305" s="278"/>
      <c r="V1305" s="103"/>
      <c r="W1305" s="84">
        <f t="shared" si="552"/>
        <v>49</v>
      </c>
      <c r="X1305" s="84"/>
      <c r="Y1305" s="78">
        <f>SUM(E1288:E1305)</f>
        <v>48</v>
      </c>
      <c r="Z1305" s="72" t="str">
        <f t="shared" si="550"/>
        <v/>
      </c>
      <c r="AA1305" s="72" t="str">
        <f t="shared" si="551"/>
        <v/>
      </c>
      <c r="AB1305" s="72"/>
      <c r="AC1305" s="72">
        <f t="shared" si="536"/>
        <v>1</v>
      </c>
      <c r="AD1305" s="72">
        <f t="shared" si="537"/>
        <v>1</v>
      </c>
      <c r="AE1305" s="109" t="str">
        <f t="shared" si="538"/>
        <v>0-0</v>
      </c>
      <c r="AF1305" s="109" t="str">
        <f t="shared" si="539"/>
        <v>Y</v>
      </c>
      <c r="AG1305" s="109" t="str">
        <f t="shared" si="540"/>
        <v>B</v>
      </c>
      <c r="AM1305" s="109">
        <f t="shared" si="541"/>
        <v>0</v>
      </c>
      <c r="AN1305" s="109">
        <f t="shared" si="542"/>
        <v>0</v>
      </c>
      <c r="AO1305" s="109" t="str">
        <f t="shared" si="543"/>
        <v/>
      </c>
      <c r="AQ1305" s="109" t="str">
        <f t="shared" si="544"/>
        <v/>
      </c>
      <c r="BA1305" s="229">
        <f>MOD(SUM(E1288:E1306),12)</f>
        <v>0</v>
      </c>
    </row>
    <row r="1306" spans="1:53" ht="15.75" thickBot="1" x14ac:dyDescent="0.3">
      <c r="A1306" s="88"/>
      <c r="B1306" s="66" t="s">
        <v>296</v>
      </c>
      <c r="C1306" s="67"/>
      <c r="D1306" s="102"/>
      <c r="E1306" s="32"/>
      <c r="F1306" s="32"/>
      <c r="G1306" s="68" t="s">
        <v>277</v>
      </c>
      <c r="H1306" s="69">
        <f t="shared" si="545"/>
        <v>0</v>
      </c>
      <c r="I1306" s="70">
        <f t="shared" si="546"/>
        <v>0</v>
      </c>
      <c r="J1306" s="73" t="str">
        <f t="shared" si="547"/>
        <v>--</v>
      </c>
      <c r="K1306" s="32"/>
      <c r="L1306" s="233"/>
      <c r="M1306" s="277"/>
      <c r="N1306" s="277"/>
      <c r="O1306" s="277"/>
      <c r="P1306" s="277"/>
      <c r="Q1306" s="277"/>
      <c r="R1306" s="277"/>
      <c r="S1306" s="277"/>
      <c r="T1306" s="277"/>
      <c r="U1306" s="278"/>
      <c r="V1306" s="103"/>
      <c r="W1306" s="84">
        <f t="shared" si="552"/>
        <v>49</v>
      </c>
      <c r="X1306" s="84"/>
      <c r="Y1306" s="78">
        <f>SUM(E1288:E1306)</f>
        <v>48</v>
      </c>
      <c r="Z1306" s="72" t="str">
        <f t="shared" si="550"/>
        <v/>
      </c>
      <c r="AA1306" s="72" t="str">
        <f t="shared" si="551"/>
        <v/>
      </c>
      <c r="AB1306" s="72"/>
      <c r="AC1306" s="72">
        <f t="shared" si="536"/>
        <v>1</v>
      </c>
      <c r="AD1306" s="72">
        <f t="shared" si="537"/>
        <v>1</v>
      </c>
      <c r="AE1306" s="109" t="str">
        <f t="shared" si="538"/>
        <v>0-0</v>
      </c>
      <c r="AF1306" s="109" t="str">
        <f t="shared" si="539"/>
        <v>Y</v>
      </c>
      <c r="AG1306" s="109" t="str">
        <f t="shared" si="540"/>
        <v>B</v>
      </c>
      <c r="AM1306" s="109">
        <f t="shared" si="541"/>
        <v>0</v>
      </c>
      <c r="AN1306" s="109">
        <f t="shared" si="542"/>
        <v>0</v>
      </c>
      <c r="AO1306" s="109" t="str">
        <f t="shared" si="543"/>
        <v/>
      </c>
      <c r="AQ1306" s="109" t="str">
        <f t="shared" si="544"/>
        <v/>
      </c>
      <c r="BA1306" s="229">
        <f>MOD(SUM(E1288:E1307),12)</f>
        <v>0</v>
      </c>
    </row>
    <row r="1307" spans="1:53" ht="15.75" thickBot="1" x14ac:dyDescent="0.3">
      <c r="A1307" s="88"/>
      <c r="B1307" s="66" t="s">
        <v>297</v>
      </c>
      <c r="C1307" s="67"/>
      <c r="D1307" s="102"/>
      <c r="E1307" s="32"/>
      <c r="F1307" s="32"/>
      <c r="G1307" s="68" t="s">
        <v>277</v>
      </c>
      <c r="H1307" s="69">
        <f t="shared" si="545"/>
        <v>0</v>
      </c>
      <c r="I1307" s="70">
        <f t="shared" si="546"/>
        <v>0</v>
      </c>
      <c r="J1307" s="73" t="str">
        <f t="shared" si="547"/>
        <v>--</v>
      </c>
      <c r="K1307" s="32"/>
      <c r="L1307" s="233"/>
      <c r="M1307" s="277"/>
      <c r="N1307" s="277"/>
      <c r="O1307" s="277"/>
      <c r="P1307" s="277"/>
      <c r="Q1307" s="277"/>
      <c r="R1307" s="277"/>
      <c r="S1307" s="277"/>
      <c r="T1307" s="277"/>
      <c r="U1307" s="278"/>
      <c r="V1307" s="103"/>
      <c r="W1307" s="84">
        <f t="shared" si="552"/>
        <v>49</v>
      </c>
      <c r="X1307" s="84"/>
      <c r="Y1307" s="78">
        <f>SUM(E1288:E1307)</f>
        <v>48</v>
      </c>
      <c r="Z1307" s="72" t="str">
        <f t="shared" si="550"/>
        <v/>
      </c>
      <c r="AA1307" s="72" t="str">
        <f t="shared" si="551"/>
        <v/>
      </c>
      <c r="AB1307" s="72"/>
      <c r="AC1307" s="72">
        <f t="shared" si="536"/>
        <v>1</v>
      </c>
      <c r="AD1307" s="72">
        <f t="shared" si="537"/>
        <v>1</v>
      </c>
      <c r="AE1307" s="109" t="str">
        <f t="shared" si="538"/>
        <v>0-0</v>
      </c>
      <c r="AF1307" s="109" t="str">
        <f t="shared" si="539"/>
        <v>Y</v>
      </c>
      <c r="AG1307" s="109" t="str">
        <f t="shared" si="540"/>
        <v>B</v>
      </c>
      <c r="AM1307" s="109">
        <f t="shared" si="541"/>
        <v>0</v>
      </c>
      <c r="AN1307" s="109">
        <f t="shared" si="542"/>
        <v>0</v>
      </c>
      <c r="AO1307" s="109" t="str">
        <f t="shared" si="543"/>
        <v/>
      </c>
      <c r="AQ1307" s="109" t="str">
        <f t="shared" si="544"/>
        <v/>
      </c>
      <c r="BA1307" s="229">
        <f>MOD(SUM(E1288:E1308),12)</f>
        <v>0</v>
      </c>
    </row>
    <row r="1308" spans="1:53" ht="15.75" thickBot="1" x14ac:dyDescent="0.3">
      <c r="A1308" s="88"/>
      <c r="B1308" s="66" t="s">
        <v>298</v>
      </c>
      <c r="C1308" s="67"/>
      <c r="D1308" s="102"/>
      <c r="E1308" s="32"/>
      <c r="F1308" s="32"/>
      <c r="G1308" s="68" t="s">
        <v>277</v>
      </c>
      <c r="H1308" s="69">
        <f t="shared" si="545"/>
        <v>0</v>
      </c>
      <c r="I1308" s="70">
        <f t="shared" si="546"/>
        <v>0</v>
      </c>
      <c r="J1308" s="73" t="str">
        <f t="shared" si="547"/>
        <v>--</v>
      </c>
      <c r="K1308" s="32"/>
      <c r="L1308" s="233"/>
      <c r="M1308" s="277"/>
      <c r="N1308" s="277"/>
      <c r="O1308" s="277"/>
      <c r="P1308" s="277"/>
      <c r="Q1308" s="277"/>
      <c r="R1308" s="277"/>
      <c r="S1308" s="277"/>
      <c r="T1308" s="277"/>
      <c r="U1308" s="278"/>
      <c r="V1308" s="103"/>
      <c r="W1308" s="84">
        <f t="shared" si="552"/>
        <v>49</v>
      </c>
      <c r="X1308" s="84"/>
      <c r="Y1308" s="78">
        <f>SUM(E1288:E1308)</f>
        <v>48</v>
      </c>
      <c r="Z1308" s="72" t="str">
        <f t="shared" si="550"/>
        <v/>
      </c>
      <c r="AA1308" s="72" t="str">
        <f t="shared" si="551"/>
        <v/>
      </c>
      <c r="AB1308" s="72"/>
      <c r="AC1308" s="72">
        <f t="shared" si="536"/>
        <v>1</v>
      </c>
      <c r="AD1308" s="72">
        <f t="shared" si="537"/>
        <v>1</v>
      </c>
      <c r="AE1308" s="109" t="str">
        <f t="shared" si="538"/>
        <v>0-0</v>
      </c>
      <c r="AF1308" s="109" t="str">
        <f t="shared" si="539"/>
        <v>Y</v>
      </c>
      <c r="AG1308" s="109" t="str">
        <f t="shared" si="540"/>
        <v>B</v>
      </c>
      <c r="AM1308" s="109">
        <f t="shared" si="541"/>
        <v>0</v>
      </c>
      <c r="AN1308" s="109">
        <f t="shared" si="542"/>
        <v>0</v>
      </c>
      <c r="AO1308" s="109" t="str">
        <f t="shared" si="543"/>
        <v/>
      </c>
      <c r="AQ1308" s="109" t="str">
        <f t="shared" si="544"/>
        <v/>
      </c>
      <c r="BA1308" s="229">
        <f>MOD(SUM(E1288:E1309),12)</f>
        <v>0</v>
      </c>
    </row>
    <row r="1309" spans="1:53" ht="15.75" thickBot="1" x14ac:dyDescent="0.3">
      <c r="A1309" s="88"/>
      <c r="B1309" s="66" t="s">
        <v>299</v>
      </c>
      <c r="C1309" s="67"/>
      <c r="D1309" s="102"/>
      <c r="E1309" s="32"/>
      <c r="F1309" s="32"/>
      <c r="G1309" s="68" t="s">
        <v>277</v>
      </c>
      <c r="H1309" s="69">
        <f t="shared" si="545"/>
        <v>0</v>
      </c>
      <c r="I1309" s="70">
        <f t="shared" si="546"/>
        <v>0</v>
      </c>
      <c r="J1309" s="73" t="str">
        <f t="shared" si="547"/>
        <v>--</v>
      </c>
      <c r="K1309" s="32"/>
      <c r="L1309" s="233"/>
      <c r="M1309" s="277"/>
      <c r="N1309" s="277"/>
      <c r="O1309" s="277"/>
      <c r="P1309" s="277"/>
      <c r="Q1309" s="277"/>
      <c r="R1309" s="277"/>
      <c r="S1309" s="277"/>
      <c r="T1309" s="277"/>
      <c r="U1309" s="278"/>
      <c r="V1309" s="103"/>
      <c r="W1309" s="84">
        <f t="shared" si="552"/>
        <v>49</v>
      </c>
      <c r="X1309" s="84"/>
      <c r="Y1309" s="78">
        <f>SUM(E1288:E1309)</f>
        <v>48</v>
      </c>
      <c r="Z1309" s="72" t="str">
        <f t="shared" si="550"/>
        <v/>
      </c>
      <c r="AA1309" s="72" t="str">
        <f t="shared" si="551"/>
        <v/>
      </c>
      <c r="AB1309" s="72"/>
      <c r="AC1309" s="72">
        <f t="shared" si="536"/>
        <v>1</v>
      </c>
      <c r="AD1309" s="72">
        <f t="shared" si="537"/>
        <v>1</v>
      </c>
      <c r="AE1309" s="109" t="str">
        <f t="shared" si="538"/>
        <v>0-0</v>
      </c>
      <c r="AF1309" s="109" t="str">
        <f t="shared" si="539"/>
        <v>Y</v>
      </c>
      <c r="AG1309" s="109" t="str">
        <f t="shared" si="540"/>
        <v>B</v>
      </c>
      <c r="AM1309" s="109">
        <f t="shared" si="541"/>
        <v>0</v>
      </c>
      <c r="AN1309" s="109">
        <f t="shared" si="542"/>
        <v>0</v>
      </c>
      <c r="AO1309" s="109" t="str">
        <f t="shared" si="543"/>
        <v/>
      </c>
      <c r="AQ1309" s="109" t="str">
        <f t="shared" si="544"/>
        <v/>
      </c>
      <c r="BA1309" s="229">
        <f>MOD(SUM(E1288:E1310),12)</f>
        <v>0</v>
      </c>
    </row>
    <row r="1310" spans="1:53" ht="15.75" thickBot="1" x14ac:dyDescent="0.3">
      <c r="A1310" s="88"/>
      <c r="B1310" s="66" t="s">
        <v>300</v>
      </c>
      <c r="C1310" s="67"/>
      <c r="D1310" s="102"/>
      <c r="E1310" s="32"/>
      <c r="F1310" s="32"/>
      <c r="G1310" s="68" t="s">
        <v>277</v>
      </c>
      <c r="H1310" s="69">
        <f t="shared" si="545"/>
        <v>0</v>
      </c>
      <c r="I1310" s="70">
        <f t="shared" si="546"/>
        <v>0</v>
      </c>
      <c r="J1310" s="73" t="str">
        <f t="shared" si="547"/>
        <v>--</v>
      </c>
      <c r="K1310" s="32"/>
      <c r="L1310" s="233"/>
      <c r="M1310" s="277"/>
      <c r="N1310" s="277"/>
      <c r="O1310" s="277"/>
      <c r="P1310" s="277"/>
      <c r="Q1310" s="277"/>
      <c r="R1310" s="277"/>
      <c r="S1310" s="277"/>
      <c r="T1310" s="277"/>
      <c r="U1310" s="278"/>
      <c r="V1310" s="103"/>
      <c r="W1310" s="84">
        <f t="shared" si="552"/>
        <v>49</v>
      </c>
      <c r="X1310" s="84"/>
      <c r="Y1310" s="78">
        <f>SUM(E1288:E1310)</f>
        <v>48</v>
      </c>
      <c r="Z1310" s="72" t="str">
        <f t="shared" si="550"/>
        <v/>
      </c>
      <c r="AA1310" s="72" t="str">
        <f t="shared" si="551"/>
        <v/>
      </c>
      <c r="AB1310" s="72"/>
      <c r="AC1310" s="72">
        <f t="shared" si="536"/>
        <v>1</v>
      </c>
      <c r="AD1310" s="72">
        <f t="shared" si="537"/>
        <v>1</v>
      </c>
      <c r="AE1310" s="109" t="str">
        <f t="shared" si="538"/>
        <v>0-0</v>
      </c>
      <c r="AF1310" s="109" t="str">
        <f t="shared" si="539"/>
        <v>Y</v>
      </c>
      <c r="AG1310" s="109" t="str">
        <f t="shared" si="540"/>
        <v>B</v>
      </c>
      <c r="AM1310" s="109">
        <f t="shared" si="541"/>
        <v>0</v>
      </c>
      <c r="AN1310" s="109">
        <f t="shared" si="542"/>
        <v>0</v>
      </c>
      <c r="AO1310" s="109" t="str">
        <f t="shared" si="543"/>
        <v/>
      </c>
      <c r="AQ1310" s="109" t="str">
        <f t="shared" si="544"/>
        <v/>
      </c>
      <c r="BA1310" s="229">
        <f>MOD(SUM(E1288:E1311),12)</f>
        <v>0</v>
      </c>
    </row>
    <row r="1311" spans="1:53" ht="15.75" thickBot="1" x14ac:dyDescent="0.3">
      <c r="A1311" s="88"/>
      <c r="B1311" s="66" t="s">
        <v>301</v>
      </c>
      <c r="C1311" s="67"/>
      <c r="D1311" s="102"/>
      <c r="E1311" s="32"/>
      <c r="F1311" s="32"/>
      <c r="G1311" s="68" t="s">
        <v>277</v>
      </c>
      <c r="H1311" s="69">
        <f t="shared" si="545"/>
        <v>0</v>
      </c>
      <c r="I1311" s="70">
        <f t="shared" si="546"/>
        <v>0</v>
      </c>
      <c r="J1311" s="73" t="str">
        <f t="shared" si="547"/>
        <v>--</v>
      </c>
      <c r="K1311" s="32"/>
      <c r="L1311" s="233"/>
      <c r="M1311" s="277"/>
      <c r="N1311" s="277"/>
      <c r="O1311" s="277"/>
      <c r="P1311" s="277"/>
      <c r="Q1311" s="277"/>
      <c r="R1311" s="277"/>
      <c r="S1311" s="277"/>
      <c r="T1311" s="277"/>
      <c r="U1311" s="278"/>
      <c r="V1311" s="103"/>
      <c r="W1311" s="84">
        <f t="shared" si="552"/>
        <v>49</v>
      </c>
      <c r="X1311" s="84"/>
      <c r="Y1311" s="78">
        <f>SUM(E1288:E1311)</f>
        <v>48</v>
      </c>
      <c r="Z1311" s="72" t="str">
        <f t="shared" si="550"/>
        <v/>
      </c>
      <c r="AA1311" s="72" t="str">
        <f t="shared" si="551"/>
        <v/>
      </c>
      <c r="AB1311" s="72"/>
      <c r="AC1311" s="72">
        <f t="shared" si="536"/>
        <v>1</v>
      </c>
      <c r="AD1311" s="72">
        <f t="shared" si="537"/>
        <v>1</v>
      </c>
      <c r="AE1311" s="109" t="str">
        <f t="shared" si="538"/>
        <v>0-0</v>
      </c>
      <c r="AF1311" s="109" t="str">
        <f t="shared" si="539"/>
        <v>Y</v>
      </c>
      <c r="AG1311" s="109" t="str">
        <f t="shared" si="540"/>
        <v>B</v>
      </c>
      <c r="AM1311" s="109">
        <f t="shared" si="541"/>
        <v>0</v>
      </c>
      <c r="AN1311" s="109">
        <f t="shared" si="542"/>
        <v>0</v>
      </c>
      <c r="AO1311" s="109" t="str">
        <f t="shared" si="543"/>
        <v/>
      </c>
      <c r="AQ1311" s="109" t="str">
        <f t="shared" si="544"/>
        <v/>
      </c>
      <c r="BA1311" s="229">
        <f>MOD(SUM(E1288:E1312),12)</f>
        <v>0</v>
      </c>
    </row>
    <row r="1312" spans="1:53" ht="15.75" thickBot="1" x14ac:dyDescent="0.3">
      <c r="A1312" s="88"/>
      <c r="B1312" s="66" t="s">
        <v>302</v>
      </c>
      <c r="C1312" s="67"/>
      <c r="D1312" s="102"/>
      <c r="E1312" s="32"/>
      <c r="F1312" s="32"/>
      <c r="G1312" s="68" t="s">
        <v>277</v>
      </c>
      <c r="H1312" s="69">
        <f t="shared" si="545"/>
        <v>0</v>
      </c>
      <c r="I1312" s="70">
        <f t="shared" si="546"/>
        <v>0</v>
      </c>
      <c r="J1312" s="73" t="str">
        <f t="shared" si="547"/>
        <v>--</v>
      </c>
      <c r="K1312" s="32"/>
      <c r="L1312" s="234"/>
      <c r="M1312" s="277"/>
      <c r="N1312" s="277"/>
      <c r="O1312" s="277"/>
      <c r="P1312" s="277"/>
      <c r="Q1312" s="277"/>
      <c r="R1312" s="277"/>
      <c r="S1312" s="277"/>
      <c r="T1312" s="277"/>
      <c r="U1312" s="278"/>
      <c r="V1312" s="103"/>
      <c r="W1312" s="72"/>
      <c r="X1312" s="72"/>
      <c r="Y1312" s="78">
        <f>SUM(E1288:E1312)</f>
        <v>48</v>
      </c>
      <c r="Z1312" s="72" t="str">
        <f t="shared" si="550"/>
        <v/>
      </c>
      <c r="AA1312" s="72" t="str">
        <f t="shared" si="551"/>
        <v/>
      </c>
      <c r="AB1312" s="72"/>
      <c r="AC1312" s="72">
        <f t="shared" si="536"/>
        <v>1</v>
      </c>
      <c r="AD1312" s="72">
        <f t="shared" si="537"/>
        <v>1</v>
      </c>
      <c r="AE1312" s="109" t="str">
        <f t="shared" si="538"/>
        <v>0-0</v>
      </c>
      <c r="AF1312" s="109" t="str">
        <f t="shared" si="539"/>
        <v>Y</v>
      </c>
      <c r="AG1312" s="109" t="str">
        <f t="shared" si="540"/>
        <v>B</v>
      </c>
      <c r="AM1312" s="109">
        <f t="shared" si="541"/>
        <v>0</v>
      </c>
      <c r="AN1312" s="109">
        <f t="shared" si="542"/>
        <v>0</v>
      </c>
      <c r="AO1312" s="109" t="str">
        <f t="shared" si="543"/>
        <v/>
      </c>
      <c r="AQ1312" s="109" t="str">
        <f t="shared" si="544"/>
        <v/>
      </c>
      <c r="BA1312" s="228"/>
    </row>
    <row r="1313" spans="1:53" ht="16.5" thickBot="1" x14ac:dyDescent="0.3">
      <c r="A1313" s="88"/>
      <c r="B1313" s="319" t="s">
        <v>367</v>
      </c>
      <c r="C1313" s="320"/>
      <c r="D1313" s="79"/>
      <c r="E1313" s="80"/>
      <c r="F1313" s="80"/>
      <c r="G1313" s="81"/>
      <c r="H1313" s="192"/>
      <c r="I1313" s="192"/>
      <c r="J1313" s="192"/>
      <c r="K1313" s="82"/>
      <c r="L1313" s="319" t="s">
        <v>306</v>
      </c>
      <c r="M1313" s="330"/>
      <c r="N1313" s="330"/>
      <c r="O1313" s="330"/>
      <c r="P1313" s="330"/>
      <c r="Q1313" s="330"/>
      <c r="R1313" s="330"/>
      <c r="S1313" s="330"/>
      <c r="T1313" s="330"/>
      <c r="U1313" s="320"/>
      <c r="V1313" s="104"/>
      <c r="W1313" s="72"/>
      <c r="X1313" s="72"/>
      <c r="Y1313" s="72"/>
      <c r="Z1313" s="72"/>
      <c r="AA1313" s="72" t="str">
        <f t="shared" si="551"/>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319" t="s">
        <v>307</v>
      </c>
      <c r="C1314" s="320"/>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51"/>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312" t="s">
        <v>222</v>
      </c>
      <c r="C1318" s="313"/>
      <c r="D1318" s="314" t="s">
        <v>223</v>
      </c>
      <c r="E1318" s="305"/>
      <c r="F1318" s="88"/>
      <c r="G1318" s="315" t="s">
        <v>224</v>
      </c>
      <c r="H1318" s="316"/>
      <c r="I1318" s="28">
        <f>SUM(E1329:E1353)</f>
        <v>0</v>
      </c>
      <c r="J1318" s="317" t="s">
        <v>225</v>
      </c>
      <c r="K1318" s="318"/>
      <c r="L1318" s="305"/>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5" t="s">
        <v>226</v>
      </c>
      <c r="AA1318" s="296"/>
      <c r="AB1318" s="297"/>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12</v>
      </c>
      <c r="D1319" s="31" t="s">
        <v>229</v>
      </c>
      <c r="E1319" s="66" t="str">
        <f>TEXT(IF('Cable Calculator'!FH7="","",'Cable Calculator'!FH7),)</f>
        <v/>
      </c>
      <c r="F1319" s="88"/>
      <c r="G1319" s="304" t="s">
        <v>230</v>
      </c>
      <c r="H1319" s="305"/>
      <c r="I1319" s="33">
        <f>E1320-I1318</f>
        <v>24</v>
      </c>
      <c r="J1319" s="289" t="s">
        <v>231</v>
      </c>
      <c r="K1319" s="290"/>
      <c r="L1319" s="34">
        <f>I1323</f>
        <v>781</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298" t="s">
        <v>232</v>
      </c>
      <c r="AA1319" s="300" t="s">
        <v>233</v>
      </c>
      <c r="AB1319" s="301"/>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v>24</v>
      </c>
      <c r="F1320" s="88"/>
      <c r="G1320" s="291" t="s">
        <v>237</v>
      </c>
      <c r="H1320" s="292"/>
      <c r="I1320" s="35">
        <f>IF(E1320=0,0,12-(MOD(I1318,12)))</f>
        <v>12</v>
      </c>
      <c r="J1320" s="289" t="s">
        <v>238</v>
      </c>
      <c r="K1320" s="290"/>
      <c r="L1320" s="39">
        <f>I1324-I1318</f>
        <v>792</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299"/>
      <c r="AA1320" s="302"/>
      <c r="AB1320" s="303"/>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v>12</v>
      </c>
      <c r="F1321" s="88"/>
      <c r="G1321" s="321" t="s">
        <v>242</v>
      </c>
      <c r="H1321" s="43" t="s">
        <v>243</v>
      </c>
      <c r="I1321" s="35">
        <f>IF(E1321&lt;&gt;0,1,0)</f>
        <v>1</v>
      </c>
      <c r="J1321" s="291" t="s">
        <v>244</v>
      </c>
      <c r="K1321" s="292"/>
      <c r="L1321" s="44">
        <f>'Cable Calculator'!FH3</f>
        <v>942</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v>781</v>
      </c>
      <c r="F1322" s="88"/>
      <c r="G1322" s="322"/>
      <c r="H1322" s="47" t="s">
        <v>248</v>
      </c>
      <c r="I1322" s="35">
        <f>IF(E1321&lt;&gt;0,E1321,0)</f>
        <v>12</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2</v>
      </c>
      <c r="F1323" s="88"/>
      <c r="G1323" s="321" t="s">
        <v>251</v>
      </c>
      <c r="H1323" s="51" t="s">
        <v>252</v>
      </c>
      <c r="I1323" s="112">
        <f>E1322</f>
        <v>781</v>
      </c>
      <c r="J1323" s="323" t="s">
        <v>253</v>
      </c>
      <c r="K1323" s="324"/>
      <c r="L1323" s="325"/>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N</v>
      </c>
      <c r="F1324" s="88"/>
      <c r="G1324" s="322"/>
      <c r="H1324" s="47" t="s">
        <v>257</v>
      </c>
      <c r="I1324" s="35">
        <f>IF(E1322="","0",IF(AND(E1319="EUC",E1320=432), I1323+(203-E1321),IF(E1322=0,0,(E1322+(E1320-E1321)-1))))</f>
        <v>792</v>
      </c>
      <c r="J1324" s="285" t="str">
        <f>IFERROR(IF(OR(E1319="EUC",E1319="SS"),"---",IF(OR(P1318,S1318),"NO 2F Tethers for RPX!",IF(OR(P1320,S1320),"NO 6F Tethers for RPX!","---"))),"---")</f>
        <v>---</v>
      </c>
      <c r="K1324" s="286"/>
      <c r="L1324" s="287"/>
      <c r="M1324" s="285" t="str">
        <f>IF(E1321&gt;60,"Dead Count &gt;60: Consider Downsize","---")</f>
        <v>---</v>
      </c>
      <c r="N1324" s="286"/>
      <c r="O1324" s="286"/>
      <c r="P1324" s="286"/>
      <c r="Q1324" s="286"/>
      <c r="R1324" s="286"/>
      <c r="S1324" s="286"/>
      <c r="T1324" s="286"/>
      <c r="U1324" s="287"/>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12</v>
      </c>
      <c r="D1325" s="31" t="s">
        <v>259</v>
      </c>
      <c r="E1325" s="101" t="str">
        <f>IF(AS1319="Y","DBL",IF(AS1320="Y","TRPL",IF(AS1321="Y","QUAD","")))</f>
        <v/>
      </c>
      <c r="F1325" s="88"/>
      <c r="G1325" s="192"/>
      <c r="H1325" s="57"/>
      <c r="I1325" s="192"/>
      <c r="J1325" s="285"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86"/>
      <c r="L1325" s="287"/>
      <c r="M1325" s="285" t="str">
        <f>IF(AND(OR(E1319="SS",E1319="RPX",E1319="EUC",E1319="RPX-T"),(OR(C1329="",C1329="Field SPL"))),"Cannot have FlexNap cables without tethers","---")</f>
        <v>---</v>
      </c>
      <c r="N1325" s="286"/>
      <c r="O1325" s="286"/>
      <c r="P1325" s="286"/>
      <c r="Q1325" s="286"/>
      <c r="R1325" s="286"/>
      <c r="S1325" s="286"/>
      <c r="T1325" s="286"/>
      <c r="U1325" s="287"/>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85" t="str">
        <f>IF(AND(OR(E1319="RPX", E1319="RPX-T", E1319="SS"),E1320=216),"NO 216 For RPX, RPX-T, OR SS CABLE","---")</f>
        <v>---</v>
      </c>
      <c r="K1326" s="286"/>
      <c r="L1326" s="287"/>
      <c r="M1326" s="285" t="str" cm="1">
        <f t="array" ref="M1326">IF(AND(E1319="",OR(C1329:C1353="FST",C1329:C1353="REV T",C1329:C1353="DBL REV",C1329:C1353="TPL REV", C1329:C1353="QD REV")),"Non-FlexNap cables cannot have tethers","---")</f>
        <v>---</v>
      </c>
      <c r="N1326" s="286"/>
      <c r="O1326" s="286"/>
      <c r="P1326" s="286"/>
      <c r="Q1326" s="286"/>
      <c r="R1326" s="286"/>
      <c r="S1326" s="286"/>
      <c r="T1326" s="286"/>
      <c r="U1326" s="287"/>
      <c r="V1326" s="25"/>
      <c r="W1326" s="58"/>
      <c r="X1326" s="58"/>
      <c r="Y1326" s="25"/>
      <c r="Z1326" s="45">
        <v>6</v>
      </c>
      <c r="AA1326" s="65">
        <v>61</v>
      </c>
      <c r="AB1326" s="65">
        <v>72</v>
      </c>
      <c r="AC1326" s="25"/>
      <c r="AD1326" s="25"/>
      <c r="BA1326" s="226"/>
    </row>
    <row r="1327" spans="1:53" ht="15.75" customHeight="1" thickBot="1" x14ac:dyDescent="0.3">
      <c r="A1327" s="88"/>
      <c r="B1327" s="321" t="s">
        <v>260</v>
      </c>
      <c r="C1327" s="293" t="s">
        <v>261</v>
      </c>
      <c r="D1327" s="293" t="s">
        <v>262</v>
      </c>
      <c r="E1327" s="306" t="s">
        <v>263</v>
      </c>
      <c r="F1327" s="293" t="s">
        <v>264</v>
      </c>
      <c r="G1327" s="308" t="s">
        <v>265</v>
      </c>
      <c r="H1327" s="308" t="s">
        <v>266</v>
      </c>
      <c r="I1327" s="308" t="s">
        <v>267</v>
      </c>
      <c r="J1327" s="310" t="s">
        <v>268</v>
      </c>
      <c r="K1327" s="293" t="s">
        <v>269</v>
      </c>
      <c r="L1327" s="279" t="s">
        <v>270</v>
      </c>
      <c r="M1327" s="281" t="s">
        <v>271</v>
      </c>
      <c r="N1327" s="281"/>
      <c r="O1327" s="281"/>
      <c r="P1327" s="281"/>
      <c r="Q1327" s="281"/>
      <c r="R1327" s="281"/>
      <c r="S1327" s="281"/>
      <c r="T1327" s="281"/>
      <c r="U1327" s="282"/>
      <c r="V1327" s="107"/>
      <c r="W1327" s="72"/>
      <c r="X1327" s="72"/>
      <c r="Y1327" s="72"/>
      <c r="Z1327" s="45">
        <v>7</v>
      </c>
      <c r="AA1327" s="65">
        <v>73</v>
      </c>
      <c r="AB1327" s="65">
        <v>84</v>
      </c>
      <c r="AC1327" s="25"/>
      <c r="AD1327" s="25"/>
      <c r="BA1327" s="228"/>
    </row>
    <row r="1328" spans="1:53" ht="15.75" thickBot="1" x14ac:dyDescent="0.3">
      <c r="A1328" s="88"/>
      <c r="B1328" s="322"/>
      <c r="C1328" s="294"/>
      <c r="D1328" s="294"/>
      <c r="E1328" s="307"/>
      <c r="F1328" s="294"/>
      <c r="G1328" s="309"/>
      <c r="H1328" s="309"/>
      <c r="I1328" s="309"/>
      <c r="J1328" s="311"/>
      <c r="K1328" s="294"/>
      <c r="L1328" s="280"/>
      <c r="M1328" s="283"/>
      <c r="N1328" s="283"/>
      <c r="O1328" s="283"/>
      <c r="P1328" s="283"/>
      <c r="Q1328" s="283"/>
      <c r="R1328" s="283"/>
      <c r="S1328" s="283"/>
      <c r="T1328" s="283"/>
      <c r="U1328" s="284"/>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77"/>
      <c r="N1329" s="277"/>
      <c r="O1329" s="277"/>
      <c r="P1329" s="277"/>
      <c r="Q1329" s="277"/>
      <c r="R1329" s="277"/>
      <c r="S1329" s="277"/>
      <c r="T1329" s="277"/>
      <c r="U1329" s="278"/>
      <c r="V1329" s="103"/>
      <c r="W1329" s="72"/>
      <c r="X1329" s="72"/>
      <c r="Y1329" s="72"/>
      <c r="Z1329" s="45">
        <v>9</v>
      </c>
      <c r="AA1329" s="46">
        <v>97</v>
      </c>
      <c r="AB1329" s="46">
        <v>108</v>
      </c>
      <c r="AC1329" s="72">
        <f t="shared" ref="AC1329:AC1353" si="553">IF(B1329&lt;&gt;"FST",1,0)</f>
        <v>1</v>
      </c>
      <c r="AD1329" s="72">
        <f t="shared" ref="AD1329:AD1353" si="554">IF(C1329&lt;&gt;"FST",1,0)</f>
        <v>1</v>
      </c>
      <c r="AE1329" s="109" t="str">
        <f t="shared" ref="AE1329:AE1353" si="555">CONCATENATE(H1329,"-",I1329)</f>
        <v>0-0</v>
      </c>
      <c r="AF1329" s="109" t="str">
        <f t="shared" ref="AF1329:AF1353" si="556">IF(C1329="Field SPL","N","Y")</f>
        <v>Y</v>
      </c>
      <c r="AG1329" s="109" t="str">
        <f t="shared" ref="AG1329:AG1353" si="557">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58">VALUE(IF(C1329="FST","0",IF(C1329="REV T","1",IF(C1329="DBL REV",".5","0"))))</f>
        <v>0</v>
      </c>
      <c r="AN1329" s="109">
        <f t="shared" ref="AN1329:AN1353" si="559">VALUE(IF(C1329="FST","0",IF(C1329="REV T","0",IF(C1329="DBL REV",".5","0"))))</f>
        <v>0</v>
      </c>
      <c r="AO1329" s="109" t="str">
        <f t="shared" ref="AO1329:AO1353" si="560">IF(C1329="TPL REV","Y","")</f>
        <v/>
      </c>
      <c r="AQ1329" s="109" t="str">
        <f t="shared" ref="AQ1329:AQ1353" si="561">IF(C1329="QD REV","Y","")</f>
        <v/>
      </c>
      <c r="BA1329" s="229">
        <f>MOD(E1329,12)</f>
        <v>0</v>
      </c>
    </row>
    <row r="1330" spans="1:53" ht="15.75" thickBot="1" x14ac:dyDescent="0.3">
      <c r="A1330" s="88"/>
      <c r="B1330" s="66" t="s">
        <v>279</v>
      </c>
      <c r="C1330" s="67"/>
      <c r="D1330" s="102"/>
      <c r="E1330" s="32"/>
      <c r="F1330" s="32"/>
      <c r="G1330" s="68" t="s">
        <v>277</v>
      </c>
      <c r="H1330" s="69">
        <f t="shared" ref="H1330:H1353" si="562">IF(E1330=0,0,I1330-(E1330-1))</f>
        <v>0</v>
      </c>
      <c r="I1330" s="70">
        <f t="shared" ref="I1330:I1353" si="563">IF(E1330=0,0,H1329-1)</f>
        <v>0</v>
      </c>
      <c r="J1330" s="73" t="str">
        <f>IF(C1330="","--",IF(AND(C1330&lt;&gt;"FST",C1330&lt;&gt;"TCF",BA1329&lt;&gt;0),BA1329,"--"))</f>
        <v>--</v>
      </c>
      <c r="K1330" s="32"/>
      <c r="L1330" s="233"/>
      <c r="M1330" s="277"/>
      <c r="N1330" s="277"/>
      <c r="O1330" s="277"/>
      <c r="P1330" s="277"/>
      <c r="Q1330" s="277"/>
      <c r="R1330" s="277"/>
      <c r="S1330" s="277"/>
      <c r="T1330" s="277"/>
      <c r="U1330" s="278"/>
      <c r="V1330" s="103"/>
      <c r="W1330" s="72"/>
      <c r="X1330" s="72"/>
      <c r="Y1330" s="72"/>
      <c r="Z1330" s="45">
        <v>10</v>
      </c>
      <c r="AA1330" s="46">
        <v>109</v>
      </c>
      <c r="AB1330" s="46">
        <v>120</v>
      </c>
      <c r="AC1330" s="72">
        <f t="shared" si="553"/>
        <v>1</v>
      </c>
      <c r="AD1330" s="72">
        <f t="shared" si="554"/>
        <v>1</v>
      </c>
      <c r="AE1330" s="109" t="str">
        <f t="shared" si="555"/>
        <v>0-0</v>
      </c>
      <c r="AF1330" s="109" t="str">
        <f t="shared" si="556"/>
        <v>Y</v>
      </c>
      <c r="AG1330" s="109" t="str">
        <f t="shared" si="557"/>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58"/>
        <v>0</v>
      </c>
      <c r="AN1330" s="109">
        <f t="shared" si="559"/>
        <v>0</v>
      </c>
      <c r="AO1330" s="109" t="str">
        <f t="shared" si="560"/>
        <v/>
      </c>
      <c r="AQ1330" s="109" t="str">
        <f t="shared" si="561"/>
        <v/>
      </c>
      <c r="BA1330" s="229">
        <f>MOD(SUM(E1329:E1330),12)</f>
        <v>0</v>
      </c>
    </row>
    <row r="1331" spans="1:53" ht="15.75" thickBot="1" x14ac:dyDescent="0.3">
      <c r="A1331" s="88"/>
      <c r="B1331" s="74" t="s">
        <v>280</v>
      </c>
      <c r="C1331" s="67"/>
      <c r="D1331" s="102"/>
      <c r="E1331" s="32"/>
      <c r="F1331" s="32"/>
      <c r="G1331" s="75" t="s">
        <v>277</v>
      </c>
      <c r="H1331" s="69">
        <f t="shared" si="562"/>
        <v>0</v>
      </c>
      <c r="I1331" s="70">
        <f t="shared" si="563"/>
        <v>0</v>
      </c>
      <c r="J1331" s="73" t="str">
        <f t="shared" ref="J1331:J1353" si="564">IF(C1331="","--",IF(AND(C1331&lt;&gt;"FST",C1331&lt;&gt;"TCF",BA1330&lt;&gt;0),BA1330,"--"))</f>
        <v>--</v>
      </c>
      <c r="K1331" s="32"/>
      <c r="L1331" s="233"/>
      <c r="M1331" s="277"/>
      <c r="N1331" s="277"/>
      <c r="O1331" s="277"/>
      <c r="P1331" s="277"/>
      <c r="Q1331" s="277"/>
      <c r="R1331" s="277"/>
      <c r="S1331" s="277"/>
      <c r="T1331" s="277"/>
      <c r="U1331" s="278"/>
      <c r="V1331" s="103"/>
      <c r="W1331" s="72"/>
      <c r="X1331" s="72"/>
      <c r="Y1331" s="72"/>
      <c r="Z1331" s="45">
        <v>11</v>
      </c>
      <c r="AA1331" s="46">
        <v>121</v>
      </c>
      <c r="AB1331" s="46">
        <v>132</v>
      </c>
      <c r="AC1331" s="72">
        <f t="shared" si="553"/>
        <v>1</v>
      </c>
      <c r="AD1331" s="72">
        <f t="shared" si="554"/>
        <v>1</v>
      </c>
      <c r="AE1331" s="109" t="str">
        <f t="shared" si="555"/>
        <v>0-0</v>
      </c>
      <c r="AF1331" s="109" t="str">
        <f t="shared" si="556"/>
        <v>Y</v>
      </c>
      <c r="AG1331" s="109" t="str">
        <f t="shared" si="557"/>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58"/>
        <v>0</v>
      </c>
      <c r="AN1331" s="109">
        <f t="shared" si="559"/>
        <v>0</v>
      </c>
      <c r="AO1331" s="109" t="str">
        <f t="shared" si="560"/>
        <v/>
      </c>
      <c r="AQ1331" s="109" t="str">
        <f t="shared" si="561"/>
        <v/>
      </c>
      <c r="BA1331" s="229">
        <f>MOD(SUM(E1329:E1332),12)</f>
        <v>0</v>
      </c>
    </row>
    <row r="1332" spans="1:53" ht="15.75" thickBot="1" x14ac:dyDescent="0.3">
      <c r="A1332" s="88"/>
      <c r="B1332" s="66" t="s">
        <v>281</v>
      </c>
      <c r="C1332" s="67"/>
      <c r="D1332" s="102"/>
      <c r="E1332" s="32"/>
      <c r="F1332" s="32"/>
      <c r="G1332" s="68" t="s">
        <v>277</v>
      </c>
      <c r="H1332" s="69">
        <f t="shared" si="562"/>
        <v>0</v>
      </c>
      <c r="I1332" s="70">
        <f t="shared" si="563"/>
        <v>0</v>
      </c>
      <c r="J1332" s="73" t="str">
        <f t="shared" si="564"/>
        <v>--</v>
      </c>
      <c r="K1332" s="32"/>
      <c r="L1332" s="233"/>
      <c r="M1332" s="277"/>
      <c r="N1332" s="277"/>
      <c r="O1332" s="277"/>
      <c r="P1332" s="277"/>
      <c r="Q1332" s="277"/>
      <c r="R1332" s="277"/>
      <c r="S1332" s="277"/>
      <c r="T1332" s="277"/>
      <c r="U1332" s="278"/>
      <c r="V1332" s="103"/>
      <c r="W1332" s="72"/>
      <c r="X1332" s="72"/>
      <c r="Y1332" s="72"/>
      <c r="Z1332" s="45">
        <v>12</v>
      </c>
      <c r="AA1332" s="76">
        <v>133</v>
      </c>
      <c r="AB1332" s="76">
        <v>144</v>
      </c>
      <c r="AC1332" s="72">
        <f t="shared" si="553"/>
        <v>1</v>
      </c>
      <c r="AD1332" s="72">
        <f t="shared" si="554"/>
        <v>1</v>
      </c>
      <c r="AE1332" s="109" t="str">
        <f t="shared" si="555"/>
        <v>0-0</v>
      </c>
      <c r="AF1332" s="109" t="str">
        <f t="shared" si="556"/>
        <v>Y</v>
      </c>
      <c r="AG1332" s="109" t="str">
        <f t="shared" si="557"/>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58"/>
        <v>0</v>
      </c>
      <c r="AN1332" s="109">
        <f t="shared" si="559"/>
        <v>0</v>
      </c>
      <c r="AO1332" s="109" t="str">
        <f t="shared" si="560"/>
        <v/>
      </c>
      <c r="AQ1332" s="109" t="str">
        <f t="shared" si="561"/>
        <v/>
      </c>
      <c r="BA1332" s="229">
        <f>MOD(SUM(E1329:E1333),12)</f>
        <v>0</v>
      </c>
    </row>
    <row r="1333" spans="1:53" ht="15.75" thickBot="1" x14ac:dyDescent="0.3">
      <c r="A1333" s="88"/>
      <c r="B1333" s="66" t="s">
        <v>282</v>
      </c>
      <c r="C1333" s="67"/>
      <c r="D1333" s="102"/>
      <c r="E1333" s="32"/>
      <c r="F1333" s="32"/>
      <c r="G1333" s="68" t="s">
        <v>277</v>
      </c>
      <c r="H1333" s="69">
        <f t="shared" si="562"/>
        <v>0</v>
      </c>
      <c r="I1333" s="70">
        <f t="shared" si="563"/>
        <v>0</v>
      </c>
      <c r="J1333" s="73" t="str">
        <f t="shared" si="564"/>
        <v>--</v>
      </c>
      <c r="K1333" s="32"/>
      <c r="L1333" s="233"/>
      <c r="M1333" s="277"/>
      <c r="N1333" s="277"/>
      <c r="O1333" s="277"/>
      <c r="P1333" s="277"/>
      <c r="Q1333" s="277"/>
      <c r="R1333" s="277"/>
      <c r="S1333" s="277"/>
      <c r="T1333" s="277"/>
      <c r="U1333" s="278"/>
      <c r="V1333" s="103"/>
      <c r="W1333" s="72"/>
      <c r="X1333" s="72"/>
      <c r="Y1333" s="72"/>
      <c r="Z1333" s="45">
        <v>13</v>
      </c>
      <c r="AA1333" s="77">
        <f t="shared" ref="AA1333:AA1338" si="565">AB1332+1</f>
        <v>145</v>
      </c>
      <c r="AB1333" s="77">
        <f t="shared" ref="AB1333:AB1338" si="566">AB1332+12</f>
        <v>156</v>
      </c>
      <c r="AC1333" s="72">
        <f t="shared" si="553"/>
        <v>1</v>
      </c>
      <c r="AD1333" s="72">
        <f t="shared" si="554"/>
        <v>1</v>
      </c>
      <c r="AE1333" s="109" t="str">
        <f t="shared" si="555"/>
        <v>0-0</v>
      </c>
      <c r="AF1333" s="109" t="str">
        <f t="shared" si="556"/>
        <v>Y</v>
      </c>
      <c r="AG1333" s="109" t="str">
        <f t="shared" si="557"/>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58"/>
        <v>0</v>
      </c>
      <c r="AN1333" s="109">
        <f t="shared" si="559"/>
        <v>0</v>
      </c>
      <c r="AO1333" s="109" t="str">
        <f t="shared" si="560"/>
        <v/>
      </c>
      <c r="AQ1333" s="109" t="str">
        <f t="shared" si="561"/>
        <v/>
      </c>
      <c r="BA1333" s="229">
        <f>MOD(SUM(E1329:E1334),12)</f>
        <v>0</v>
      </c>
    </row>
    <row r="1334" spans="1:53" ht="15.75" thickBot="1" x14ac:dyDescent="0.3">
      <c r="A1334" s="88"/>
      <c r="B1334" s="66" t="s">
        <v>283</v>
      </c>
      <c r="C1334" s="67"/>
      <c r="D1334" s="102"/>
      <c r="E1334" s="32"/>
      <c r="F1334" s="32"/>
      <c r="G1334" s="68" t="s">
        <v>277</v>
      </c>
      <c r="H1334" s="69">
        <f t="shared" si="562"/>
        <v>0</v>
      </c>
      <c r="I1334" s="70">
        <f t="shared" si="563"/>
        <v>0</v>
      </c>
      <c r="J1334" s="73" t="str">
        <f t="shared" si="564"/>
        <v>--</v>
      </c>
      <c r="K1334" s="32"/>
      <c r="L1334" s="233"/>
      <c r="M1334" s="277"/>
      <c r="N1334" s="277"/>
      <c r="O1334" s="277"/>
      <c r="P1334" s="277"/>
      <c r="Q1334" s="277"/>
      <c r="R1334" s="277"/>
      <c r="S1334" s="277"/>
      <c r="T1334" s="277"/>
      <c r="U1334" s="278"/>
      <c r="V1334" s="103"/>
      <c r="W1334" s="72"/>
      <c r="X1334" s="72"/>
      <c r="Y1334" s="72"/>
      <c r="Z1334" s="45">
        <v>14</v>
      </c>
      <c r="AA1334" s="77">
        <f t="shared" si="565"/>
        <v>157</v>
      </c>
      <c r="AB1334" s="77">
        <f t="shared" si="566"/>
        <v>168</v>
      </c>
      <c r="AC1334" s="72">
        <f t="shared" si="553"/>
        <v>1</v>
      </c>
      <c r="AD1334" s="72">
        <f t="shared" si="554"/>
        <v>1</v>
      </c>
      <c r="AE1334" s="109" t="str">
        <f t="shared" si="555"/>
        <v>0-0</v>
      </c>
      <c r="AF1334" s="109" t="str">
        <f t="shared" si="556"/>
        <v>Y</v>
      </c>
      <c r="AG1334" s="109" t="str">
        <f t="shared" si="557"/>
        <v>B</v>
      </c>
      <c r="AM1334" s="109">
        <f t="shared" si="558"/>
        <v>0</v>
      </c>
      <c r="AN1334" s="109">
        <f t="shared" si="559"/>
        <v>0</v>
      </c>
      <c r="AO1334" s="109" t="str">
        <f t="shared" si="560"/>
        <v/>
      </c>
      <c r="AQ1334" s="109" t="str">
        <f t="shared" si="561"/>
        <v/>
      </c>
      <c r="BA1334" s="229">
        <f>MOD(SUM(E1329:E1335),12)</f>
        <v>0</v>
      </c>
    </row>
    <row r="1335" spans="1:53" ht="15.75" thickBot="1" x14ac:dyDescent="0.3">
      <c r="A1335" s="88"/>
      <c r="B1335" s="66" t="s">
        <v>284</v>
      </c>
      <c r="C1335" s="67"/>
      <c r="D1335" s="102"/>
      <c r="E1335" s="32"/>
      <c r="F1335" s="32"/>
      <c r="G1335" s="68" t="s">
        <v>277</v>
      </c>
      <c r="H1335" s="69">
        <f t="shared" si="562"/>
        <v>0</v>
      </c>
      <c r="I1335" s="70">
        <f t="shared" si="563"/>
        <v>0</v>
      </c>
      <c r="J1335" s="73" t="str">
        <f t="shared" si="564"/>
        <v>--</v>
      </c>
      <c r="K1335" s="32"/>
      <c r="L1335" s="233"/>
      <c r="M1335" s="277"/>
      <c r="N1335" s="277"/>
      <c r="O1335" s="277"/>
      <c r="P1335" s="277"/>
      <c r="Q1335" s="277"/>
      <c r="R1335" s="277"/>
      <c r="S1335" s="277"/>
      <c r="T1335" s="277"/>
      <c r="U1335" s="278"/>
      <c r="V1335" s="103"/>
      <c r="W1335" s="72"/>
      <c r="X1335" s="72"/>
      <c r="Y1335" s="72"/>
      <c r="Z1335" s="45">
        <v>15</v>
      </c>
      <c r="AA1335" s="77">
        <f t="shared" si="565"/>
        <v>169</v>
      </c>
      <c r="AB1335" s="77">
        <f t="shared" si="566"/>
        <v>180</v>
      </c>
      <c r="AC1335" s="72">
        <f t="shared" si="553"/>
        <v>1</v>
      </c>
      <c r="AD1335" s="72">
        <f t="shared" si="554"/>
        <v>1</v>
      </c>
      <c r="AE1335" s="109" t="str">
        <f t="shared" si="555"/>
        <v>0-0</v>
      </c>
      <c r="AF1335" s="109" t="str">
        <f t="shared" si="556"/>
        <v>Y</v>
      </c>
      <c r="AG1335" s="109" t="str">
        <f t="shared" si="557"/>
        <v>B</v>
      </c>
      <c r="AM1335" s="109">
        <f t="shared" si="558"/>
        <v>0</v>
      </c>
      <c r="AN1335" s="109">
        <f t="shared" si="559"/>
        <v>0</v>
      </c>
      <c r="AO1335" s="109" t="str">
        <f t="shared" si="560"/>
        <v/>
      </c>
      <c r="AQ1335" s="109" t="str">
        <f t="shared" si="561"/>
        <v/>
      </c>
      <c r="BA1335" s="229">
        <f>MOD(SUM(E1329:E1336),12)</f>
        <v>0</v>
      </c>
    </row>
    <row r="1336" spans="1:53" ht="15.75" thickBot="1" x14ac:dyDescent="0.3">
      <c r="A1336" s="88"/>
      <c r="B1336" s="66" t="s">
        <v>285</v>
      </c>
      <c r="C1336" s="67"/>
      <c r="D1336" s="102"/>
      <c r="E1336" s="32"/>
      <c r="F1336" s="32"/>
      <c r="G1336" s="68" t="s">
        <v>277</v>
      </c>
      <c r="H1336" s="69">
        <f t="shared" si="562"/>
        <v>0</v>
      </c>
      <c r="I1336" s="70">
        <f t="shared" si="563"/>
        <v>0</v>
      </c>
      <c r="J1336" s="73" t="str">
        <f t="shared" si="564"/>
        <v>--</v>
      </c>
      <c r="K1336" s="32"/>
      <c r="L1336" s="233"/>
      <c r="M1336" s="277"/>
      <c r="N1336" s="277"/>
      <c r="O1336" s="277"/>
      <c r="P1336" s="277"/>
      <c r="Q1336" s="277"/>
      <c r="R1336" s="277"/>
      <c r="S1336" s="277"/>
      <c r="T1336" s="277"/>
      <c r="U1336" s="278"/>
      <c r="V1336" s="103"/>
      <c r="W1336" s="72"/>
      <c r="X1336" s="72"/>
      <c r="Y1336" s="72"/>
      <c r="Z1336" s="45">
        <f>Z1335+1</f>
        <v>16</v>
      </c>
      <c r="AA1336" s="77">
        <f t="shared" si="565"/>
        <v>181</v>
      </c>
      <c r="AB1336" s="77">
        <f t="shared" si="566"/>
        <v>192</v>
      </c>
      <c r="AC1336" s="72">
        <f t="shared" si="553"/>
        <v>1</v>
      </c>
      <c r="AD1336" s="72">
        <f t="shared" si="554"/>
        <v>1</v>
      </c>
      <c r="AE1336" s="109" t="str">
        <f t="shared" si="555"/>
        <v>0-0</v>
      </c>
      <c r="AF1336" s="109" t="str">
        <f t="shared" si="556"/>
        <v>Y</v>
      </c>
      <c r="AG1336" s="109" t="str">
        <f t="shared" si="557"/>
        <v>B</v>
      </c>
      <c r="AM1336" s="109">
        <f t="shared" si="558"/>
        <v>0</v>
      </c>
      <c r="AN1336" s="109">
        <f t="shared" si="559"/>
        <v>0</v>
      </c>
      <c r="AO1336" s="109" t="str">
        <f t="shared" si="560"/>
        <v/>
      </c>
      <c r="AQ1336" s="109" t="str">
        <f t="shared" si="561"/>
        <v/>
      </c>
      <c r="BA1336" s="229">
        <f>MOD(SUM(E1329:E1337),12)</f>
        <v>0</v>
      </c>
    </row>
    <row r="1337" spans="1:53" ht="15.75" thickBot="1" x14ac:dyDescent="0.3">
      <c r="A1337" s="88"/>
      <c r="B1337" s="66" t="s">
        <v>286</v>
      </c>
      <c r="C1337" s="67"/>
      <c r="D1337" s="102"/>
      <c r="E1337" s="32"/>
      <c r="F1337" s="32"/>
      <c r="G1337" s="68" t="s">
        <v>277</v>
      </c>
      <c r="H1337" s="69">
        <f t="shared" si="562"/>
        <v>0</v>
      </c>
      <c r="I1337" s="70">
        <f t="shared" si="563"/>
        <v>0</v>
      </c>
      <c r="J1337" s="73" t="str">
        <f t="shared" si="564"/>
        <v>--</v>
      </c>
      <c r="K1337" s="32"/>
      <c r="L1337" s="233"/>
      <c r="M1337" s="277"/>
      <c r="N1337" s="277"/>
      <c r="O1337" s="277"/>
      <c r="P1337" s="277"/>
      <c r="Q1337" s="277"/>
      <c r="R1337" s="277"/>
      <c r="S1337" s="277"/>
      <c r="T1337" s="277"/>
      <c r="U1337" s="278"/>
      <c r="V1337" s="103"/>
      <c r="W1337" s="72"/>
      <c r="X1337" s="72"/>
      <c r="Y1337" s="72"/>
      <c r="Z1337" s="45">
        <f>Z1336+1</f>
        <v>17</v>
      </c>
      <c r="AA1337" s="77">
        <f t="shared" si="565"/>
        <v>193</v>
      </c>
      <c r="AB1337" s="77">
        <f t="shared" si="566"/>
        <v>204</v>
      </c>
      <c r="AC1337" s="72">
        <f t="shared" si="553"/>
        <v>1</v>
      </c>
      <c r="AD1337" s="72">
        <f t="shared" si="554"/>
        <v>1</v>
      </c>
      <c r="AE1337" s="109" t="str">
        <f t="shared" si="555"/>
        <v>0-0</v>
      </c>
      <c r="AF1337" s="109" t="str">
        <f t="shared" si="556"/>
        <v>Y</v>
      </c>
      <c r="AG1337" s="109" t="str">
        <f t="shared" si="557"/>
        <v>B</v>
      </c>
      <c r="AM1337" s="109">
        <f t="shared" si="558"/>
        <v>0</v>
      </c>
      <c r="AN1337" s="109">
        <f t="shared" si="559"/>
        <v>0</v>
      </c>
      <c r="AO1337" s="109" t="str">
        <f t="shared" si="560"/>
        <v/>
      </c>
      <c r="AQ1337" s="109" t="str">
        <f t="shared" si="561"/>
        <v/>
      </c>
      <c r="BA1337" s="229">
        <f>MOD(SUM(E1329:E1338),12)</f>
        <v>0</v>
      </c>
    </row>
    <row r="1338" spans="1:53" ht="15.75" thickBot="1" x14ac:dyDescent="0.3">
      <c r="A1338" s="88"/>
      <c r="B1338" s="66" t="s">
        <v>287</v>
      </c>
      <c r="C1338" s="67"/>
      <c r="D1338" s="102"/>
      <c r="E1338" s="32"/>
      <c r="F1338" s="32"/>
      <c r="G1338" s="68" t="s">
        <v>277</v>
      </c>
      <c r="H1338" s="69">
        <f t="shared" si="562"/>
        <v>0</v>
      </c>
      <c r="I1338" s="70">
        <f t="shared" si="563"/>
        <v>0</v>
      </c>
      <c r="J1338" s="73" t="str">
        <f t="shared" si="564"/>
        <v>--</v>
      </c>
      <c r="K1338" s="32"/>
      <c r="L1338" s="233"/>
      <c r="M1338" s="277"/>
      <c r="N1338" s="277"/>
      <c r="O1338" s="277"/>
      <c r="P1338" s="277"/>
      <c r="Q1338" s="277"/>
      <c r="R1338" s="277"/>
      <c r="S1338" s="277"/>
      <c r="T1338" s="277"/>
      <c r="U1338" s="278"/>
      <c r="V1338" s="103"/>
      <c r="W1338" s="72"/>
      <c r="X1338" s="72"/>
      <c r="Y1338" s="72"/>
      <c r="Z1338" s="45">
        <f>Z1337+1</f>
        <v>18</v>
      </c>
      <c r="AA1338" s="77">
        <f t="shared" si="565"/>
        <v>205</v>
      </c>
      <c r="AB1338" s="77">
        <f t="shared" si="566"/>
        <v>216</v>
      </c>
      <c r="AC1338" s="72">
        <f t="shared" si="553"/>
        <v>1</v>
      </c>
      <c r="AD1338" s="72">
        <f t="shared" si="554"/>
        <v>1</v>
      </c>
      <c r="AE1338" s="109" t="str">
        <f t="shared" si="555"/>
        <v>0-0</v>
      </c>
      <c r="AF1338" s="109" t="str">
        <f t="shared" si="556"/>
        <v>Y</v>
      </c>
      <c r="AG1338" s="109" t="str">
        <f t="shared" si="557"/>
        <v>B</v>
      </c>
      <c r="AM1338" s="109">
        <f t="shared" si="558"/>
        <v>0</v>
      </c>
      <c r="AN1338" s="109">
        <f t="shared" si="559"/>
        <v>0</v>
      </c>
      <c r="AO1338" s="109" t="str">
        <f t="shared" si="560"/>
        <v/>
      </c>
      <c r="AQ1338" s="109" t="str">
        <f t="shared" si="561"/>
        <v/>
      </c>
      <c r="BA1338" s="229">
        <f>MOD(SUM(E1329:E1339),12)</f>
        <v>0</v>
      </c>
    </row>
    <row r="1339" spans="1:53" ht="15.75" thickBot="1" x14ac:dyDescent="0.3">
      <c r="A1339" s="88"/>
      <c r="B1339" s="66" t="s">
        <v>288</v>
      </c>
      <c r="C1339" s="67"/>
      <c r="D1339" s="102"/>
      <c r="E1339" s="32"/>
      <c r="F1339" s="32"/>
      <c r="G1339" s="68" t="s">
        <v>277</v>
      </c>
      <c r="H1339" s="69">
        <f t="shared" si="562"/>
        <v>0</v>
      </c>
      <c r="I1339" s="70">
        <f t="shared" si="563"/>
        <v>0</v>
      </c>
      <c r="J1339" s="73" t="str">
        <f t="shared" si="564"/>
        <v>--</v>
      </c>
      <c r="K1339" s="32"/>
      <c r="L1339" s="233"/>
      <c r="M1339" s="277"/>
      <c r="N1339" s="277"/>
      <c r="O1339" s="277"/>
      <c r="P1339" s="277"/>
      <c r="Q1339" s="277"/>
      <c r="R1339" s="277"/>
      <c r="S1339" s="277"/>
      <c r="T1339" s="277"/>
      <c r="U1339" s="278"/>
      <c r="V1339" s="103"/>
      <c r="W1339" s="84"/>
      <c r="X1339" s="84"/>
      <c r="Y1339" s="72"/>
      <c r="Z1339" s="72"/>
      <c r="AA1339" s="72"/>
      <c r="AB1339" s="72"/>
      <c r="AC1339" s="72">
        <f t="shared" si="553"/>
        <v>1</v>
      </c>
      <c r="AD1339" s="72">
        <f t="shared" si="554"/>
        <v>1</v>
      </c>
      <c r="AE1339" s="109" t="str">
        <f t="shared" si="555"/>
        <v>0-0</v>
      </c>
      <c r="AF1339" s="109" t="str">
        <f t="shared" si="556"/>
        <v>Y</v>
      </c>
      <c r="AG1339" s="109" t="str">
        <f t="shared" si="557"/>
        <v>B</v>
      </c>
      <c r="AM1339" s="109">
        <f t="shared" si="558"/>
        <v>0</v>
      </c>
      <c r="AN1339" s="109">
        <f t="shared" si="559"/>
        <v>0</v>
      </c>
      <c r="AO1339" s="109" t="str">
        <f t="shared" si="560"/>
        <v/>
      </c>
      <c r="AQ1339" s="109" t="str">
        <f t="shared" si="561"/>
        <v/>
      </c>
      <c r="BA1339" s="229">
        <f>MOD(SUM(E1329:E1340),12)</f>
        <v>0</v>
      </c>
    </row>
    <row r="1340" spans="1:53" ht="15.75" thickBot="1" x14ac:dyDescent="0.3">
      <c r="A1340" s="88"/>
      <c r="B1340" s="66" t="s">
        <v>289</v>
      </c>
      <c r="C1340" s="67"/>
      <c r="D1340" s="102"/>
      <c r="E1340" s="32"/>
      <c r="F1340" s="32"/>
      <c r="G1340" s="68" t="s">
        <v>277</v>
      </c>
      <c r="H1340" s="69">
        <f t="shared" si="562"/>
        <v>0</v>
      </c>
      <c r="I1340" s="70">
        <f t="shared" si="563"/>
        <v>0</v>
      </c>
      <c r="J1340" s="73" t="str">
        <f t="shared" si="564"/>
        <v>--</v>
      </c>
      <c r="K1340" s="32"/>
      <c r="L1340" s="233"/>
      <c r="M1340" s="277"/>
      <c r="N1340" s="277"/>
      <c r="O1340" s="277"/>
      <c r="P1340" s="277"/>
      <c r="Q1340" s="277"/>
      <c r="R1340" s="277"/>
      <c r="S1340" s="277"/>
      <c r="T1340" s="277"/>
      <c r="U1340" s="278"/>
      <c r="V1340" s="103"/>
      <c r="W1340" s="84">
        <f>Y1340+1</f>
        <v>1</v>
      </c>
      <c r="X1340" s="84"/>
      <c r="Y1340" s="78">
        <f>SUM(E1329:E1340)</f>
        <v>0</v>
      </c>
      <c r="Z1340" s="72"/>
      <c r="AA1340" s="72"/>
      <c r="AB1340" s="72"/>
      <c r="AC1340" s="72">
        <f t="shared" si="553"/>
        <v>1</v>
      </c>
      <c r="AD1340" s="72">
        <f t="shared" si="554"/>
        <v>1</v>
      </c>
      <c r="AE1340" s="109" t="str">
        <f t="shared" si="555"/>
        <v>0-0</v>
      </c>
      <c r="AF1340" s="109" t="str">
        <f t="shared" si="556"/>
        <v>Y</v>
      </c>
      <c r="AG1340" s="109" t="str">
        <f t="shared" si="557"/>
        <v>B</v>
      </c>
      <c r="AM1340" s="109">
        <f t="shared" si="558"/>
        <v>0</v>
      </c>
      <c r="AN1340" s="109">
        <f t="shared" si="559"/>
        <v>0</v>
      </c>
      <c r="AO1340" s="109" t="str">
        <f t="shared" si="560"/>
        <v/>
      </c>
      <c r="AQ1340" s="109" t="str">
        <f t="shared" si="561"/>
        <v/>
      </c>
      <c r="BA1340" s="229">
        <f>MOD(SUM(E1329:E1341),12)</f>
        <v>0</v>
      </c>
    </row>
    <row r="1341" spans="1:53" ht="15.75" thickBot="1" x14ac:dyDescent="0.3">
      <c r="A1341" s="88"/>
      <c r="B1341" s="66" t="s">
        <v>290</v>
      </c>
      <c r="C1341" s="67"/>
      <c r="D1341" s="102"/>
      <c r="E1341" s="32"/>
      <c r="F1341" s="32"/>
      <c r="G1341" s="68" t="s">
        <v>277</v>
      </c>
      <c r="H1341" s="69">
        <f t="shared" si="562"/>
        <v>0</v>
      </c>
      <c r="I1341" s="70">
        <f t="shared" si="563"/>
        <v>0</v>
      </c>
      <c r="J1341" s="73" t="str">
        <f t="shared" si="564"/>
        <v>--</v>
      </c>
      <c r="K1341" s="32"/>
      <c r="L1341" s="233"/>
      <c r="M1341" s="277"/>
      <c r="N1341" s="277"/>
      <c r="O1341" s="277"/>
      <c r="P1341" s="277"/>
      <c r="Q1341" s="277"/>
      <c r="R1341" s="277"/>
      <c r="S1341" s="277"/>
      <c r="T1341" s="277"/>
      <c r="U1341" s="278"/>
      <c r="V1341" s="103"/>
      <c r="W1341" s="84">
        <f>Y1341+1</f>
        <v>1</v>
      </c>
      <c r="X1341" s="84"/>
      <c r="Y1341" s="78">
        <f>SUM(E1329:E1341)</f>
        <v>0</v>
      </c>
      <c r="Z1341" s="72" t="str">
        <f t="shared" ref="Z1341:Z1353" si="567">IF(OR(AND(E$8=216,C1340="DBL REV",C1341="DBL REV",Y1340&lt;=144,Y1341&gt;144),AND(E$8=216,C1340="TPL REV",C1341="TPL REV",Y1340&lt;=144,Y1341&gt;144),AND(E$8=216,C1340="QD REV",C1341="QD REV",Y1340&lt;=144,Y1341&gt;144)),"ERROR","")</f>
        <v/>
      </c>
      <c r="AA1341" s="72"/>
      <c r="AB1341" s="72"/>
      <c r="AC1341" s="72">
        <f t="shared" si="553"/>
        <v>1</v>
      </c>
      <c r="AD1341" s="72">
        <f t="shared" si="554"/>
        <v>1</v>
      </c>
      <c r="AE1341" s="109" t="str">
        <f t="shared" si="555"/>
        <v>0-0</v>
      </c>
      <c r="AF1341" s="109" t="str">
        <f t="shared" si="556"/>
        <v>Y</v>
      </c>
      <c r="AG1341" s="109" t="str">
        <f t="shared" si="557"/>
        <v>B</v>
      </c>
      <c r="AM1341" s="109">
        <f t="shared" si="558"/>
        <v>0</v>
      </c>
      <c r="AN1341" s="109">
        <f t="shared" si="559"/>
        <v>0</v>
      </c>
      <c r="AO1341" s="109" t="str">
        <f t="shared" si="560"/>
        <v/>
      </c>
      <c r="AQ1341" s="109" t="str">
        <f t="shared" si="561"/>
        <v/>
      </c>
      <c r="BA1341" s="229">
        <f>MOD(SUM(E1329:E1342),12)</f>
        <v>0</v>
      </c>
    </row>
    <row r="1342" spans="1:53" ht="15.75" thickBot="1" x14ac:dyDescent="0.3">
      <c r="A1342" s="88"/>
      <c r="B1342" s="66" t="s">
        <v>291</v>
      </c>
      <c r="C1342" s="67"/>
      <c r="D1342" s="102"/>
      <c r="E1342" s="32"/>
      <c r="F1342" s="32"/>
      <c r="G1342" s="68" t="s">
        <v>277</v>
      </c>
      <c r="H1342" s="69">
        <f t="shared" si="562"/>
        <v>0</v>
      </c>
      <c r="I1342" s="70">
        <f t="shared" si="563"/>
        <v>0</v>
      </c>
      <c r="J1342" s="73" t="str">
        <f t="shared" si="564"/>
        <v>--</v>
      </c>
      <c r="K1342" s="32"/>
      <c r="L1342" s="233"/>
      <c r="M1342" s="277"/>
      <c r="N1342" s="277"/>
      <c r="O1342" s="277"/>
      <c r="P1342" s="277"/>
      <c r="Q1342" s="277"/>
      <c r="R1342" s="277"/>
      <c r="S1342" s="277"/>
      <c r="T1342" s="277"/>
      <c r="U1342" s="278"/>
      <c r="V1342" s="103"/>
      <c r="W1342" s="84">
        <f>Y1342+1</f>
        <v>1</v>
      </c>
      <c r="X1342" s="84"/>
      <c r="Y1342" s="78">
        <f>SUM(E1329:E1342)</f>
        <v>0</v>
      </c>
      <c r="Z1342" s="72" t="str">
        <f t="shared" si="567"/>
        <v/>
      </c>
      <c r="AA1342" s="72"/>
      <c r="AB1342" s="72"/>
      <c r="AC1342" s="72">
        <f t="shared" si="553"/>
        <v>1</v>
      </c>
      <c r="AD1342" s="72">
        <f t="shared" si="554"/>
        <v>1</v>
      </c>
      <c r="AE1342" s="109" t="str">
        <f t="shared" si="555"/>
        <v>0-0</v>
      </c>
      <c r="AF1342" s="109" t="str">
        <f t="shared" si="556"/>
        <v>Y</v>
      </c>
      <c r="AG1342" s="109" t="str">
        <f t="shared" si="557"/>
        <v>B</v>
      </c>
      <c r="AM1342" s="109">
        <f t="shared" si="558"/>
        <v>0</v>
      </c>
      <c r="AN1342" s="109">
        <f t="shared" si="559"/>
        <v>0</v>
      </c>
      <c r="AO1342" s="109" t="str">
        <f t="shared" si="560"/>
        <v/>
      </c>
      <c r="AQ1342" s="109" t="str">
        <f t="shared" si="561"/>
        <v/>
      </c>
      <c r="BA1342" s="229">
        <f>MOD(SUM(E1329:E1343),12)</f>
        <v>0</v>
      </c>
    </row>
    <row r="1343" spans="1:53" ht="15.75" thickBot="1" x14ac:dyDescent="0.3">
      <c r="A1343" s="88"/>
      <c r="B1343" s="66" t="s">
        <v>292</v>
      </c>
      <c r="C1343" s="67"/>
      <c r="D1343" s="102"/>
      <c r="E1343" s="32"/>
      <c r="F1343" s="32"/>
      <c r="G1343" s="68" t="s">
        <v>277</v>
      </c>
      <c r="H1343" s="69">
        <f t="shared" si="562"/>
        <v>0</v>
      </c>
      <c r="I1343" s="70">
        <f t="shared" si="563"/>
        <v>0</v>
      </c>
      <c r="J1343" s="73" t="str">
        <f t="shared" si="564"/>
        <v>--</v>
      </c>
      <c r="K1343" s="32"/>
      <c r="L1343" s="233"/>
      <c r="M1343" s="277"/>
      <c r="N1343" s="277"/>
      <c r="O1343" s="277"/>
      <c r="P1343" s="277"/>
      <c r="Q1343" s="277"/>
      <c r="R1343" s="277"/>
      <c r="S1343" s="277"/>
      <c r="T1343" s="277"/>
      <c r="U1343" s="278"/>
      <c r="V1343" s="103"/>
      <c r="W1343" s="84">
        <f>Y1343+1</f>
        <v>1</v>
      </c>
      <c r="X1343" s="84"/>
      <c r="Y1343" s="78">
        <f>SUM(E1329:E1343)</f>
        <v>0</v>
      </c>
      <c r="Z1343" s="72" t="str">
        <f t="shared" si="567"/>
        <v/>
      </c>
      <c r="AA1343" s="72" t="str">
        <f t="shared" ref="AA1343:AA1355" si="568">IF(AND(C1341&lt;&gt;"Field SPL",W1340&lt;=144,Y1341&gt;144),"ERROR","")</f>
        <v/>
      </c>
      <c r="AB1343" s="72"/>
      <c r="AC1343" s="72">
        <f t="shared" si="553"/>
        <v>1</v>
      </c>
      <c r="AD1343" s="72">
        <f t="shared" si="554"/>
        <v>1</v>
      </c>
      <c r="AE1343" s="109" t="str">
        <f t="shared" si="555"/>
        <v>0-0</v>
      </c>
      <c r="AF1343" s="109" t="str">
        <f t="shared" si="556"/>
        <v>Y</v>
      </c>
      <c r="AG1343" s="109" t="str">
        <f t="shared" si="557"/>
        <v>B</v>
      </c>
      <c r="AM1343" s="109">
        <f t="shared" si="558"/>
        <v>0</v>
      </c>
      <c r="AN1343" s="109">
        <f t="shared" si="559"/>
        <v>0</v>
      </c>
      <c r="AO1343" s="109" t="str">
        <f t="shared" si="560"/>
        <v/>
      </c>
      <c r="AQ1343" s="109" t="str">
        <f t="shared" si="561"/>
        <v/>
      </c>
      <c r="BA1343" s="229">
        <f>MOD(SUM(E1329:E1344),12)</f>
        <v>0</v>
      </c>
    </row>
    <row r="1344" spans="1:53" ht="15.75" thickBot="1" x14ac:dyDescent="0.3">
      <c r="A1344" s="88"/>
      <c r="B1344" s="66" t="s">
        <v>293</v>
      </c>
      <c r="C1344" s="67"/>
      <c r="D1344" s="102"/>
      <c r="E1344" s="32"/>
      <c r="F1344" s="32"/>
      <c r="G1344" s="68" t="s">
        <v>277</v>
      </c>
      <c r="H1344" s="69">
        <f t="shared" si="562"/>
        <v>0</v>
      </c>
      <c r="I1344" s="70">
        <f t="shared" si="563"/>
        <v>0</v>
      </c>
      <c r="J1344" s="73" t="str">
        <f t="shared" si="564"/>
        <v>--</v>
      </c>
      <c r="K1344" s="32"/>
      <c r="L1344" s="233"/>
      <c r="M1344" s="277"/>
      <c r="N1344" s="277"/>
      <c r="O1344" s="277"/>
      <c r="P1344" s="277"/>
      <c r="Q1344" s="277"/>
      <c r="R1344" s="277"/>
      <c r="S1344" s="277"/>
      <c r="T1344" s="277"/>
      <c r="U1344" s="278"/>
      <c r="V1344" s="103"/>
      <c r="W1344" s="84">
        <f t="shared" ref="W1344:W1352" si="569">Y1344+1</f>
        <v>1</v>
      </c>
      <c r="X1344" s="84"/>
      <c r="Y1344" s="78">
        <f>SUM(E1329:E1344)</f>
        <v>0</v>
      </c>
      <c r="Z1344" s="72" t="str">
        <f t="shared" si="567"/>
        <v/>
      </c>
      <c r="AA1344" s="72" t="str">
        <f t="shared" si="568"/>
        <v/>
      </c>
      <c r="AB1344" s="72"/>
      <c r="AC1344" s="72">
        <f t="shared" si="553"/>
        <v>1</v>
      </c>
      <c r="AD1344" s="72">
        <f t="shared" si="554"/>
        <v>1</v>
      </c>
      <c r="AE1344" s="109" t="str">
        <f t="shared" si="555"/>
        <v>0-0</v>
      </c>
      <c r="AF1344" s="109" t="str">
        <f t="shared" si="556"/>
        <v>Y</v>
      </c>
      <c r="AG1344" s="109" t="str">
        <f t="shared" si="557"/>
        <v>B</v>
      </c>
      <c r="AM1344" s="109">
        <f t="shared" si="558"/>
        <v>0</v>
      </c>
      <c r="AN1344" s="109">
        <f t="shared" si="559"/>
        <v>0</v>
      </c>
      <c r="AO1344" s="109" t="str">
        <f t="shared" si="560"/>
        <v/>
      </c>
      <c r="AQ1344" s="109" t="str">
        <f t="shared" si="561"/>
        <v/>
      </c>
      <c r="BA1344" s="229">
        <f>MOD(SUM(E1329:E1345),12)</f>
        <v>0</v>
      </c>
    </row>
    <row r="1345" spans="1:53" ht="15.75" thickBot="1" x14ac:dyDescent="0.3">
      <c r="A1345" s="88"/>
      <c r="B1345" s="66" t="s">
        <v>294</v>
      </c>
      <c r="C1345" s="67"/>
      <c r="D1345" s="102"/>
      <c r="E1345" s="32"/>
      <c r="F1345" s="32"/>
      <c r="G1345" s="68" t="s">
        <v>277</v>
      </c>
      <c r="H1345" s="69">
        <f t="shared" si="562"/>
        <v>0</v>
      </c>
      <c r="I1345" s="70">
        <f t="shared" si="563"/>
        <v>0</v>
      </c>
      <c r="J1345" s="73" t="str">
        <f t="shared" si="564"/>
        <v>--</v>
      </c>
      <c r="K1345" s="32"/>
      <c r="L1345" s="233"/>
      <c r="M1345" s="277"/>
      <c r="N1345" s="277"/>
      <c r="O1345" s="277"/>
      <c r="P1345" s="277"/>
      <c r="Q1345" s="277"/>
      <c r="R1345" s="277"/>
      <c r="S1345" s="277"/>
      <c r="T1345" s="277"/>
      <c r="U1345" s="278"/>
      <c r="V1345" s="103"/>
      <c r="W1345" s="84">
        <f t="shared" si="569"/>
        <v>1</v>
      </c>
      <c r="X1345" s="84"/>
      <c r="Y1345" s="78">
        <f>SUM(E1329:E1345)</f>
        <v>0</v>
      </c>
      <c r="Z1345" s="72" t="str">
        <f t="shared" si="567"/>
        <v/>
      </c>
      <c r="AA1345" s="72" t="str">
        <f t="shared" si="568"/>
        <v/>
      </c>
      <c r="AB1345" s="72"/>
      <c r="AC1345" s="72">
        <f t="shared" si="553"/>
        <v>1</v>
      </c>
      <c r="AD1345" s="72">
        <f t="shared" si="554"/>
        <v>1</v>
      </c>
      <c r="AE1345" s="109" t="str">
        <f t="shared" si="555"/>
        <v>0-0</v>
      </c>
      <c r="AF1345" s="109" t="str">
        <f t="shared" si="556"/>
        <v>Y</v>
      </c>
      <c r="AG1345" s="109" t="str">
        <f t="shared" si="557"/>
        <v>B</v>
      </c>
      <c r="AM1345" s="109">
        <f t="shared" si="558"/>
        <v>0</v>
      </c>
      <c r="AN1345" s="109">
        <f t="shared" si="559"/>
        <v>0</v>
      </c>
      <c r="AO1345" s="109" t="str">
        <f t="shared" si="560"/>
        <v/>
      </c>
      <c r="AQ1345" s="109" t="str">
        <f t="shared" si="561"/>
        <v/>
      </c>
      <c r="BA1345" s="229">
        <f>MOD(SUM(E1329:E1346),12)</f>
        <v>0</v>
      </c>
    </row>
    <row r="1346" spans="1:53" ht="15.75" thickBot="1" x14ac:dyDescent="0.3">
      <c r="A1346" s="88"/>
      <c r="B1346" s="66" t="s">
        <v>295</v>
      </c>
      <c r="C1346" s="67"/>
      <c r="D1346" s="102"/>
      <c r="E1346" s="32"/>
      <c r="F1346" s="32"/>
      <c r="G1346" s="68" t="s">
        <v>277</v>
      </c>
      <c r="H1346" s="69">
        <f t="shared" si="562"/>
        <v>0</v>
      </c>
      <c r="I1346" s="70">
        <f t="shared" si="563"/>
        <v>0</v>
      </c>
      <c r="J1346" s="73" t="str">
        <f t="shared" si="564"/>
        <v>--</v>
      </c>
      <c r="K1346" s="32"/>
      <c r="L1346" s="233"/>
      <c r="M1346" s="277"/>
      <c r="N1346" s="277"/>
      <c r="O1346" s="277"/>
      <c r="P1346" s="277"/>
      <c r="Q1346" s="277"/>
      <c r="R1346" s="277"/>
      <c r="S1346" s="277"/>
      <c r="T1346" s="277"/>
      <c r="U1346" s="278"/>
      <c r="V1346" s="103"/>
      <c r="W1346" s="84">
        <f t="shared" si="569"/>
        <v>1</v>
      </c>
      <c r="X1346" s="84"/>
      <c r="Y1346" s="78">
        <f>SUM(E1329:E1346)</f>
        <v>0</v>
      </c>
      <c r="Z1346" s="72" t="str">
        <f t="shared" si="567"/>
        <v/>
      </c>
      <c r="AA1346" s="72" t="str">
        <f t="shared" si="568"/>
        <v/>
      </c>
      <c r="AB1346" s="72"/>
      <c r="AC1346" s="72">
        <f t="shared" si="553"/>
        <v>1</v>
      </c>
      <c r="AD1346" s="72">
        <f t="shared" si="554"/>
        <v>1</v>
      </c>
      <c r="AE1346" s="109" t="str">
        <f t="shared" si="555"/>
        <v>0-0</v>
      </c>
      <c r="AF1346" s="109" t="str">
        <f t="shared" si="556"/>
        <v>Y</v>
      </c>
      <c r="AG1346" s="109" t="str">
        <f t="shared" si="557"/>
        <v>B</v>
      </c>
      <c r="AM1346" s="109">
        <f t="shared" si="558"/>
        <v>0</v>
      </c>
      <c r="AN1346" s="109">
        <f t="shared" si="559"/>
        <v>0</v>
      </c>
      <c r="AO1346" s="109" t="str">
        <f t="shared" si="560"/>
        <v/>
      </c>
      <c r="AQ1346" s="109" t="str">
        <f t="shared" si="561"/>
        <v/>
      </c>
      <c r="BA1346" s="229">
        <f>MOD(SUM(E1329:E1347),12)</f>
        <v>0</v>
      </c>
    </row>
    <row r="1347" spans="1:53" ht="15.75" thickBot="1" x14ac:dyDescent="0.3">
      <c r="A1347" s="88"/>
      <c r="B1347" s="66" t="s">
        <v>296</v>
      </c>
      <c r="C1347" s="67"/>
      <c r="D1347" s="102"/>
      <c r="E1347" s="32"/>
      <c r="F1347" s="32"/>
      <c r="G1347" s="68" t="s">
        <v>277</v>
      </c>
      <c r="H1347" s="69">
        <f t="shared" si="562"/>
        <v>0</v>
      </c>
      <c r="I1347" s="70">
        <f t="shared" si="563"/>
        <v>0</v>
      </c>
      <c r="J1347" s="73" t="str">
        <f t="shared" si="564"/>
        <v>--</v>
      </c>
      <c r="K1347" s="32"/>
      <c r="L1347" s="233"/>
      <c r="M1347" s="277"/>
      <c r="N1347" s="277"/>
      <c r="O1347" s="277"/>
      <c r="P1347" s="277"/>
      <c r="Q1347" s="277"/>
      <c r="R1347" s="277"/>
      <c r="S1347" s="277"/>
      <c r="T1347" s="277"/>
      <c r="U1347" s="278"/>
      <c r="V1347" s="103"/>
      <c r="W1347" s="84">
        <f t="shared" si="569"/>
        <v>1</v>
      </c>
      <c r="X1347" s="84"/>
      <c r="Y1347" s="78">
        <f>SUM(E1329:E1347)</f>
        <v>0</v>
      </c>
      <c r="Z1347" s="72" t="str">
        <f t="shared" si="567"/>
        <v/>
      </c>
      <c r="AA1347" s="72" t="str">
        <f t="shared" si="568"/>
        <v/>
      </c>
      <c r="AB1347" s="72"/>
      <c r="AC1347" s="72">
        <f t="shared" si="553"/>
        <v>1</v>
      </c>
      <c r="AD1347" s="72">
        <f t="shared" si="554"/>
        <v>1</v>
      </c>
      <c r="AE1347" s="109" t="str">
        <f t="shared" si="555"/>
        <v>0-0</v>
      </c>
      <c r="AF1347" s="109" t="str">
        <f t="shared" si="556"/>
        <v>Y</v>
      </c>
      <c r="AG1347" s="109" t="str">
        <f t="shared" si="557"/>
        <v>B</v>
      </c>
      <c r="AM1347" s="109">
        <f t="shared" si="558"/>
        <v>0</v>
      </c>
      <c r="AN1347" s="109">
        <f t="shared" si="559"/>
        <v>0</v>
      </c>
      <c r="AO1347" s="109" t="str">
        <f t="shared" si="560"/>
        <v/>
      </c>
      <c r="AQ1347" s="109" t="str">
        <f t="shared" si="561"/>
        <v/>
      </c>
      <c r="BA1347" s="229">
        <f>MOD(SUM(E1329:E1348),12)</f>
        <v>0</v>
      </c>
    </row>
    <row r="1348" spans="1:53" ht="15.75" thickBot="1" x14ac:dyDescent="0.3">
      <c r="A1348" s="88"/>
      <c r="B1348" s="66" t="s">
        <v>297</v>
      </c>
      <c r="C1348" s="67"/>
      <c r="D1348" s="102"/>
      <c r="E1348" s="32"/>
      <c r="F1348" s="32"/>
      <c r="G1348" s="68" t="s">
        <v>277</v>
      </c>
      <c r="H1348" s="69">
        <f t="shared" si="562"/>
        <v>0</v>
      </c>
      <c r="I1348" s="70">
        <f t="shared" si="563"/>
        <v>0</v>
      </c>
      <c r="J1348" s="73" t="str">
        <f t="shared" si="564"/>
        <v>--</v>
      </c>
      <c r="K1348" s="32"/>
      <c r="L1348" s="233"/>
      <c r="M1348" s="277"/>
      <c r="N1348" s="277"/>
      <c r="O1348" s="277"/>
      <c r="P1348" s="277"/>
      <c r="Q1348" s="277"/>
      <c r="R1348" s="277"/>
      <c r="S1348" s="277"/>
      <c r="T1348" s="277"/>
      <c r="U1348" s="278"/>
      <c r="V1348" s="103"/>
      <c r="W1348" s="84">
        <f t="shared" si="569"/>
        <v>1</v>
      </c>
      <c r="X1348" s="84"/>
      <c r="Y1348" s="78">
        <f>SUM(E1329:E1348)</f>
        <v>0</v>
      </c>
      <c r="Z1348" s="72" t="str">
        <f t="shared" si="567"/>
        <v/>
      </c>
      <c r="AA1348" s="72" t="str">
        <f t="shared" si="568"/>
        <v/>
      </c>
      <c r="AB1348" s="72"/>
      <c r="AC1348" s="72">
        <f t="shared" si="553"/>
        <v>1</v>
      </c>
      <c r="AD1348" s="72">
        <f t="shared" si="554"/>
        <v>1</v>
      </c>
      <c r="AE1348" s="109" t="str">
        <f t="shared" si="555"/>
        <v>0-0</v>
      </c>
      <c r="AF1348" s="109" t="str">
        <f t="shared" si="556"/>
        <v>Y</v>
      </c>
      <c r="AG1348" s="109" t="str">
        <f t="shared" si="557"/>
        <v>B</v>
      </c>
      <c r="AM1348" s="109">
        <f t="shared" si="558"/>
        <v>0</v>
      </c>
      <c r="AN1348" s="109">
        <f t="shared" si="559"/>
        <v>0</v>
      </c>
      <c r="AO1348" s="109" t="str">
        <f t="shared" si="560"/>
        <v/>
      </c>
      <c r="AQ1348" s="109" t="str">
        <f t="shared" si="561"/>
        <v/>
      </c>
      <c r="BA1348" s="229">
        <f>MOD(SUM(E1329:E1349),12)</f>
        <v>0</v>
      </c>
    </row>
    <row r="1349" spans="1:53" ht="15.75" thickBot="1" x14ac:dyDescent="0.3">
      <c r="A1349" s="88"/>
      <c r="B1349" s="66" t="s">
        <v>298</v>
      </c>
      <c r="C1349" s="67"/>
      <c r="D1349" s="102"/>
      <c r="E1349" s="32"/>
      <c r="F1349" s="32"/>
      <c r="G1349" s="68" t="s">
        <v>277</v>
      </c>
      <c r="H1349" s="69">
        <f t="shared" si="562"/>
        <v>0</v>
      </c>
      <c r="I1349" s="70">
        <f t="shared" si="563"/>
        <v>0</v>
      </c>
      <c r="J1349" s="73" t="str">
        <f t="shared" si="564"/>
        <v>--</v>
      </c>
      <c r="K1349" s="32"/>
      <c r="L1349" s="233"/>
      <c r="M1349" s="277"/>
      <c r="N1349" s="277"/>
      <c r="O1349" s="277"/>
      <c r="P1349" s="277"/>
      <c r="Q1349" s="277"/>
      <c r="R1349" s="277"/>
      <c r="S1349" s="277"/>
      <c r="T1349" s="277"/>
      <c r="U1349" s="278"/>
      <c r="V1349" s="103"/>
      <c r="W1349" s="84">
        <f t="shared" si="569"/>
        <v>1</v>
      </c>
      <c r="X1349" s="84"/>
      <c r="Y1349" s="78">
        <f>SUM(E1329:E1349)</f>
        <v>0</v>
      </c>
      <c r="Z1349" s="72" t="str">
        <f t="shared" si="567"/>
        <v/>
      </c>
      <c r="AA1349" s="72" t="str">
        <f t="shared" si="568"/>
        <v/>
      </c>
      <c r="AB1349" s="72"/>
      <c r="AC1349" s="72">
        <f t="shared" si="553"/>
        <v>1</v>
      </c>
      <c r="AD1349" s="72">
        <f t="shared" si="554"/>
        <v>1</v>
      </c>
      <c r="AE1349" s="109" t="str">
        <f t="shared" si="555"/>
        <v>0-0</v>
      </c>
      <c r="AF1349" s="109" t="str">
        <f t="shared" si="556"/>
        <v>Y</v>
      </c>
      <c r="AG1349" s="109" t="str">
        <f t="shared" si="557"/>
        <v>B</v>
      </c>
      <c r="AM1349" s="109">
        <f t="shared" si="558"/>
        <v>0</v>
      </c>
      <c r="AN1349" s="109">
        <f t="shared" si="559"/>
        <v>0</v>
      </c>
      <c r="AO1349" s="109" t="str">
        <f t="shared" si="560"/>
        <v/>
      </c>
      <c r="AQ1349" s="109" t="str">
        <f t="shared" si="561"/>
        <v/>
      </c>
      <c r="BA1349" s="229">
        <f>MOD(SUM(E1329:E1350),12)</f>
        <v>0</v>
      </c>
    </row>
    <row r="1350" spans="1:53" ht="15.75" thickBot="1" x14ac:dyDescent="0.3">
      <c r="A1350" s="88"/>
      <c r="B1350" s="66" t="s">
        <v>299</v>
      </c>
      <c r="C1350" s="67"/>
      <c r="D1350" s="102"/>
      <c r="E1350" s="32"/>
      <c r="F1350" s="32"/>
      <c r="G1350" s="68" t="s">
        <v>277</v>
      </c>
      <c r="H1350" s="69">
        <f t="shared" si="562"/>
        <v>0</v>
      </c>
      <c r="I1350" s="70">
        <f t="shared" si="563"/>
        <v>0</v>
      </c>
      <c r="J1350" s="73" t="str">
        <f t="shared" si="564"/>
        <v>--</v>
      </c>
      <c r="K1350" s="32"/>
      <c r="L1350" s="233"/>
      <c r="M1350" s="277"/>
      <c r="N1350" s="277"/>
      <c r="O1350" s="277"/>
      <c r="P1350" s="277"/>
      <c r="Q1350" s="277"/>
      <c r="R1350" s="277"/>
      <c r="S1350" s="277"/>
      <c r="T1350" s="277"/>
      <c r="U1350" s="278"/>
      <c r="V1350" s="103"/>
      <c r="W1350" s="84">
        <f t="shared" si="569"/>
        <v>1</v>
      </c>
      <c r="X1350" s="84"/>
      <c r="Y1350" s="78">
        <f>SUM(E1329:E1350)</f>
        <v>0</v>
      </c>
      <c r="Z1350" s="72" t="str">
        <f t="shared" si="567"/>
        <v/>
      </c>
      <c r="AA1350" s="72" t="str">
        <f t="shared" si="568"/>
        <v/>
      </c>
      <c r="AB1350" s="72"/>
      <c r="AC1350" s="72">
        <f t="shared" si="553"/>
        <v>1</v>
      </c>
      <c r="AD1350" s="72">
        <f t="shared" si="554"/>
        <v>1</v>
      </c>
      <c r="AE1350" s="109" t="str">
        <f t="shared" si="555"/>
        <v>0-0</v>
      </c>
      <c r="AF1350" s="109" t="str">
        <f t="shared" si="556"/>
        <v>Y</v>
      </c>
      <c r="AG1350" s="109" t="str">
        <f t="shared" si="557"/>
        <v>B</v>
      </c>
      <c r="AM1350" s="109">
        <f t="shared" si="558"/>
        <v>0</v>
      </c>
      <c r="AN1350" s="109">
        <f t="shared" si="559"/>
        <v>0</v>
      </c>
      <c r="AO1350" s="109" t="str">
        <f t="shared" si="560"/>
        <v/>
      </c>
      <c r="AQ1350" s="109" t="str">
        <f t="shared" si="561"/>
        <v/>
      </c>
      <c r="BA1350" s="229">
        <f>MOD(SUM(E1329:E1351),12)</f>
        <v>0</v>
      </c>
    </row>
    <row r="1351" spans="1:53" ht="15.75" thickBot="1" x14ac:dyDescent="0.3">
      <c r="A1351" s="88"/>
      <c r="B1351" s="66" t="s">
        <v>300</v>
      </c>
      <c r="C1351" s="67"/>
      <c r="D1351" s="102"/>
      <c r="E1351" s="32"/>
      <c r="F1351" s="32"/>
      <c r="G1351" s="68" t="s">
        <v>277</v>
      </c>
      <c r="H1351" s="69">
        <f t="shared" si="562"/>
        <v>0</v>
      </c>
      <c r="I1351" s="70">
        <f t="shared" si="563"/>
        <v>0</v>
      </c>
      <c r="J1351" s="73" t="str">
        <f t="shared" si="564"/>
        <v>--</v>
      </c>
      <c r="K1351" s="32"/>
      <c r="L1351" s="233"/>
      <c r="M1351" s="277"/>
      <c r="N1351" s="277"/>
      <c r="O1351" s="277"/>
      <c r="P1351" s="277"/>
      <c r="Q1351" s="277"/>
      <c r="R1351" s="277"/>
      <c r="S1351" s="277"/>
      <c r="T1351" s="277"/>
      <c r="U1351" s="278"/>
      <c r="V1351" s="103"/>
      <c r="W1351" s="84">
        <f t="shared" si="569"/>
        <v>1</v>
      </c>
      <c r="X1351" s="84"/>
      <c r="Y1351" s="78">
        <f>SUM(E1329:E1351)</f>
        <v>0</v>
      </c>
      <c r="Z1351" s="72" t="str">
        <f t="shared" si="567"/>
        <v/>
      </c>
      <c r="AA1351" s="72" t="str">
        <f t="shared" si="568"/>
        <v/>
      </c>
      <c r="AB1351" s="72"/>
      <c r="AC1351" s="72">
        <f t="shared" si="553"/>
        <v>1</v>
      </c>
      <c r="AD1351" s="72">
        <f t="shared" si="554"/>
        <v>1</v>
      </c>
      <c r="AE1351" s="109" t="str">
        <f t="shared" si="555"/>
        <v>0-0</v>
      </c>
      <c r="AF1351" s="109" t="str">
        <f t="shared" si="556"/>
        <v>Y</v>
      </c>
      <c r="AG1351" s="109" t="str">
        <f t="shared" si="557"/>
        <v>B</v>
      </c>
      <c r="AM1351" s="109">
        <f t="shared" si="558"/>
        <v>0</v>
      </c>
      <c r="AN1351" s="109">
        <f t="shared" si="559"/>
        <v>0</v>
      </c>
      <c r="AO1351" s="109" t="str">
        <f t="shared" si="560"/>
        <v/>
      </c>
      <c r="AQ1351" s="109" t="str">
        <f t="shared" si="561"/>
        <v/>
      </c>
      <c r="BA1351" s="229">
        <f>MOD(SUM(E1329:E1352),12)</f>
        <v>0</v>
      </c>
    </row>
    <row r="1352" spans="1:53" ht="15.75" thickBot="1" x14ac:dyDescent="0.3">
      <c r="A1352" s="88"/>
      <c r="B1352" s="66" t="s">
        <v>301</v>
      </c>
      <c r="C1352" s="67"/>
      <c r="D1352" s="102"/>
      <c r="E1352" s="32"/>
      <c r="F1352" s="32"/>
      <c r="G1352" s="68" t="s">
        <v>277</v>
      </c>
      <c r="H1352" s="69">
        <f t="shared" si="562"/>
        <v>0</v>
      </c>
      <c r="I1352" s="70">
        <f t="shared" si="563"/>
        <v>0</v>
      </c>
      <c r="J1352" s="73" t="str">
        <f t="shared" si="564"/>
        <v>--</v>
      </c>
      <c r="K1352" s="32"/>
      <c r="L1352" s="233"/>
      <c r="M1352" s="277"/>
      <c r="N1352" s="277"/>
      <c r="O1352" s="277"/>
      <c r="P1352" s="277"/>
      <c r="Q1352" s="277"/>
      <c r="R1352" s="277"/>
      <c r="S1352" s="277"/>
      <c r="T1352" s="277"/>
      <c r="U1352" s="278"/>
      <c r="V1352" s="103"/>
      <c r="W1352" s="84">
        <f t="shared" si="569"/>
        <v>1</v>
      </c>
      <c r="X1352" s="84"/>
      <c r="Y1352" s="78">
        <f>SUM(E1329:E1352)</f>
        <v>0</v>
      </c>
      <c r="Z1352" s="72" t="str">
        <f t="shared" si="567"/>
        <v/>
      </c>
      <c r="AA1352" s="72" t="str">
        <f t="shared" si="568"/>
        <v/>
      </c>
      <c r="AB1352" s="72"/>
      <c r="AC1352" s="72">
        <f t="shared" si="553"/>
        <v>1</v>
      </c>
      <c r="AD1352" s="72">
        <f t="shared" si="554"/>
        <v>1</v>
      </c>
      <c r="AE1352" s="109" t="str">
        <f t="shared" si="555"/>
        <v>0-0</v>
      </c>
      <c r="AF1352" s="109" t="str">
        <f t="shared" si="556"/>
        <v>Y</v>
      </c>
      <c r="AG1352" s="109" t="str">
        <f t="shared" si="557"/>
        <v>B</v>
      </c>
      <c r="AM1352" s="109">
        <f t="shared" si="558"/>
        <v>0</v>
      </c>
      <c r="AN1352" s="109">
        <f t="shared" si="559"/>
        <v>0</v>
      </c>
      <c r="AO1352" s="109" t="str">
        <f t="shared" si="560"/>
        <v/>
      </c>
      <c r="AQ1352" s="109" t="str">
        <f t="shared" si="561"/>
        <v/>
      </c>
      <c r="BA1352" s="229">
        <f>MOD(SUM(E1329:E1353),12)</f>
        <v>0</v>
      </c>
    </row>
    <row r="1353" spans="1:53" ht="15.75" thickBot="1" x14ac:dyDescent="0.3">
      <c r="A1353" s="88"/>
      <c r="B1353" s="66" t="s">
        <v>302</v>
      </c>
      <c r="C1353" s="67"/>
      <c r="D1353" s="102"/>
      <c r="E1353" s="32"/>
      <c r="F1353" s="32"/>
      <c r="G1353" s="68" t="s">
        <v>277</v>
      </c>
      <c r="H1353" s="69">
        <f t="shared" si="562"/>
        <v>0</v>
      </c>
      <c r="I1353" s="70">
        <f t="shared" si="563"/>
        <v>0</v>
      </c>
      <c r="J1353" s="73" t="str">
        <f t="shared" si="564"/>
        <v>--</v>
      </c>
      <c r="K1353" s="32"/>
      <c r="L1353" s="234"/>
      <c r="M1353" s="277"/>
      <c r="N1353" s="277"/>
      <c r="O1353" s="277"/>
      <c r="P1353" s="277"/>
      <c r="Q1353" s="277"/>
      <c r="R1353" s="277"/>
      <c r="S1353" s="277"/>
      <c r="T1353" s="277"/>
      <c r="U1353" s="278"/>
      <c r="V1353" s="103"/>
      <c r="W1353" s="72"/>
      <c r="X1353" s="72"/>
      <c r="Y1353" s="78">
        <f>SUM(E1329:E1353)</f>
        <v>0</v>
      </c>
      <c r="Z1353" s="72" t="str">
        <f t="shared" si="567"/>
        <v/>
      </c>
      <c r="AA1353" s="72" t="str">
        <f t="shared" si="568"/>
        <v/>
      </c>
      <c r="AB1353" s="72"/>
      <c r="AC1353" s="72">
        <f t="shared" si="553"/>
        <v>1</v>
      </c>
      <c r="AD1353" s="72">
        <f t="shared" si="554"/>
        <v>1</v>
      </c>
      <c r="AE1353" s="109" t="str">
        <f t="shared" si="555"/>
        <v>0-0</v>
      </c>
      <c r="AF1353" s="109" t="str">
        <f t="shared" si="556"/>
        <v>Y</v>
      </c>
      <c r="AG1353" s="109" t="str">
        <f t="shared" si="557"/>
        <v>B</v>
      </c>
      <c r="AM1353" s="109">
        <f t="shared" si="558"/>
        <v>0</v>
      </c>
      <c r="AN1353" s="109">
        <f t="shared" si="559"/>
        <v>0</v>
      </c>
      <c r="AO1353" s="109" t="str">
        <f t="shared" si="560"/>
        <v/>
      </c>
      <c r="AQ1353" s="109" t="str">
        <f t="shared" si="561"/>
        <v/>
      </c>
      <c r="BA1353" s="228"/>
    </row>
    <row r="1354" spans="1:53" ht="16.5" thickBot="1" x14ac:dyDescent="0.3">
      <c r="A1354" s="88"/>
      <c r="B1354" s="319" t="s">
        <v>369</v>
      </c>
      <c r="C1354" s="320"/>
      <c r="D1354" s="79"/>
      <c r="E1354" s="80"/>
      <c r="F1354" s="80"/>
      <c r="G1354" s="81"/>
      <c r="H1354" s="192"/>
      <c r="I1354" s="192"/>
      <c r="J1354" s="192"/>
      <c r="K1354" s="82"/>
      <c r="L1354" s="319" t="s">
        <v>306</v>
      </c>
      <c r="M1354" s="330"/>
      <c r="N1354" s="330"/>
      <c r="O1354" s="330"/>
      <c r="P1354" s="330"/>
      <c r="Q1354" s="330"/>
      <c r="R1354" s="330"/>
      <c r="S1354" s="330"/>
      <c r="T1354" s="330"/>
      <c r="U1354" s="320"/>
      <c r="V1354" s="104"/>
      <c r="W1354" s="72"/>
      <c r="X1354" s="72"/>
      <c r="Y1354" s="72"/>
      <c r="Z1354" s="72"/>
      <c r="AA1354" s="72" t="str">
        <f t="shared" si="568"/>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319" t="s">
        <v>307</v>
      </c>
      <c r="C1355" s="320"/>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68"/>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312" t="s">
        <v>222</v>
      </c>
      <c r="C1359" s="313"/>
      <c r="D1359" s="314" t="s">
        <v>223</v>
      </c>
      <c r="E1359" s="305"/>
      <c r="F1359" s="88"/>
      <c r="G1359" s="315" t="s">
        <v>224</v>
      </c>
      <c r="H1359" s="316"/>
      <c r="I1359" s="28">
        <f>SUM(E1370:E1394)</f>
        <v>0</v>
      </c>
      <c r="J1359" s="317" t="s">
        <v>225</v>
      </c>
      <c r="K1359" s="318"/>
      <c r="L1359" s="305"/>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5" t="s">
        <v>226</v>
      </c>
      <c r="AA1359" s="296"/>
      <c r="AB1359" s="297"/>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4" t="s">
        <v>230</v>
      </c>
      <c r="H1360" s="305"/>
      <c r="I1360" s="33">
        <f>E1361-I1359</f>
        <v>0</v>
      </c>
      <c r="J1360" s="289" t="s">
        <v>231</v>
      </c>
      <c r="K1360" s="290"/>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298" t="s">
        <v>232</v>
      </c>
      <c r="AA1360" s="300" t="s">
        <v>233</v>
      </c>
      <c r="AB1360" s="301"/>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291" t="s">
        <v>237</v>
      </c>
      <c r="H1361" s="292"/>
      <c r="I1361" s="35">
        <f>IF(E1361=0,0,12-(MOD(I1359,12)))</f>
        <v>0</v>
      </c>
      <c r="J1361" s="289" t="s">
        <v>238</v>
      </c>
      <c r="K1361" s="290"/>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299"/>
      <c r="AA1361" s="302"/>
      <c r="AB1361" s="303"/>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321" t="s">
        <v>242</v>
      </c>
      <c r="H1362" s="43" t="s">
        <v>243</v>
      </c>
      <c r="I1362" s="35">
        <f>IF(E1362&lt;&gt;0,1,0)</f>
        <v>0</v>
      </c>
      <c r="J1362" s="291" t="s">
        <v>244</v>
      </c>
      <c r="K1362" s="292"/>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322"/>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321" t="s">
        <v>251</v>
      </c>
      <c r="H1364" s="51" t="s">
        <v>252</v>
      </c>
      <c r="I1364" s="112">
        <f>E1363</f>
        <v>0</v>
      </c>
      <c r="J1364" s="323" t="s">
        <v>253</v>
      </c>
      <c r="K1364" s="324"/>
      <c r="L1364" s="325"/>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322"/>
      <c r="H1365" s="47" t="s">
        <v>257</v>
      </c>
      <c r="I1365" s="35" t="str">
        <f>IF(E1363="","0",IF(AND(E1360="EUC",E1361=432), I1364+(203-E1362),IF(E1363=0,0,(E1363+(E1361-E1362)-1))))</f>
        <v>0</v>
      </c>
      <c r="J1365" s="285" t="str">
        <f>IFERROR(IF(OR(E1360="EUC",E1360="SS"),"---",IF(OR(P1359,S1359),"NO 2F Tethers for RPX!",IF(OR(P1361,S1361),"NO 6F Tethers for RPX!","---"))),"---")</f>
        <v>---</v>
      </c>
      <c r="K1365" s="286"/>
      <c r="L1365" s="287"/>
      <c r="M1365" s="285" t="str">
        <f>IF(E1362&gt;60,"Dead Count &gt;60: Consider Downsize","---")</f>
        <v>---</v>
      </c>
      <c r="N1365" s="286"/>
      <c r="O1365" s="286"/>
      <c r="P1365" s="286"/>
      <c r="Q1365" s="286"/>
      <c r="R1365" s="286"/>
      <c r="S1365" s="286"/>
      <c r="T1365" s="286"/>
      <c r="U1365" s="287"/>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85"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86"/>
      <c r="L1366" s="287"/>
      <c r="M1366" s="285" t="str">
        <f>IF(AND(OR(E1360="SS",E1360="RPX",E1360="EUC",E1360="RPX-T"),(OR(C1370="",C1370="Field SPL"))),"Cannot have FlexNap cables without tethers","---")</f>
        <v>---</v>
      </c>
      <c r="N1366" s="286"/>
      <c r="O1366" s="286"/>
      <c r="P1366" s="286"/>
      <c r="Q1366" s="286"/>
      <c r="R1366" s="286"/>
      <c r="S1366" s="286"/>
      <c r="T1366" s="286"/>
      <c r="U1366" s="287"/>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85" t="str">
        <f>IF(AND(OR(E1360="RPX", E1360="RPX-T", E1360="SS"),E1361=216),"NO 216 For RPX, RPX-T, OR SS CABLE","---")</f>
        <v>---</v>
      </c>
      <c r="K1367" s="286"/>
      <c r="L1367" s="287"/>
      <c r="M1367" s="285" t="str" cm="1">
        <f t="array" ref="M1367">IF(AND(E1360="",OR(C1370:C1394="FST",C1370:C1394="REV T",C1370:C1394="DBL REV",C1370:C1394="TPL REV", C1370:C1394="QD REV")),"Non-FlexNap cables cannot have tethers","---")</f>
        <v>---</v>
      </c>
      <c r="N1367" s="286"/>
      <c r="O1367" s="286"/>
      <c r="P1367" s="286"/>
      <c r="Q1367" s="286"/>
      <c r="R1367" s="286"/>
      <c r="S1367" s="286"/>
      <c r="T1367" s="286"/>
      <c r="U1367" s="287"/>
      <c r="V1367" s="25"/>
      <c r="W1367" s="58"/>
      <c r="X1367" s="58"/>
      <c r="Y1367" s="25"/>
      <c r="Z1367" s="45">
        <v>6</v>
      </c>
      <c r="AA1367" s="65">
        <v>61</v>
      </c>
      <c r="AB1367" s="65">
        <v>72</v>
      </c>
      <c r="AC1367" s="25"/>
      <c r="AD1367" s="25"/>
      <c r="BA1367" s="226"/>
    </row>
    <row r="1368" spans="1:53" ht="15.75" customHeight="1" thickBot="1" x14ac:dyDescent="0.3">
      <c r="A1368" s="88"/>
      <c r="B1368" s="321" t="s">
        <v>260</v>
      </c>
      <c r="C1368" s="293" t="s">
        <v>261</v>
      </c>
      <c r="D1368" s="293" t="s">
        <v>262</v>
      </c>
      <c r="E1368" s="306" t="s">
        <v>263</v>
      </c>
      <c r="F1368" s="293" t="s">
        <v>264</v>
      </c>
      <c r="G1368" s="308" t="s">
        <v>265</v>
      </c>
      <c r="H1368" s="308" t="s">
        <v>266</v>
      </c>
      <c r="I1368" s="308" t="s">
        <v>267</v>
      </c>
      <c r="J1368" s="310" t="s">
        <v>268</v>
      </c>
      <c r="K1368" s="293" t="s">
        <v>269</v>
      </c>
      <c r="L1368" s="279" t="s">
        <v>270</v>
      </c>
      <c r="M1368" s="281" t="s">
        <v>271</v>
      </c>
      <c r="N1368" s="281"/>
      <c r="O1368" s="281"/>
      <c r="P1368" s="281"/>
      <c r="Q1368" s="281"/>
      <c r="R1368" s="281"/>
      <c r="S1368" s="281"/>
      <c r="T1368" s="281"/>
      <c r="U1368" s="282"/>
      <c r="V1368" s="107"/>
      <c r="W1368" s="72"/>
      <c r="X1368" s="72"/>
      <c r="Y1368" s="72"/>
      <c r="Z1368" s="45">
        <v>7</v>
      </c>
      <c r="AA1368" s="65">
        <v>73</v>
      </c>
      <c r="AB1368" s="65">
        <v>84</v>
      </c>
      <c r="AC1368" s="25"/>
      <c r="AD1368" s="25"/>
      <c r="BA1368" s="228"/>
    </row>
    <row r="1369" spans="1:53" ht="15.75" thickBot="1" x14ac:dyDescent="0.3">
      <c r="A1369" s="88"/>
      <c r="B1369" s="322"/>
      <c r="C1369" s="294"/>
      <c r="D1369" s="294"/>
      <c r="E1369" s="307"/>
      <c r="F1369" s="294"/>
      <c r="G1369" s="309"/>
      <c r="H1369" s="309"/>
      <c r="I1369" s="309"/>
      <c r="J1369" s="311"/>
      <c r="K1369" s="294"/>
      <c r="L1369" s="280"/>
      <c r="M1369" s="283"/>
      <c r="N1369" s="283"/>
      <c r="O1369" s="283"/>
      <c r="P1369" s="283"/>
      <c r="Q1369" s="283"/>
      <c r="R1369" s="283"/>
      <c r="S1369" s="283"/>
      <c r="T1369" s="283"/>
      <c r="U1369" s="284"/>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77"/>
      <c r="N1370" s="277"/>
      <c r="O1370" s="277"/>
      <c r="P1370" s="277"/>
      <c r="Q1370" s="277"/>
      <c r="R1370" s="277"/>
      <c r="S1370" s="277"/>
      <c r="T1370" s="277"/>
      <c r="U1370" s="278"/>
      <c r="V1370" s="103"/>
      <c r="W1370" s="72"/>
      <c r="X1370" s="72"/>
      <c r="Y1370" s="72"/>
      <c r="Z1370" s="45">
        <v>9</v>
      </c>
      <c r="AA1370" s="46">
        <v>97</v>
      </c>
      <c r="AB1370" s="46">
        <v>108</v>
      </c>
      <c r="AC1370" s="72">
        <f t="shared" ref="AC1370:AC1394" si="570">IF(B1370&lt;&gt;"FST",1,0)</f>
        <v>1</v>
      </c>
      <c r="AD1370" s="72">
        <f t="shared" ref="AD1370:AD1394" si="571">IF(C1370&lt;&gt;"FST",1,0)</f>
        <v>1</v>
      </c>
      <c r="AE1370" s="109" t="str">
        <f t="shared" ref="AE1370:AE1394" si="572">CONCATENATE(H1370,"-",I1370)</f>
        <v>0-0</v>
      </c>
      <c r="AF1370" s="109" t="str">
        <f t="shared" ref="AF1370:AF1394" si="573">IF(C1370="Field SPL","N","Y")</f>
        <v>Y</v>
      </c>
      <c r="AG1370" s="109" t="str">
        <f t="shared" ref="AG1370:AG1394" si="574">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75">VALUE(IF(C1370="FST","0",IF(C1370="REV T","1",IF(C1370="DBL REV",".5","0"))))</f>
        <v>0</v>
      </c>
      <c r="AN1370" s="109">
        <f t="shared" ref="AN1370:AN1394" si="576">VALUE(IF(C1370="FST","0",IF(C1370="REV T","0",IF(C1370="DBL REV",".5","0"))))</f>
        <v>0</v>
      </c>
      <c r="AO1370" s="109" t="str">
        <f t="shared" ref="AO1370:AO1394" si="577">IF(C1370="TPL REV","Y","")</f>
        <v/>
      </c>
      <c r="AQ1370" s="109" t="str">
        <f t="shared" ref="AQ1370:AQ1394" si="578">IF(C1370="QD REV","Y","")</f>
        <v/>
      </c>
      <c r="BA1370" s="229">
        <f>MOD(E1370,12)</f>
        <v>0</v>
      </c>
    </row>
    <row r="1371" spans="1:53" ht="15.75" thickBot="1" x14ac:dyDescent="0.3">
      <c r="A1371" s="88"/>
      <c r="B1371" s="66" t="s">
        <v>279</v>
      </c>
      <c r="C1371" s="67"/>
      <c r="D1371" s="102"/>
      <c r="E1371" s="32"/>
      <c r="F1371" s="32"/>
      <c r="G1371" s="68" t="s">
        <v>277</v>
      </c>
      <c r="H1371" s="69">
        <f t="shared" ref="H1371:H1394" si="579">IF(E1371=0,0,I1371-(E1371-1))</f>
        <v>0</v>
      </c>
      <c r="I1371" s="70">
        <f t="shared" ref="I1371:I1394" si="580">IF(E1371=0,0,H1370-1)</f>
        <v>0</v>
      </c>
      <c r="J1371" s="73" t="str">
        <f>IF(C1371="","--",IF(AND(C1371&lt;&gt;"FST",C1371&lt;&gt;"TCF",BA1370&lt;&gt;0),BA1370,"--"))</f>
        <v>--</v>
      </c>
      <c r="K1371" s="32"/>
      <c r="L1371" s="233"/>
      <c r="M1371" s="277"/>
      <c r="N1371" s="277"/>
      <c r="O1371" s="277"/>
      <c r="P1371" s="277"/>
      <c r="Q1371" s="277"/>
      <c r="R1371" s="277"/>
      <c r="S1371" s="277"/>
      <c r="T1371" s="277"/>
      <c r="U1371" s="278"/>
      <c r="V1371" s="103"/>
      <c r="W1371" s="72"/>
      <c r="X1371" s="72"/>
      <c r="Y1371" s="72"/>
      <c r="Z1371" s="45">
        <v>10</v>
      </c>
      <c r="AA1371" s="46">
        <v>109</v>
      </c>
      <c r="AB1371" s="46">
        <v>120</v>
      </c>
      <c r="AC1371" s="72">
        <f t="shared" si="570"/>
        <v>1</v>
      </c>
      <c r="AD1371" s="72">
        <f t="shared" si="571"/>
        <v>1</v>
      </c>
      <c r="AE1371" s="109" t="str">
        <f t="shared" si="572"/>
        <v>0-0</v>
      </c>
      <c r="AF1371" s="109" t="str">
        <f t="shared" si="573"/>
        <v>Y</v>
      </c>
      <c r="AG1371" s="109" t="str">
        <f t="shared" si="574"/>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75"/>
        <v>0</v>
      </c>
      <c r="AN1371" s="109">
        <f t="shared" si="576"/>
        <v>0</v>
      </c>
      <c r="AO1371" s="109" t="str">
        <f t="shared" si="577"/>
        <v/>
      </c>
      <c r="AQ1371" s="109" t="str">
        <f t="shared" si="578"/>
        <v/>
      </c>
      <c r="BA1371" s="229">
        <f>MOD(SUM(E1370:E1371),12)</f>
        <v>0</v>
      </c>
    </row>
    <row r="1372" spans="1:53" ht="15.75" thickBot="1" x14ac:dyDescent="0.3">
      <c r="A1372" s="88"/>
      <c r="B1372" s="74" t="s">
        <v>280</v>
      </c>
      <c r="C1372" s="67"/>
      <c r="D1372" s="102"/>
      <c r="E1372" s="32"/>
      <c r="F1372" s="32"/>
      <c r="G1372" s="75" t="s">
        <v>277</v>
      </c>
      <c r="H1372" s="69">
        <f t="shared" si="579"/>
        <v>0</v>
      </c>
      <c r="I1372" s="70">
        <f t="shared" si="580"/>
        <v>0</v>
      </c>
      <c r="J1372" s="73" t="str">
        <f t="shared" ref="J1372:J1394" si="581">IF(C1372="","--",IF(AND(C1372&lt;&gt;"FST",C1372&lt;&gt;"TCF",BA1371&lt;&gt;0),BA1371,"--"))</f>
        <v>--</v>
      </c>
      <c r="K1372" s="32"/>
      <c r="L1372" s="233"/>
      <c r="M1372" s="277"/>
      <c r="N1372" s="277"/>
      <c r="O1372" s="277"/>
      <c r="P1372" s="277"/>
      <c r="Q1372" s="277"/>
      <c r="R1372" s="277"/>
      <c r="S1372" s="277"/>
      <c r="T1372" s="277"/>
      <c r="U1372" s="278"/>
      <c r="V1372" s="103"/>
      <c r="W1372" s="72"/>
      <c r="X1372" s="72"/>
      <c r="Y1372" s="72"/>
      <c r="Z1372" s="45">
        <v>11</v>
      </c>
      <c r="AA1372" s="46">
        <v>121</v>
      </c>
      <c r="AB1372" s="46">
        <v>132</v>
      </c>
      <c r="AC1372" s="72">
        <f t="shared" si="570"/>
        <v>1</v>
      </c>
      <c r="AD1372" s="72">
        <f t="shared" si="571"/>
        <v>1</v>
      </c>
      <c r="AE1372" s="109" t="str">
        <f t="shared" si="572"/>
        <v>0-0</v>
      </c>
      <c r="AF1372" s="109" t="str">
        <f t="shared" si="573"/>
        <v>Y</v>
      </c>
      <c r="AG1372" s="109" t="str">
        <f t="shared" si="574"/>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75"/>
        <v>0</v>
      </c>
      <c r="AN1372" s="109">
        <f t="shared" si="576"/>
        <v>0</v>
      </c>
      <c r="AO1372" s="109" t="str">
        <f t="shared" si="577"/>
        <v/>
      </c>
      <c r="AQ1372" s="109" t="str">
        <f t="shared" si="578"/>
        <v/>
      </c>
      <c r="BA1372" s="229">
        <f>MOD(SUM(E1370:E1373),12)</f>
        <v>0</v>
      </c>
    </row>
    <row r="1373" spans="1:53" ht="15.75" thickBot="1" x14ac:dyDescent="0.3">
      <c r="A1373" s="88"/>
      <c r="B1373" s="66" t="s">
        <v>281</v>
      </c>
      <c r="C1373" s="67"/>
      <c r="D1373" s="102"/>
      <c r="E1373" s="32"/>
      <c r="F1373" s="32"/>
      <c r="G1373" s="68" t="s">
        <v>277</v>
      </c>
      <c r="H1373" s="69">
        <f t="shared" si="579"/>
        <v>0</v>
      </c>
      <c r="I1373" s="70">
        <f t="shared" si="580"/>
        <v>0</v>
      </c>
      <c r="J1373" s="73" t="str">
        <f t="shared" si="581"/>
        <v>--</v>
      </c>
      <c r="K1373" s="32"/>
      <c r="L1373" s="233"/>
      <c r="M1373" s="277"/>
      <c r="N1373" s="277"/>
      <c r="O1373" s="277"/>
      <c r="P1373" s="277"/>
      <c r="Q1373" s="277"/>
      <c r="R1373" s="277"/>
      <c r="S1373" s="277"/>
      <c r="T1373" s="277"/>
      <c r="U1373" s="278"/>
      <c r="V1373" s="103"/>
      <c r="W1373" s="72"/>
      <c r="X1373" s="72"/>
      <c r="Y1373" s="72"/>
      <c r="Z1373" s="45">
        <v>12</v>
      </c>
      <c r="AA1373" s="76">
        <v>133</v>
      </c>
      <c r="AB1373" s="76">
        <v>144</v>
      </c>
      <c r="AC1373" s="72">
        <f t="shared" si="570"/>
        <v>1</v>
      </c>
      <c r="AD1373" s="72">
        <f t="shared" si="571"/>
        <v>1</v>
      </c>
      <c r="AE1373" s="109" t="str">
        <f t="shared" si="572"/>
        <v>0-0</v>
      </c>
      <c r="AF1373" s="109" t="str">
        <f t="shared" si="573"/>
        <v>Y</v>
      </c>
      <c r="AG1373" s="109" t="str">
        <f t="shared" si="574"/>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75"/>
        <v>0</v>
      </c>
      <c r="AN1373" s="109">
        <f t="shared" si="576"/>
        <v>0</v>
      </c>
      <c r="AO1373" s="109" t="str">
        <f t="shared" si="577"/>
        <v/>
      </c>
      <c r="AQ1373" s="109" t="str">
        <f t="shared" si="578"/>
        <v/>
      </c>
      <c r="BA1373" s="229">
        <f>MOD(SUM(E1370:E1374),12)</f>
        <v>0</v>
      </c>
    </row>
    <row r="1374" spans="1:53" ht="15.75" thickBot="1" x14ac:dyDescent="0.3">
      <c r="A1374" s="88"/>
      <c r="B1374" s="66" t="s">
        <v>282</v>
      </c>
      <c r="C1374" s="67"/>
      <c r="D1374" s="102"/>
      <c r="E1374" s="32"/>
      <c r="F1374" s="32"/>
      <c r="G1374" s="68" t="s">
        <v>277</v>
      </c>
      <c r="H1374" s="69">
        <f t="shared" si="579"/>
        <v>0</v>
      </c>
      <c r="I1374" s="70">
        <f t="shared" si="580"/>
        <v>0</v>
      </c>
      <c r="J1374" s="73" t="str">
        <f t="shared" si="581"/>
        <v>--</v>
      </c>
      <c r="K1374" s="32"/>
      <c r="L1374" s="233"/>
      <c r="M1374" s="277"/>
      <c r="N1374" s="277"/>
      <c r="O1374" s="277"/>
      <c r="P1374" s="277"/>
      <c r="Q1374" s="277"/>
      <c r="R1374" s="277"/>
      <c r="S1374" s="277"/>
      <c r="T1374" s="277"/>
      <c r="U1374" s="278"/>
      <c r="V1374" s="103"/>
      <c r="W1374" s="72"/>
      <c r="X1374" s="72"/>
      <c r="Y1374" s="72"/>
      <c r="Z1374" s="45">
        <v>13</v>
      </c>
      <c r="AA1374" s="77">
        <f t="shared" ref="AA1374:AA1379" si="582">AB1373+1</f>
        <v>145</v>
      </c>
      <c r="AB1374" s="77">
        <f t="shared" ref="AB1374:AB1379" si="583">AB1373+12</f>
        <v>156</v>
      </c>
      <c r="AC1374" s="72">
        <f t="shared" si="570"/>
        <v>1</v>
      </c>
      <c r="AD1374" s="72">
        <f t="shared" si="571"/>
        <v>1</v>
      </c>
      <c r="AE1374" s="109" t="str">
        <f t="shared" si="572"/>
        <v>0-0</v>
      </c>
      <c r="AF1374" s="109" t="str">
        <f t="shared" si="573"/>
        <v>Y</v>
      </c>
      <c r="AG1374" s="109" t="str">
        <f t="shared" si="574"/>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75"/>
        <v>0</v>
      </c>
      <c r="AN1374" s="109">
        <f t="shared" si="576"/>
        <v>0</v>
      </c>
      <c r="AO1374" s="109" t="str">
        <f t="shared" si="577"/>
        <v/>
      </c>
      <c r="AQ1374" s="109" t="str">
        <f t="shared" si="578"/>
        <v/>
      </c>
      <c r="BA1374" s="229">
        <f>MOD(SUM(E1370:E1375),12)</f>
        <v>0</v>
      </c>
    </row>
    <row r="1375" spans="1:53" ht="15.75" thickBot="1" x14ac:dyDescent="0.3">
      <c r="A1375" s="88"/>
      <c r="B1375" s="66" t="s">
        <v>283</v>
      </c>
      <c r="C1375" s="67"/>
      <c r="D1375" s="102"/>
      <c r="E1375" s="32"/>
      <c r="F1375" s="32"/>
      <c r="G1375" s="68" t="s">
        <v>277</v>
      </c>
      <c r="H1375" s="69">
        <f t="shared" si="579"/>
        <v>0</v>
      </c>
      <c r="I1375" s="70">
        <f t="shared" si="580"/>
        <v>0</v>
      </c>
      <c r="J1375" s="73" t="str">
        <f t="shared" si="581"/>
        <v>--</v>
      </c>
      <c r="K1375" s="32"/>
      <c r="L1375" s="233"/>
      <c r="M1375" s="277"/>
      <c r="N1375" s="277"/>
      <c r="O1375" s="277"/>
      <c r="P1375" s="277"/>
      <c r="Q1375" s="277"/>
      <c r="R1375" s="277"/>
      <c r="S1375" s="277"/>
      <c r="T1375" s="277"/>
      <c r="U1375" s="278"/>
      <c r="V1375" s="103"/>
      <c r="W1375" s="72"/>
      <c r="X1375" s="72"/>
      <c r="Y1375" s="72"/>
      <c r="Z1375" s="45">
        <v>14</v>
      </c>
      <c r="AA1375" s="77">
        <f t="shared" si="582"/>
        <v>157</v>
      </c>
      <c r="AB1375" s="77">
        <f t="shared" si="583"/>
        <v>168</v>
      </c>
      <c r="AC1375" s="72">
        <f t="shared" si="570"/>
        <v>1</v>
      </c>
      <c r="AD1375" s="72">
        <f t="shared" si="571"/>
        <v>1</v>
      </c>
      <c r="AE1375" s="109" t="str">
        <f t="shared" si="572"/>
        <v>0-0</v>
      </c>
      <c r="AF1375" s="109" t="str">
        <f t="shared" si="573"/>
        <v>Y</v>
      </c>
      <c r="AG1375" s="109" t="str">
        <f t="shared" si="574"/>
        <v>B</v>
      </c>
      <c r="AM1375" s="109">
        <f t="shared" si="575"/>
        <v>0</v>
      </c>
      <c r="AN1375" s="109">
        <f t="shared" si="576"/>
        <v>0</v>
      </c>
      <c r="AO1375" s="109" t="str">
        <f t="shared" si="577"/>
        <v/>
      </c>
      <c r="AQ1375" s="109" t="str">
        <f t="shared" si="578"/>
        <v/>
      </c>
      <c r="BA1375" s="229">
        <f>MOD(SUM(E1370:E1376),12)</f>
        <v>0</v>
      </c>
    </row>
    <row r="1376" spans="1:53" ht="15.75" thickBot="1" x14ac:dyDescent="0.3">
      <c r="A1376" s="88"/>
      <c r="B1376" s="66" t="s">
        <v>284</v>
      </c>
      <c r="C1376" s="67"/>
      <c r="D1376" s="102"/>
      <c r="E1376" s="32"/>
      <c r="F1376" s="32"/>
      <c r="G1376" s="68" t="s">
        <v>277</v>
      </c>
      <c r="H1376" s="69">
        <f t="shared" si="579"/>
        <v>0</v>
      </c>
      <c r="I1376" s="70">
        <f t="shared" si="580"/>
        <v>0</v>
      </c>
      <c r="J1376" s="73" t="str">
        <f t="shared" si="581"/>
        <v>--</v>
      </c>
      <c r="K1376" s="32"/>
      <c r="L1376" s="233"/>
      <c r="M1376" s="277"/>
      <c r="N1376" s="277"/>
      <c r="O1376" s="277"/>
      <c r="P1376" s="277"/>
      <c r="Q1376" s="277"/>
      <c r="R1376" s="277"/>
      <c r="S1376" s="277"/>
      <c r="T1376" s="277"/>
      <c r="U1376" s="278"/>
      <c r="V1376" s="103"/>
      <c r="W1376" s="72"/>
      <c r="X1376" s="72"/>
      <c r="Y1376" s="72"/>
      <c r="Z1376" s="45">
        <v>15</v>
      </c>
      <c r="AA1376" s="77">
        <f t="shared" si="582"/>
        <v>169</v>
      </c>
      <c r="AB1376" s="77">
        <f t="shared" si="583"/>
        <v>180</v>
      </c>
      <c r="AC1376" s="72">
        <f t="shared" si="570"/>
        <v>1</v>
      </c>
      <c r="AD1376" s="72">
        <f t="shared" si="571"/>
        <v>1</v>
      </c>
      <c r="AE1376" s="109" t="str">
        <f t="shared" si="572"/>
        <v>0-0</v>
      </c>
      <c r="AF1376" s="109" t="str">
        <f t="shared" si="573"/>
        <v>Y</v>
      </c>
      <c r="AG1376" s="109" t="str">
        <f t="shared" si="574"/>
        <v>B</v>
      </c>
      <c r="AM1376" s="109">
        <f t="shared" si="575"/>
        <v>0</v>
      </c>
      <c r="AN1376" s="109">
        <f t="shared" si="576"/>
        <v>0</v>
      </c>
      <c r="AO1376" s="109" t="str">
        <f t="shared" si="577"/>
        <v/>
      </c>
      <c r="AQ1376" s="109" t="str">
        <f t="shared" si="578"/>
        <v/>
      </c>
      <c r="BA1376" s="229">
        <f>MOD(SUM(E1370:E1377),12)</f>
        <v>0</v>
      </c>
    </row>
    <row r="1377" spans="1:53" ht="15.75" thickBot="1" x14ac:dyDescent="0.3">
      <c r="A1377" s="88"/>
      <c r="B1377" s="66" t="s">
        <v>285</v>
      </c>
      <c r="C1377" s="67"/>
      <c r="D1377" s="102"/>
      <c r="E1377" s="32"/>
      <c r="F1377" s="32"/>
      <c r="G1377" s="68" t="s">
        <v>277</v>
      </c>
      <c r="H1377" s="69">
        <f t="shared" si="579"/>
        <v>0</v>
      </c>
      <c r="I1377" s="70">
        <f t="shared" si="580"/>
        <v>0</v>
      </c>
      <c r="J1377" s="73" t="str">
        <f t="shared" si="581"/>
        <v>--</v>
      </c>
      <c r="K1377" s="32"/>
      <c r="L1377" s="233"/>
      <c r="M1377" s="277"/>
      <c r="N1377" s="277"/>
      <c r="O1377" s="277"/>
      <c r="P1377" s="277"/>
      <c r="Q1377" s="277"/>
      <c r="R1377" s="277"/>
      <c r="S1377" s="277"/>
      <c r="T1377" s="277"/>
      <c r="U1377" s="278"/>
      <c r="V1377" s="103"/>
      <c r="W1377" s="72"/>
      <c r="X1377" s="72"/>
      <c r="Y1377" s="72"/>
      <c r="Z1377" s="45">
        <f>Z1376+1</f>
        <v>16</v>
      </c>
      <c r="AA1377" s="77">
        <f t="shared" si="582"/>
        <v>181</v>
      </c>
      <c r="AB1377" s="77">
        <f t="shared" si="583"/>
        <v>192</v>
      </c>
      <c r="AC1377" s="72">
        <f t="shared" si="570"/>
        <v>1</v>
      </c>
      <c r="AD1377" s="72">
        <f t="shared" si="571"/>
        <v>1</v>
      </c>
      <c r="AE1377" s="109" t="str">
        <f t="shared" si="572"/>
        <v>0-0</v>
      </c>
      <c r="AF1377" s="109" t="str">
        <f t="shared" si="573"/>
        <v>Y</v>
      </c>
      <c r="AG1377" s="109" t="str">
        <f t="shared" si="574"/>
        <v>B</v>
      </c>
      <c r="AM1377" s="109">
        <f t="shared" si="575"/>
        <v>0</v>
      </c>
      <c r="AN1377" s="109">
        <f t="shared" si="576"/>
        <v>0</v>
      </c>
      <c r="AO1377" s="109" t="str">
        <f t="shared" si="577"/>
        <v/>
      </c>
      <c r="AQ1377" s="109" t="str">
        <f t="shared" si="578"/>
        <v/>
      </c>
      <c r="BA1377" s="229">
        <f>MOD(SUM(E1370:E1378),12)</f>
        <v>0</v>
      </c>
    </row>
    <row r="1378" spans="1:53" ht="15.75" thickBot="1" x14ac:dyDescent="0.3">
      <c r="A1378" s="88"/>
      <c r="B1378" s="66" t="s">
        <v>286</v>
      </c>
      <c r="C1378" s="67"/>
      <c r="D1378" s="102"/>
      <c r="E1378" s="32"/>
      <c r="F1378" s="32"/>
      <c r="G1378" s="68" t="s">
        <v>277</v>
      </c>
      <c r="H1378" s="69">
        <f t="shared" si="579"/>
        <v>0</v>
      </c>
      <c r="I1378" s="70">
        <f t="shared" si="580"/>
        <v>0</v>
      </c>
      <c r="J1378" s="73" t="str">
        <f t="shared" si="581"/>
        <v>--</v>
      </c>
      <c r="K1378" s="32"/>
      <c r="L1378" s="233"/>
      <c r="M1378" s="277"/>
      <c r="N1378" s="277"/>
      <c r="O1378" s="277"/>
      <c r="P1378" s="277"/>
      <c r="Q1378" s="277"/>
      <c r="R1378" s="277"/>
      <c r="S1378" s="277"/>
      <c r="T1378" s="277"/>
      <c r="U1378" s="278"/>
      <c r="V1378" s="103"/>
      <c r="W1378" s="72"/>
      <c r="X1378" s="72"/>
      <c r="Y1378" s="72"/>
      <c r="Z1378" s="45">
        <f>Z1377+1</f>
        <v>17</v>
      </c>
      <c r="AA1378" s="77">
        <f t="shared" si="582"/>
        <v>193</v>
      </c>
      <c r="AB1378" s="77">
        <f t="shared" si="583"/>
        <v>204</v>
      </c>
      <c r="AC1378" s="72">
        <f t="shared" si="570"/>
        <v>1</v>
      </c>
      <c r="AD1378" s="72">
        <f t="shared" si="571"/>
        <v>1</v>
      </c>
      <c r="AE1378" s="109" t="str">
        <f t="shared" si="572"/>
        <v>0-0</v>
      </c>
      <c r="AF1378" s="109" t="str">
        <f t="shared" si="573"/>
        <v>Y</v>
      </c>
      <c r="AG1378" s="109" t="str">
        <f t="shared" si="574"/>
        <v>B</v>
      </c>
      <c r="AM1378" s="109">
        <f t="shared" si="575"/>
        <v>0</v>
      </c>
      <c r="AN1378" s="109">
        <f t="shared" si="576"/>
        <v>0</v>
      </c>
      <c r="AO1378" s="109" t="str">
        <f t="shared" si="577"/>
        <v/>
      </c>
      <c r="AQ1378" s="109" t="str">
        <f t="shared" si="578"/>
        <v/>
      </c>
      <c r="BA1378" s="229">
        <f>MOD(SUM(E1370:E1379),12)</f>
        <v>0</v>
      </c>
    </row>
    <row r="1379" spans="1:53" ht="15.75" thickBot="1" x14ac:dyDescent="0.3">
      <c r="A1379" s="88"/>
      <c r="B1379" s="66" t="s">
        <v>287</v>
      </c>
      <c r="C1379" s="67"/>
      <c r="D1379" s="102"/>
      <c r="E1379" s="32"/>
      <c r="F1379" s="32"/>
      <c r="G1379" s="68" t="s">
        <v>277</v>
      </c>
      <c r="H1379" s="69">
        <f t="shared" si="579"/>
        <v>0</v>
      </c>
      <c r="I1379" s="70">
        <f t="shared" si="580"/>
        <v>0</v>
      </c>
      <c r="J1379" s="73" t="str">
        <f t="shared" si="581"/>
        <v>--</v>
      </c>
      <c r="K1379" s="32"/>
      <c r="L1379" s="233"/>
      <c r="M1379" s="277"/>
      <c r="N1379" s="277"/>
      <c r="O1379" s="277"/>
      <c r="P1379" s="277"/>
      <c r="Q1379" s="277"/>
      <c r="R1379" s="277"/>
      <c r="S1379" s="277"/>
      <c r="T1379" s="277"/>
      <c r="U1379" s="278"/>
      <c r="V1379" s="103"/>
      <c r="W1379" s="72"/>
      <c r="X1379" s="72"/>
      <c r="Y1379" s="72"/>
      <c r="Z1379" s="45">
        <f>Z1378+1</f>
        <v>18</v>
      </c>
      <c r="AA1379" s="77">
        <f t="shared" si="582"/>
        <v>205</v>
      </c>
      <c r="AB1379" s="77">
        <f t="shared" si="583"/>
        <v>216</v>
      </c>
      <c r="AC1379" s="72">
        <f t="shared" si="570"/>
        <v>1</v>
      </c>
      <c r="AD1379" s="72">
        <f t="shared" si="571"/>
        <v>1</v>
      </c>
      <c r="AE1379" s="109" t="str">
        <f t="shared" si="572"/>
        <v>0-0</v>
      </c>
      <c r="AF1379" s="109" t="str">
        <f t="shared" si="573"/>
        <v>Y</v>
      </c>
      <c r="AG1379" s="109" t="str">
        <f t="shared" si="574"/>
        <v>B</v>
      </c>
      <c r="AM1379" s="109">
        <f t="shared" si="575"/>
        <v>0</v>
      </c>
      <c r="AN1379" s="109">
        <f t="shared" si="576"/>
        <v>0</v>
      </c>
      <c r="AO1379" s="109" t="str">
        <f t="shared" si="577"/>
        <v/>
      </c>
      <c r="AQ1379" s="109" t="str">
        <f t="shared" si="578"/>
        <v/>
      </c>
      <c r="BA1379" s="229">
        <f>MOD(SUM(E1370:E1380),12)</f>
        <v>0</v>
      </c>
    </row>
    <row r="1380" spans="1:53" ht="15.75" thickBot="1" x14ac:dyDescent="0.3">
      <c r="A1380" s="88"/>
      <c r="B1380" s="66" t="s">
        <v>288</v>
      </c>
      <c r="C1380" s="67"/>
      <c r="D1380" s="102"/>
      <c r="E1380" s="32"/>
      <c r="F1380" s="32"/>
      <c r="G1380" s="68" t="s">
        <v>277</v>
      </c>
      <c r="H1380" s="69">
        <f t="shared" si="579"/>
        <v>0</v>
      </c>
      <c r="I1380" s="70">
        <f t="shared" si="580"/>
        <v>0</v>
      </c>
      <c r="J1380" s="73" t="str">
        <f t="shared" si="581"/>
        <v>--</v>
      </c>
      <c r="K1380" s="32"/>
      <c r="L1380" s="233"/>
      <c r="M1380" s="277"/>
      <c r="N1380" s="277"/>
      <c r="O1380" s="277"/>
      <c r="P1380" s="277"/>
      <c r="Q1380" s="277"/>
      <c r="R1380" s="277"/>
      <c r="S1380" s="277"/>
      <c r="T1380" s="277"/>
      <c r="U1380" s="278"/>
      <c r="V1380" s="103"/>
      <c r="W1380" s="84"/>
      <c r="X1380" s="84"/>
      <c r="Y1380" s="72"/>
      <c r="Z1380" s="72"/>
      <c r="AA1380" s="72"/>
      <c r="AB1380" s="72"/>
      <c r="AC1380" s="72">
        <f t="shared" si="570"/>
        <v>1</v>
      </c>
      <c r="AD1380" s="72">
        <f t="shared" si="571"/>
        <v>1</v>
      </c>
      <c r="AE1380" s="109" t="str">
        <f t="shared" si="572"/>
        <v>0-0</v>
      </c>
      <c r="AF1380" s="109" t="str">
        <f t="shared" si="573"/>
        <v>Y</v>
      </c>
      <c r="AG1380" s="109" t="str">
        <f t="shared" si="574"/>
        <v>B</v>
      </c>
      <c r="AM1380" s="109">
        <f t="shared" si="575"/>
        <v>0</v>
      </c>
      <c r="AN1380" s="109">
        <f t="shared" si="576"/>
        <v>0</v>
      </c>
      <c r="AO1380" s="109" t="str">
        <f t="shared" si="577"/>
        <v/>
      </c>
      <c r="AQ1380" s="109" t="str">
        <f t="shared" si="578"/>
        <v/>
      </c>
      <c r="BA1380" s="229">
        <f>MOD(SUM(E1370:E1381),12)</f>
        <v>0</v>
      </c>
    </row>
    <row r="1381" spans="1:53" ht="15.75" thickBot="1" x14ac:dyDescent="0.3">
      <c r="A1381" s="88"/>
      <c r="B1381" s="66" t="s">
        <v>289</v>
      </c>
      <c r="C1381" s="67"/>
      <c r="D1381" s="102"/>
      <c r="E1381" s="32"/>
      <c r="F1381" s="32"/>
      <c r="G1381" s="68" t="s">
        <v>277</v>
      </c>
      <c r="H1381" s="69">
        <f t="shared" si="579"/>
        <v>0</v>
      </c>
      <c r="I1381" s="70">
        <f t="shared" si="580"/>
        <v>0</v>
      </c>
      <c r="J1381" s="73" t="str">
        <f t="shared" si="581"/>
        <v>--</v>
      </c>
      <c r="K1381" s="32"/>
      <c r="L1381" s="233"/>
      <c r="M1381" s="277"/>
      <c r="N1381" s="277"/>
      <c r="O1381" s="277"/>
      <c r="P1381" s="277"/>
      <c r="Q1381" s="277"/>
      <c r="R1381" s="277"/>
      <c r="S1381" s="277"/>
      <c r="T1381" s="277"/>
      <c r="U1381" s="278"/>
      <c r="V1381" s="103"/>
      <c r="W1381" s="84">
        <f>Y1381+1</f>
        <v>1</v>
      </c>
      <c r="X1381" s="84"/>
      <c r="Y1381" s="78">
        <f>SUM(E1370:E1381)</f>
        <v>0</v>
      </c>
      <c r="Z1381" s="72"/>
      <c r="AA1381" s="72"/>
      <c r="AB1381" s="72"/>
      <c r="AC1381" s="72">
        <f t="shared" si="570"/>
        <v>1</v>
      </c>
      <c r="AD1381" s="72">
        <f t="shared" si="571"/>
        <v>1</v>
      </c>
      <c r="AE1381" s="109" t="str">
        <f t="shared" si="572"/>
        <v>0-0</v>
      </c>
      <c r="AF1381" s="109" t="str">
        <f t="shared" si="573"/>
        <v>Y</v>
      </c>
      <c r="AG1381" s="109" t="str">
        <f t="shared" si="574"/>
        <v>B</v>
      </c>
      <c r="AM1381" s="109">
        <f t="shared" si="575"/>
        <v>0</v>
      </c>
      <c r="AN1381" s="109">
        <f t="shared" si="576"/>
        <v>0</v>
      </c>
      <c r="AO1381" s="109" t="str">
        <f t="shared" si="577"/>
        <v/>
      </c>
      <c r="AQ1381" s="109" t="str">
        <f t="shared" si="578"/>
        <v/>
      </c>
      <c r="BA1381" s="229">
        <f>MOD(SUM(E1370:E1382),12)</f>
        <v>0</v>
      </c>
    </row>
    <row r="1382" spans="1:53" ht="15.75" thickBot="1" x14ac:dyDescent="0.3">
      <c r="A1382" s="88"/>
      <c r="B1382" s="66" t="s">
        <v>290</v>
      </c>
      <c r="C1382" s="67"/>
      <c r="D1382" s="102"/>
      <c r="E1382" s="32"/>
      <c r="F1382" s="32"/>
      <c r="G1382" s="68" t="s">
        <v>277</v>
      </c>
      <c r="H1382" s="69">
        <f t="shared" si="579"/>
        <v>0</v>
      </c>
      <c r="I1382" s="70">
        <f t="shared" si="580"/>
        <v>0</v>
      </c>
      <c r="J1382" s="73" t="str">
        <f t="shared" si="581"/>
        <v>--</v>
      </c>
      <c r="K1382" s="32"/>
      <c r="L1382" s="233"/>
      <c r="M1382" s="277"/>
      <c r="N1382" s="277"/>
      <c r="O1382" s="277"/>
      <c r="P1382" s="277"/>
      <c r="Q1382" s="277"/>
      <c r="R1382" s="277"/>
      <c r="S1382" s="277"/>
      <c r="T1382" s="277"/>
      <c r="U1382" s="278"/>
      <c r="V1382" s="103"/>
      <c r="W1382" s="84">
        <f>Y1382+1</f>
        <v>1</v>
      </c>
      <c r="X1382" s="84"/>
      <c r="Y1382" s="78">
        <f>SUM(E1370:E1382)</f>
        <v>0</v>
      </c>
      <c r="Z1382" s="72" t="str">
        <f t="shared" ref="Z1382:Z1394" si="584">IF(OR(AND(E$8=216,C1381="DBL REV",C1382="DBL REV",Y1381&lt;=144,Y1382&gt;144),AND(E$8=216,C1381="TPL REV",C1382="TPL REV",Y1381&lt;=144,Y1382&gt;144),AND(E$8=216,C1381="QD REV",C1382="QD REV",Y1381&lt;=144,Y1382&gt;144)),"ERROR","")</f>
        <v/>
      </c>
      <c r="AA1382" s="72"/>
      <c r="AB1382" s="72"/>
      <c r="AC1382" s="72">
        <f t="shared" si="570"/>
        <v>1</v>
      </c>
      <c r="AD1382" s="72">
        <f t="shared" si="571"/>
        <v>1</v>
      </c>
      <c r="AE1382" s="109" t="str">
        <f t="shared" si="572"/>
        <v>0-0</v>
      </c>
      <c r="AF1382" s="109" t="str">
        <f t="shared" si="573"/>
        <v>Y</v>
      </c>
      <c r="AG1382" s="109" t="str">
        <f t="shared" si="574"/>
        <v>B</v>
      </c>
      <c r="AM1382" s="109">
        <f t="shared" si="575"/>
        <v>0</v>
      </c>
      <c r="AN1382" s="109">
        <f t="shared" si="576"/>
        <v>0</v>
      </c>
      <c r="AO1382" s="109" t="str">
        <f t="shared" si="577"/>
        <v/>
      </c>
      <c r="AQ1382" s="109" t="str">
        <f t="shared" si="578"/>
        <v/>
      </c>
      <c r="BA1382" s="229">
        <f>MOD(SUM(E1370:E1383),12)</f>
        <v>0</v>
      </c>
    </row>
    <row r="1383" spans="1:53" ht="15.75" thickBot="1" x14ac:dyDescent="0.3">
      <c r="A1383" s="88"/>
      <c r="B1383" s="66" t="s">
        <v>291</v>
      </c>
      <c r="C1383" s="67"/>
      <c r="D1383" s="102"/>
      <c r="E1383" s="32"/>
      <c r="F1383" s="32"/>
      <c r="G1383" s="68" t="s">
        <v>277</v>
      </c>
      <c r="H1383" s="69">
        <f t="shared" si="579"/>
        <v>0</v>
      </c>
      <c r="I1383" s="70">
        <f t="shared" si="580"/>
        <v>0</v>
      </c>
      <c r="J1383" s="73" t="str">
        <f t="shared" si="581"/>
        <v>--</v>
      </c>
      <c r="K1383" s="32"/>
      <c r="L1383" s="233"/>
      <c r="M1383" s="277"/>
      <c r="N1383" s="277"/>
      <c r="O1383" s="277"/>
      <c r="P1383" s="277"/>
      <c r="Q1383" s="277"/>
      <c r="R1383" s="277"/>
      <c r="S1383" s="277"/>
      <c r="T1383" s="277"/>
      <c r="U1383" s="278"/>
      <c r="V1383" s="103"/>
      <c r="W1383" s="84">
        <f>Y1383+1</f>
        <v>1</v>
      </c>
      <c r="X1383" s="84"/>
      <c r="Y1383" s="78">
        <f>SUM(E1370:E1383)</f>
        <v>0</v>
      </c>
      <c r="Z1383" s="72" t="str">
        <f t="shared" si="584"/>
        <v/>
      </c>
      <c r="AA1383" s="72"/>
      <c r="AB1383" s="72"/>
      <c r="AC1383" s="72">
        <f t="shared" si="570"/>
        <v>1</v>
      </c>
      <c r="AD1383" s="72">
        <f t="shared" si="571"/>
        <v>1</v>
      </c>
      <c r="AE1383" s="109" t="str">
        <f t="shared" si="572"/>
        <v>0-0</v>
      </c>
      <c r="AF1383" s="109" t="str">
        <f t="shared" si="573"/>
        <v>Y</v>
      </c>
      <c r="AG1383" s="109" t="str">
        <f t="shared" si="574"/>
        <v>B</v>
      </c>
      <c r="AM1383" s="109">
        <f t="shared" si="575"/>
        <v>0</v>
      </c>
      <c r="AN1383" s="109">
        <f t="shared" si="576"/>
        <v>0</v>
      </c>
      <c r="AO1383" s="109" t="str">
        <f t="shared" si="577"/>
        <v/>
      </c>
      <c r="AQ1383" s="109" t="str">
        <f t="shared" si="578"/>
        <v/>
      </c>
      <c r="BA1383" s="229">
        <f>MOD(SUM(E1370:E1384),12)</f>
        <v>0</v>
      </c>
    </row>
    <row r="1384" spans="1:53" ht="15.75" thickBot="1" x14ac:dyDescent="0.3">
      <c r="A1384" s="88"/>
      <c r="B1384" s="66" t="s">
        <v>292</v>
      </c>
      <c r="C1384" s="67"/>
      <c r="D1384" s="102"/>
      <c r="E1384" s="32"/>
      <c r="F1384" s="32"/>
      <c r="G1384" s="68" t="s">
        <v>277</v>
      </c>
      <c r="H1384" s="69">
        <f t="shared" si="579"/>
        <v>0</v>
      </c>
      <c r="I1384" s="70">
        <f t="shared" si="580"/>
        <v>0</v>
      </c>
      <c r="J1384" s="73" t="str">
        <f t="shared" si="581"/>
        <v>--</v>
      </c>
      <c r="K1384" s="32"/>
      <c r="L1384" s="233"/>
      <c r="M1384" s="277"/>
      <c r="N1384" s="277"/>
      <c r="O1384" s="277"/>
      <c r="P1384" s="277"/>
      <c r="Q1384" s="277"/>
      <c r="R1384" s="277"/>
      <c r="S1384" s="277"/>
      <c r="T1384" s="277"/>
      <c r="U1384" s="278"/>
      <c r="V1384" s="103"/>
      <c r="W1384" s="84">
        <f>Y1384+1</f>
        <v>1</v>
      </c>
      <c r="X1384" s="84"/>
      <c r="Y1384" s="78">
        <f>SUM(E1370:E1384)</f>
        <v>0</v>
      </c>
      <c r="Z1384" s="72" t="str">
        <f t="shared" si="584"/>
        <v/>
      </c>
      <c r="AA1384" s="72" t="str">
        <f t="shared" ref="AA1384:AA1396" si="585">IF(AND(C1382&lt;&gt;"Field SPL",W1381&lt;=144,Y1382&gt;144),"ERROR","")</f>
        <v/>
      </c>
      <c r="AB1384" s="72"/>
      <c r="AC1384" s="72">
        <f t="shared" si="570"/>
        <v>1</v>
      </c>
      <c r="AD1384" s="72">
        <f t="shared" si="571"/>
        <v>1</v>
      </c>
      <c r="AE1384" s="109" t="str">
        <f t="shared" si="572"/>
        <v>0-0</v>
      </c>
      <c r="AF1384" s="109" t="str">
        <f t="shared" si="573"/>
        <v>Y</v>
      </c>
      <c r="AG1384" s="109" t="str">
        <f t="shared" si="574"/>
        <v>B</v>
      </c>
      <c r="AM1384" s="109">
        <f t="shared" si="575"/>
        <v>0</v>
      </c>
      <c r="AN1384" s="109">
        <f t="shared" si="576"/>
        <v>0</v>
      </c>
      <c r="AO1384" s="109" t="str">
        <f t="shared" si="577"/>
        <v/>
      </c>
      <c r="AQ1384" s="109" t="str">
        <f t="shared" si="578"/>
        <v/>
      </c>
      <c r="BA1384" s="229">
        <f>MOD(SUM(E1370:E1385),12)</f>
        <v>0</v>
      </c>
    </row>
    <row r="1385" spans="1:53" ht="15.75" thickBot="1" x14ac:dyDescent="0.3">
      <c r="A1385" s="88"/>
      <c r="B1385" s="66" t="s">
        <v>293</v>
      </c>
      <c r="C1385" s="67"/>
      <c r="D1385" s="102"/>
      <c r="E1385" s="32"/>
      <c r="F1385" s="32"/>
      <c r="G1385" s="68" t="s">
        <v>277</v>
      </c>
      <c r="H1385" s="69">
        <f t="shared" si="579"/>
        <v>0</v>
      </c>
      <c r="I1385" s="70">
        <f t="shared" si="580"/>
        <v>0</v>
      </c>
      <c r="J1385" s="73" t="str">
        <f t="shared" si="581"/>
        <v>--</v>
      </c>
      <c r="K1385" s="32"/>
      <c r="L1385" s="233"/>
      <c r="M1385" s="277"/>
      <c r="N1385" s="277"/>
      <c r="O1385" s="277"/>
      <c r="P1385" s="277"/>
      <c r="Q1385" s="277"/>
      <c r="R1385" s="277"/>
      <c r="S1385" s="277"/>
      <c r="T1385" s="277"/>
      <c r="U1385" s="278"/>
      <c r="V1385" s="103"/>
      <c r="W1385" s="84">
        <f t="shared" ref="W1385:W1393" si="586">Y1385+1</f>
        <v>1</v>
      </c>
      <c r="X1385" s="84"/>
      <c r="Y1385" s="78">
        <f>SUM(E1370:E1385)</f>
        <v>0</v>
      </c>
      <c r="Z1385" s="72" t="str">
        <f t="shared" si="584"/>
        <v/>
      </c>
      <c r="AA1385" s="72" t="str">
        <f t="shared" si="585"/>
        <v/>
      </c>
      <c r="AB1385" s="72"/>
      <c r="AC1385" s="72">
        <f t="shared" si="570"/>
        <v>1</v>
      </c>
      <c r="AD1385" s="72">
        <f t="shared" si="571"/>
        <v>1</v>
      </c>
      <c r="AE1385" s="109" t="str">
        <f t="shared" si="572"/>
        <v>0-0</v>
      </c>
      <c r="AF1385" s="109" t="str">
        <f t="shared" si="573"/>
        <v>Y</v>
      </c>
      <c r="AG1385" s="109" t="str">
        <f t="shared" si="574"/>
        <v>B</v>
      </c>
      <c r="AM1385" s="109">
        <f t="shared" si="575"/>
        <v>0</v>
      </c>
      <c r="AN1385" s="109">
        <f t="shared" si="576"/>
        <v>0</v>
      </c>
      <c r="AO1385" s="109" t="str">
        <f t="shared" si="577"/>
        <v/>
      </c>
      <c r="AQ1385" s="109" t="str">
        <f t="shared" si="578"/>
        <v/>
      </c>
      <c r="BA1385" s="229">
        <f>MOD(SUM(E1370:E1386),12)</f>
        <v>0</v>
      </c>
    </row>
    <row r="1386" spans="1:53" ht="15.75" thickBot="1" x14ac:dyDescent="0.3">
      <c r="A1386" s="88"/>
      <c r="B1386" s="66" t="s">
        <v>294</v>
      </c>
      <c r="C1386" s="67"/>
      <c r="D1386" s="102"/>
      <c r="E1386" s="32"/>
      <c r="F1386" s="32"/>
      <c r="G1386" s="68" t="s">
        <v>277</v>
      </c>
      <c r="H1386" s="69">
        <f t="shared" si="579"/>
        <v>0</v>
      </c>
      <c r="I1386" s="70">
        <f t="shared" si="580"/>
        <v>0</v>
      </c>
      <c r="J1386" s="73" t="str">
        <f t="shared" si="581"/>
        <v>--</v>
      </c>
      <c r="K1386" s="32"/>
      <c r="L1386" s="233"/>
      <c r="M1386" s="277"/>
      <c r="N1386" s="277"/>
      <c r="O1386" s="277"/>
      <c r="P1386" s="277"/>
      <c r="Q1386" s="277"/>
      <c r="R1386" s="277"/>
      <c r="S1386" s="277"/>
      <c r="T1386" s="277"/>
      <c r="U1386" s="278"/>
      <c r="V1386" s="103"/>
      <c r="W1386" s="84">
        <f t="shared" si="586"/>
        <v>1</v>
      </c>
      <c r="X1386" s="84"/>
      <c r="Y1386" s="78">
        <f>SUM(E1370:E1386)</f>
        <v>0</v>
      </c>
      <c r="Z1386" s="72" t="str">
        <f t="shared" si="584"/>
        <v/>
      </c>
      <c r="AA1386" s="72" t="str">
        <f t="shared" si="585"/>
        <v/>
      </c>
      <c r="AB1386" s="72"/>
      <c r="AC1386" s="72">
        <f t="shared" si="570"/>
        <v>1</v>
      </c>
      <c r="AD1386" s="72">
        <f t="shared" si="571"/>
        <v>1</v>
      </c>
      <c r="AE1386" s="109" t="str">
        <f t="shared" si="572"/>
        <v>0-0</v>
      </c>
      <c r="AF1386" s="109" t="str">
        <f t="shared" si="573"/>
        <v>Y</v>
      </c>
      <c r="AG1386" s="109" t="str">
        <f t="shared" si="574"/>
        <v>B</v>
      </c>
      <c r="AM1386" s="109">
        <f t="shared" si="575"/>
        <v>0</v>
      </c>
      <c r="AN1386" s="109">
        <f t="shared" si="576"/>
        <v>0</v>
      </c>
      <c r="AO1386" s="109" t="str">
        <f t="shared" si="577"/>
        <v/>
      </c>
      <c r="AQ1386" s="109" t="str">
        <f t="shared" si="578"/>
        <v/>
      </c>
      <c r="BA1386" s="229">
        <f>MOD(SUM(E1370:E1387),12)</f>
        <v>0</v>
      </c>
    </row>
    <row r="1387" spans="1:53" ht="15.75" thickBot="1" x14ac:dyDescent="0.3">
      <c r="A1387" s="88"/>
      <c r="B1387" s="66" t="s">
        <v>295</v>
      </c>
      <c r="C1387" s="67"/>
      <c r="D1387" s="102"/>
      <c r="E1387" s="32"/>
      <c r="F1387" s="32"/>
      <c r="G1387" s="68" t="s">
        <v>277</v>
      </c>
      <c r="H1387" s="69">
        <f t="shared" si="579"/>
        <v>0</v>
      </c>
      <c r="I1387" s="70">
        <f t="shared" si="580"/>
        <v>0</v>
      </c>
      <c r="J1387" s="73" t="str">
        <f t="shared" si="581"/>
        <v>--</v>
      </c>
      <c r="K1387" s="32"/>
      <c r="L1387" s="233"/>
      <c r="M1387" s="277"/>
      <c r="N1387" s="277"/>
      <c r="O1387" s="277"/>
      <c r="P1387" s="277"/>
      <c r="Q1387" s="277"/>
      <c r="R1387" s="277"/>
      <c r="S1387" s="277"/>
      <c r="T1387" s="277"/>
      <c r="U1387" s="278"/>
      <c r="V1387" s="103"/>
      <c r="W1387" s="84">
        <f t="shared" si="586"/>
        <v>1</v>
      </c>
      <c r="X1387" s="84"/>
      <c r="Y1387" s="78">
        <f>SUM(E1370:E1387)</f>
        <v>0</v>
      </c>
      <c r="Z1387" s="72" t="str">
        <f t="shared" si="584"/>
        <v/>
      </c>
      <c r="AA1387" s="72" t="str">
        <f t="shared" si="585"/>
        <v/>
      </c>
      <c r="AB1387" s="72"/>
      <c r="AC1387" s="72">
        <f t="shared" si="570"/>
        <v>1</v>
      </c>
      <c r="AD1387" s="72">
        <f t="shared" si="571"/>
        <v>1</v>
      </c>
      <c r="AE1387" s="109" t="str">
        <f t="shared" si="572"/>
        <v>0-0</v>
      </c>
      <c r="AF1387" s="109" t="str">
        <f t="shared" si="573"/>
        <v>Y</v>
      </c>
      <c r="AG1387" s="109" t="str">
        <f t="shared" si="574"/>
        <v>B</v>
      </c>
      <c r="AM1387" s="109">
        <f t="shared" si="575"/>
        <v>0</v>
      </c>
      <c r="AN1387" s="109">
        <f t="shared" si="576"/>
        <v>0</v>
      </c>
      <c r="AO1387" s="109" t="str">
        <f t="shared" si="577"/>
        <v/>
      </c>
      <c r="AQ1387" s="109" t="str">
        <f t="shared" si="578"/>
        <v/>
      </c>
      <c r="BA1387" s="229">
        <f>MOD(SUM(E1370:E1388),12)</f>
        <v>0</v>
      </c>
    </row>
    <row r="1388" spans="1:53" ht="15.75" thickBot="1" x14ac:dyDescent="0.3">
      <c r="A1388" s="88"/>
      <c r="B1388" s="66" t="s">
        <v>296</v>
      </c>
      <c r="C1388" s="67"/>
      <c r="D1388" s="102"/>
      <c r="E1388" s="32"/>
      <c r="F1388" s="32"/>
      <c r="G1388" s="68" t="s">
        <v>277</v>
      </c>
      <c r="H1388" s="69">
        <f t="shared" si="579"/>
        <v>0</v>
      </c>
      <c r="I1388" s="70">
        <f t="shared" si="580"/>
        <v>0</v>
      </c>
      <c r="J1388" s="73" t="str">
        <f t="shared" si="581"/>
        <v>--</v>
      </c>
      <c r="K1388" s="32"/>
      <c r="L1388" s="233"/>
      <c r="M1388" s="277"/>
      <c r="N1388" s="277"/>
      <c r="O1388" s="277"/>
      <c r="P1388" s="277"/>
      <c r="Q1388" s="277"/>
      <c r="R1388" s="277"/>
      <c r="S1388" s="277"/>
      <c r="T1388" s="277"/>
      <c r="U1388" s="278"/>
      <c r="V1388" s="103"/>
      <c r="W1388" s="84">
        <f t="shared" si="586"/>
        <v>1</v>
      </c>
      <c r="X1388" s="84"/>
      <c r="Y1388" s="78">
        <f>SUM(E1370:E1388)</f>
        <v>0</v>
      </c>
      <c r="Z1388" s="72" t="str">
        <f t="shared" si="584"/>
        <v/>
      </c>
      <c r="AA1388" s="72" t="str">
        <f t="shared" si="585"/>
        <v/>
      </c>
      <c r="AB1388" s="72"/>
      <c r="AC1388" s="72">
        <f t="shared" si="570"/>
        <v>1</v>
      </c>
      <c r="AD1388" s="72">
        <f t="shared" si="571"/>
        <v>1</v>
      </c>
      <c r="AE1388" s="109" t="str">
        <f t="shared" si="572"/>
        <v>0-0</v>
      </c>
      <c r="AF1388" s="109" t="str">
        <f t="shared" si="573"/>
        <v>Y</v>
      </c>
      <c r="AG1388" s="109" t="str">
        <f t="shared" si="574"/>
        <v>B</v>
      </c>
      <c r="AM1388" s="109">
        <f t="shared" si="575"/>
        <v>0</v>
      </c>
      <c r="AN1388" s="109">
        <f t="shared" si="576"/>
        <v>0</v>
      </c>
      <c r="AO1388" s="109" t="str">
        <f t="shared" si="577"/>
        <v/>
      </c>
      <c r="AQ1388" s="109" t="str">
        <f t="shared" si="578"/>
        <v/>
      </c>
      <c r="BA1388" s="229">
        <f>MOD(SUM(E1370:E1389),12)</f>
        <v>0</v>
      </c>
    </row>
    <row r="1389" spans="1:53" ht="15.75" thickBot="1" x14ac:dyDescent="0.3">
      <c r="A1389" s="88"/>
      <c r="B1389" s="66" t="s">
        <v>297</v>
      </c>
      <c r="C1389" s="67"/>
      <c r="D1389" s="102"/>
      <c r="E1389" s="32"/>
      <c r="F1389" s="32"/>
      <c r="G1389" s="68" t="s">
        <v>277</v>
      </c>
      <c r="H1389" s="69">
        <f t="shared" si="579"/>
        <v>0</v>
      </c>
      <c r="I1389" s="70">
        <f t="shared" si="580"/>
        <v>0</v>
      </c>
      <c r="J1389" s="73" t="str">
        <f t="shared" si="581"/>
        <v>--</v>
      </c>
      <c r="K1389" s="32"/>
      <c r="L1389" s="233"/>
      <c r="M1389" s="277"/>
      <c r="N1389" s="277"/>
      <c r="O1389" s="277"/>
      <c r="P1389" s="277"/>
      <c r="Q1389" s="277"/>
      <c r="R1389" s="277"/>
      <c r="S1389" s="277"/>
      <c r="T1389" s="277"/>
      <c r="U1389" s="278"/>
      <c r="V1389" s="103"/>
      <c r="W1389" s="84">
        <f t="shared" si="586"/>
        <v>1</v>
      </c>
      <c r="X1389" s="84"/>
      <c r="Y1389" s="78">
        <f>SUM(E1370:E1389)</f>
        <v>0</v>
      </c>
      <c r="Z1389" s="72" t="str">
        <f t="shared" si="584"/>
        <v/>
      </c>
      <c r="AA1389" s="72" t="str">
        <f t="shared" si="585"/>
        <v/>
      </c>
      <c r="AB1389" s="72"/>
      <c r="AC1389" s="72">
        <f t="shared" si="570"/>
        <v>1</v>
      </c>
      <c r="AD1389" s="72">
        <f t="shared" si="571"/>
        <v>1</v>
      </c>
      <c r="AE1389" s="109" t="str">
        <f t="shared" si="572"/>
        <v>0-0</v>
      </c>
      <c r="AF1389" s="109" t="str">
        <f t="shared" si="573"/>
        <v>Y</v>
      </c>
      <c r="AG1389" s="109" t="str">
        <f t="shared" si="574"/>
        <v>B</v>
      </c>
      <c r="AM1389" s="109">
        <f t="shared" si="575"/>
        <v>0</v>
      </c>
      <c r="AN1389" s="109">
        <f t="shared" si="576"/>
        <v>0</v>
      </c>
      <c r="AO1389" s="109" t="str">
        <f t="shared" si="577"/>
        <v/>
      </c>
      <c r="AQ1389" s="109" t="str">
        <f t="shared" si="578"/>
        <v/>
      </c>
      <c r="BA1389" s="229">
        <f>MOD(SUM(E1370:E1390),12)</f>
        <v>0</v>
      </c>
    </row>
    <row r="1390" spans="1:53" ht="15.75" thickBot="1" x14ac:dyDescent="0.3">
      <c r="A1390" s="88"/>
      <c r="B1390" s="66" t="s">
        <v>298</v>
      </c>
      <c r="C1390" s="67"/>
      <c r="D1390" s="102"/>
      <c r="E1390" s="32"/>
      <c r="F1390" s="32"/>
      <c r="G1390" s="68" t="s">
        <v>277</v>
      </c>
      <c r="H1390" s="69">
        <f t="shared" si="579"/>
        <v>0</v>
      </c>
      <c r="I1390" s="70">
        <f t="shared" si="580"/>
        <v>0</v>
      </c>
      <c r="J1390" s="73" t="str">
        <f t="shared" si="581"/>
        <v>--</v>
      </c>
      <c r="K1390" s="32"/>
      <c r="L1390" s="233"/>
      <c r="M1390" s="277"/>
      <c r="N1390" s="277"/>
      <c r="O1390" s="277"/>
      <c r="P1390" s="277"/>
      <c r="Q1390" s="277"/>
      <c r="R1390" s="277"/>
      <c r="S1390" s="277"/>
      <c r="T1390" s="277"/>
      <c r="U1390" s="278"/>
      <c r="V1390" s="103"/>
      <c r="W1390" s="84">
        <f t="shared" si="586"/>
        <v>1</v>
      </c>
      <c r="X1390" s="84"/>
      <c r="Y1390" s="78">
        <f>SUM(E1370:E1390)</f>
        <v>0</v>
      </c>
      <c r="Z1390" s="72" t="str">
        <f t="shared" si="584"/>
        <v/>
      </c>
      <c r="AA1390" s="72" t="str">
        <f t="shared" si="585"/>
        <v/>
      </c>
      <c r="AB1390" s="72"/>
      <c r="AC1390" s="72">
        <f t="shared" si="570"/>
        <v>1</v>
      </c>
      <c r="AD1390" s="72">
        <f t="shared" si="571"/>
        <v>1</v>
      </c>
      <c r="AE1390" s="109" t="str">
        <f t="shared" si="572"/>
        <v>0-0</v>
      </c>
      <c r="AF1390" s="109" t="str">
        <f t="shared" si="573"/>
        <v>Y</v>
      </c>
      <c r="AG1390" s="109" t="str">
        <f t="shared" si="574"/>
        <v>B</v>
      </c>
      <c r="AM1390" s="109">
        <f t="shared" si="575"/>
        <v>0</v>
      </c>
      <c r="AN1390" s="109">
        <f t="shared" si="576"/>
        <v>0</v>
      </c>
      <c r="AO1390" s="109" t="str">
        <f t="shared" si="577"/>
        <v/>
      </c>
      <c r="AQ1390" s="109" t="str">
        <f t="shared" si="578"/>
        <v/>
      </c>
      <c r="BA1390" s="229">
        <f>MOD(SUM(E1370:E1391),12)</f>
        <v>0</v>
      </c>
    </row>
    <row r="1391" spans="1:53" ht="15.75" thickBot="1" x14ac:dyDescent="0.3">
      <c r="A1391" s="88"/>
      <c r="B1391" s="66" t="s">
        <v>299</v>
      </c>
      <c r="C1391" s="67"/>
      <c r="D1391" s="102"/>
      <c r="E1391" s="32"/>
      <c r="F1391" s="32"/>
      <c r="G1391" s="68" t="s">
        <v>277</v>
      </c>
      <c r="H1391" s="69">
        <f t="shared" si="579"/>
        <v>0</v>
      </c>
      <c r="I1391" s="70">
        <f t="shared" si="580"/>
        <v>0</v>
      </c>
      <c r="J1391" s="73" t="str">
        <f t="shared" si="581"/>
        <v>--</v>
      </c>
      <c r="K1391" s="32"/>
      <c r="L1391" s="233"/>
      <c r="M1391" s="277"/>
      <c r="N1391" s="277"/>
      <c r="O1391" s="277"/>
      <c r="P1391" s="277"/>
      <c r="Q1391" s="277"/>
      <c r="R1391" s="277"/>
      <c r="S1391" s="277"/>
      <c r="T1391" s="277"/>
      <c r="U1391" s="278"/>
      <c r="V1391" s="103"/>
      <c r="W1391" s="84">
        <f t="shared" si="586"/>
        <v>1</v>
      </c>
      <c r="X1391" s="84"/>
      <c r="Y1391" s="78">
        <f>SUM(E1370:E1391)</f>
        <v>0</v>
      </c>
      <c r="Z1391" s="72" t="str">
        <f t="shared" si="584"/>
        <v/>
      </c>
      <c r="AA1391" s="72" t="str">
        <f t="shared" si="585"/>
        <v/>
      </c>
      <c r="AB1391" s="72"/>
      <c r="AC1391" s="72">
        <f t="shared" si="570"/>
        <v>1</v>
      </c>
      <c r="AD1391" s="72">
        <f t="shared" si="571"/>
        <v>1</v>
      </c>
      <c r="AE1391" s="109" t="str">
        <f t="shared" si="572"/>
        <v>0-0</v>
      </c>
      <c r="AF1391" s="109" t="str">
        <f t="shared" si="573"/>
        <v>Y</v>
      </c>
      <c r="AG1391" s="109" t="str">
        <f t="shared" si="574"/>
        <v>B</v>
      </c>
      <c r="AM1391" s="109">
        <f t="shared" si="575"/>
        <v>0</v>
      </c>
      <c r="AN1391" s="109">
        <f t="shared" si="576"/>
        <v>0</v>
      </c>
      <c r="AO1391" s="109" t="str">
        <f t="shared" si="577"/>
        <v/>
      </c>
      <c r="AQ1391" s="109" t="str">
        <f t="shared" si="578"/>
        <v/>
      </c>
      <c r="BA1391" s="229">
        <f>MOD(SUM(E1370:E1392),12)</f>
        <v>0</v>
      </c>
    </row>
    <row r="1392" spans="1:53" ht="15.75" thickBot="1" x14ac:dyDescent="0.3">
      <c r="A1392" s="88"/>
      <c r="B1392" s="66" t="s">
        <v>300</v>
      </c>
      <c r="C1392" s="67"/>
      <c r="D1392" s="102"/>
      <c r="E1392" s="32"/>
      <c r="F1392" s="32"/>
      <c r="G1392" s="68" t="s">
        <v>277</v>
      </c>
      <c r="H1392" s="69">
        <f t="shared" si="579"/>
        <v>0</v>
      </c>
      <c r="I1392" s="70">
        <f t="shared" si="580"/>
        <v>0</v>
      </c>
      <c r="J1392" s="73" t="str">
        <f t="shared" si="581"/>
        <v>--</v>
      </c>
      <c r="K1392" s="32"/>
      <c r="L1392" s="233"/>
      <c r="M1392" s="277"/>
      <c r="N1392" s="277"/>
      <c r="O1392" s="277"/>
      <c r="P1392" s="277"/>
      <c r="Q1392" s="277"/>
      <c r="R1392" s="277"/>
      <c r="S1392" s="277"/>
      <c r="T1392" s="277"/>
      <c r="U1392" s="278"/>
      <c r="V1392" s="103"/>
      <c r="W1392" s="84">
        <f t="shared" si="586"/>
        <v>1</v>
      </c>
      <c r="X1392" s="84"/>
      <c r="Y1392" s="78">
        <f>SUM(E1370:E1392)</f>
        <v>0</v>
      </c>
      <c r="Z1392" s="72" t="str">
        <f t="shared" si="584"/>
        <v/>
      </c>
      <c r="AA1392" s="72" t="str">
        <f t="shared" si="585"/>
        <v/>
      </c>
      <c r="AB1392" s="72"/>
      <c r="AC1392" s="72">
        <f t="shared" si="570"/>
        <v>1</v>
      </c>
      <c r="AD1392" s="72">
        <f t="shared" si="571"/>
        <v>1</v>
      </c>
      <c r="AE1392" s="109" t="str">
        <f t="shared" si="572"/>
        <v>0-0</v>
      </c>
      <c r="AF1392" s="109" t="str">
        <f t="shared" si="573"/>
        <v>Y</v>
      </c>
      <c r="AG1392" s="109" t="str">
        <f t="shared" si="574"/>
        <v>B</v>
      </c>
      <c r="AM1392" s="109">
        <f t="shared" si="575"/>
        <v>0</v>
      </c>
      <c r="AN1392" s="109">
        <f t="shared" si="576"/>
        <v>0</v>
      </c>
      <c r="AO1392" s="109" t="str">
        <f t="shared" si="577"/>
        <v/>
      </c>
      <c r="AQ1392" s="109" t="str">
        <f t="shared" si="578"/>
        <v/>
      </c>
      <c r="BA1392" s="229">
        <f>MOD(SUM(E1370:E1393),12)</f>
        <v>0</v>
      </c>
    </row>
    <row r="1393" spans="1:53" ht="15.75" thickBot="1" x14ac:dyDescent="0.3">
      <c r="A1393" s="88"/>
      <c r="B1393" s="66" t="s">
        <v>301</v>
      </c>
      <c r="C1393" s="67"/>
      <c r="D1393" s="102"/>
      <c r="E1393" s="32"/>
      <c r="F1393" s="32"/>
      <c r="G1393" s="68" t="s">
        <v>277</v>
      </c>
      <c r="H1393" s="69">
        <f t="shared" si="579"/>
        <v>0</v>
      </c>
      <c r="I1393" s="70">
        <f t="shared" si="580"/>
        <v>0</v>
      </c>
      <c r="J1393" s="73" t="str">
        <f t="shared" si="581"/>
        <v>--</v>
      </c>
      <c r="K1393" s="32"/>
      <c r="L1393" s="233"/>
      <c r="M1393" s="277"/>
      <c r="N1393" s="277"/>
      <c r="O1393" s="277"/>
      <c r="P1393" s="277"/>
      <c r="Q1393" s="277"/>
      <c r="R1393" s="277"/>
      <c r="S1393" s="277"/>
      <c r="T1393" s="277"/>
      <c r="U1393" s="278"/>
      <c r="V1393" s="103"/>
      <c r="W1393" s="84">
        <f t="shared" si="586"/>
        <v>1</v>
      </c>
      <c r="X1393" s="84"/>
      <c r="Y1393" s="78">
        <f>SUM(E1370:E1393)</f>
        <v>0</v>
      </c>
      <c r="Z1393" s="72" t="str">
        <f t="shared" si="584"/>
        <v/>
      </c>
      <c r="AA1393" s="72" t="str">
        <f t="shared" si="585"/>
        <v/>
      </c>
      <c r="AB1393" s="72"/>
      <c r="AC1393" s="72">
        <f t="shared" si="570"/>
        <v>1</v>
      </c>
      <c r="AD1393" s="72">
        <f t="shared" si="571"/>
        <v>1</v>
      </c>
      <c r="AE1393" s="109" t="str">
        <f t="shared" si="572"/>
        <v>0-0</v>
      </c>
      <c r="AF1393" s="109" t="str">
        <f t="shared" si="573"/>
        <v>Y</v>
      </c>
      <c r="AG1393" s="109" t="str">
        <f t="shared" si="574"/>
        <v>B</v>
      </c>
      <c r="AM1393" s="109">
        <f t="shared" si="575"/>
        <v>0</v>
      </c>
      <c r="AN1393" s="109">
        <f t="shared" si="576"/>
        <v>0</v>
      </c>
      <c r="AO1393" s="109" t="str">
        <f t="shared" si="577"/>
        <v/>
      </c>
      <c r="AQ1393" s="109" t="str">
        <f t="shared" si="578"/>
        <v/>
      </c>
      <c r="BA1393" s="229">
        <f>MOD(SUM(E1370:E1394),12)</f>
        <v>0</v>
      </c>
    </row>
    <row r="1394" spans="1:53" ht="15.75" thickBot="1" x14ac:dyDescent="0.3">
      <c r="A1394" s="88"/>
      <c r="B1394" s="66" t="s">
        <v>302</v>
      </c>
      <c r="C1394" s="67"/>
      <c r="D1394" s="102"/>
      <c r="E1394" s="32"/>
      <c r="F1394" s="32"/>
      <c r="G1394" s="68" t="s">
        <v>277</v>
      </c>
      <c r="H1394" s="69">
        <f t="shared" si="579"/>
        <v>0</v>
      </c>
      <c r="I1394" s="70">
        <f t="shared" si="580"/>
        <v>0</v>
      </c>
      <c r="J1394" s="73" t="str">
        <f t="shared" si="581"/>
        <v>--</v>
      </c>
      <c r="K1394" s="32"/>
      <c r="L1394" s="234"/>
      <c r="M1394" s="277"/>
      <c r="N1394" s="277"/>
      <c r="O1394" s="277"/>
      <c r="P1394" s="277"/>
      <c r="Q1394" s="277"/>
      <c r="R1394" s="277"/>
      <c r="S1394" s="277"/>
      <c r="T1394" s="277"/>
      <c r="U1394" s="278"/>
      <c r="V1394" s="103"/>
      <c r="W1394" s="72"/>
      <c r="X1394" s="72"/>
      <c r="Y1394" s="78">
        <f>SUM(E1370:E1394)</f>
        <v>0</v>
      </c>
      <c r="Z1394" s="72" t="str">
        <f t="shared" si="584"/>
        <v/>
      </c>
      <c r="AA1394" s="72" t="str">
        <f t="shared" si="585"/>
        <v/>
      </c>
      <c r="AB1394" s="72"/>
      <c r="AC1394" s="72">
        <f t="shared" si="570"/>
        <v>1</v>
      </c>
      <c r="AD1394" s="72">
        <f t="shared" si="571"/>
        <v>1</v>
      </c>
      <c r="AE1394" s="109" t="str">
        <f t="shared" si="572"/>
        <v>0-0</v>
      </c>
      <c r="AF1394" s="109" t="str">
        <f t="shared" si="573"/>
        <v>Y</v>
      </c>
      <c r="AG1394" s="109" t="str">
        <f t="shared" si="574"/>
        <v>B</v>
      </c>
      <c r="AM1394" s="109">
        <f t="shared" si="575"/>
        <v>0</v>
      </c>
      <c r="AN1394" s="109">
        <f t="shared" si="576"/>
        <v>0</v>
      </c>
      <c r="AO1394" s="109" t="str">
        <f t="shared" si="577"/>
        <v/>
      </c>
      <c r="AQ1394" s="109" t="str">
        <f t="shared" si="578"/>
        <v/>
      </c>
      <c r="BA1394" s="228"/>
    </row>
    <row r="1395" spans="1:53" ht="16.5" thickBot="1" x14ac:dyDescent="0.3">
      <c r="A1395" s="88"/>
      <c r="B1395" s="319" t="s">
        <v>371</v>
      </c>
      <c r="C1395" s="320"/>
      <c r="D1395" s="79"/>
      <c r="E1395" s="80"/>
      <c r="F1395" s="80"/>
      <c r="G1395" s="81"/>
      <c r="H1395" s="192"/>
      <c r="I1395" s="192"/>
      <c r="J1395" s="192"/>
      <c r="K1395" s="82"/>
      <c r="L1395" s="319" t="s">
        <v>306</v>
      </c>
      <c r="M1395" s="330"/>
      <c r="N1395" s="330"/>
      <c r="O1395" s="330"/>
      <c r="P1395" s="330"/>
      <c r="Q1395" s="330"/>
      <c r="R1395" s="330"/>
      <c r="S1395" s="330"/>
      <c r="T1395" s="330"/>
      <c r="U1395" s="320"/>
      <c r="V1395" s="104"/>
      <c r="W1395" s="72"/>
      <c r="X1395" s="72"/>
      <c r="Y1395" s="72"/>
      <c r="Z1395" s="72"/>
      <c r="AA1395" s="72" t="str">
        <f t="shared" si="585"/>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319" t="s">
        <v>307</v>
      </c>
      <c r="C1396" s="320"/>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85"/>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312" t="s">
        <v>222</v>
      </c>
      <c r="C1400" s="313"/>
      <c r="D1400" s="314" t="s">
        <v>223</v>
      </c>
      <c r="E1400" s="305"/>
      <c r="F1400" s="88"/>
      <c r="G1400" s="315" t="s">
        <v>224</v>
      </c>
      <c r="H1400" s="316"/>
      <c r="I1400" s="28">
        <f>SUM(E1411:E1435)</f>
        <v>0</v>
      </c>
      <c r="J1400" s="317" t="s">
        <v>225</v>
      </c>
      <c r="K1400" s="318"/>
      <c r="L1400" s="305"/>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5" t="s">
        <v>226</v>
      </c>
      <c r="AA1400" s="296"/>
      <c r="AB1400" s="297"/>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4" t="s">
        <v>230</v>
      </c>
      <c r="H1401" s="305"/>
      <c r="I1401" s="33">
        <f>E1402-I1400</f>
        <v>0</v>
      </c>
      <c r="J1401" s="289" t="s">
        <v>231</v>
      </c>
      <c r="K1401" s="290"/>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298" t="s">
        <v>232</v>
      </c>
      <c r="AA1401" s="300" t="s">
        <v>233</v>
      </c>
      <c r="AB1401" s="301"/>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291" t="s">
        <v>237</v>
      </c>
      <c r="H1402" s="292"/>
      <c r="I1402" s="35">
        <f>IF(E1402=0,0,12-(MOD(I1400,12)))</f>
        <v>0</v>
      </c>
      <c r="J1402" s="289" t="s">
        <v>238</v>
      </c>
      <c r="K1402" s="290"/>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299"/>
      <c r="AA1402" s="302"/>
      <c r="AB1402" s="303"/>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321" t="s">
        <v>242</v>
      </c>
      <c r="H1403" s="43" t="s">
        <v>243</v>
      </c>
      <c r="I1403" s="35">
        <f>IF(E1403&lt;&gt;0,1,0)</f>
        <v>0</v>
      </c>
      <c r="J1403" s="291" t="s">
        <v>244</v>
      </c>
      <c r="K1403" s="292"/>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322"/>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321" t="s">
        <v>251</v>
      </c>
      <c r="H1405" s="51" t="s">
        <v>252</v>
      </c>
      <c r="I1405" s="112">
        <f>E1404</f>
        <v>0</v>
      </c>
      <c r="J1405" s="323" t="s">
        <v>253</v>
      </c>
      <c r="K1405" s="324"/>
      <c r="L1405" s="325"/>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322"/>
      <c r="H1406" s="47" t="s">
        <v>257</v>
      </c>
      <c r="I1406" s="35" t="str">
        <f>IF(E1404="","0",IF(AND(E1401="EUC",E1402=432), I1405+(203-E1403),IF(E1404=0,0,(E1404+(E1402-E1403)-1))))</f>
        <v>0</v>
      </c>
      <c r="J1406" s="285" t="str">
        <f>IFERROR(IF(OR(E1401="EUC",E1401="SS"),"---",IF(OR(P1400,S1400),"NO 2F Tethers for RPX!",IF(OR(P1402,S1402),"NO 6F Tethers for RPX!","---"))),"---")</f>
        <v>---</v>
      </c>
      <c r="K1406" s="286"/>
      <c r="L1406" s="287"/>
      <c r="M1406" s="285" t="str">
        <f>IF(E1403&gt;60,"Dead Count &gt;60: Consider Downsize","---")</f>
        <v>---</v>
      </c>
      <c r="N1406" s="286"/>
      <c r="O1406" s="286"/>
      <c r="P1406" s="286"/>
      <c r="Q1406" s="286"/>
      <c r="R1406" s="286"/>
      <c r="S1406" s="286"/>
      <c r="T1406" s="286"/>
      <c r="U1406" s="287"/>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85"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86"/>
      <c r="L1407" s="287"/>
      <c r="M1407" s="285" t="str">
        <f>IF(AND(OR(E1401="SS",E1401="RPX",E1401="EUC",E1401="RPX-T"),(OR(C1411="",C1411="Field SPL"))),"Cannot have FlexNap cables without tethers","---")</f>
        <v>---</v>
      </c>
      <c r="N1407" s="286"/>
      <c r="O1407" s="286"/>
      <c r="P1407" s="286"/>
      <c r="Q1407" s="286"/>
      <c r="R1407" s="286"/>
      <c r="S1407" s="286"/>
      <c r="T1407" s="286"/>
      <c r="U1407" s="287"/>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85" t="str">
        <f>IF(AND(OR(E1401="RPX", E1401="RPX-T", E1401="SS"),E1402=216),"NO 216 For RPX, RPX-T, OR SS CABLE","---")</f>
        <v>---</v>
      </c>
      <c r="K1408" s="286"/>
      <c r="L1408" s="287"/>
      <c r="M1408" s="285" t="str" cm="1">
        <f t="array" ref="M1408">IF(AND(E1401="",OR(C1411:C1435="FST",C1411:C1435="REV T",C1411:C1435="DBL REV",C1411:C1435="TPL REV", C1411:C1435="QD REV")),"Non-FlexNap cables cannot have tethers","---")</f>
        <v>---</v>
      </c>
      <c r="N1408" s="286"/>
      <c r="O1408" s="286"/>
      <c r="P1408" s="286"/>
      <c r="Q1408" s="286"/>
      <c r="R1408" s="286"/>
      <c r="S1408" s="286"/>
      <c r="T1408" s="286"/>
      <c r="U1408" s="287"/>
      <c r="V1408" s="25"/>
      <c r="W1408" s="58"/>
      <c r="X1408" s="58"/>
      <c r="Y1408" s="25"/>
      <c r="Z1408" s="45">
        <v>6</v>
      </c>
      <c r="AA1408" s="65">
        <v>61</v>
      </c>
      <c r="AB1408" s="65">
        <v>72</v>
      </c>
      <c r="AC1408" s="25"/>
      <c r="AD1408" s="25"/>
      <c r="BA1408" s="226"/>
    </row>
    <row r="1409" spans="1:53" ht="15.75" customHeight="1" thickBot="1" x14ac:dyDescent="0.3">
      <c r="A1409" s="88"/>
      <c r="B1409" s="321" t="s">
        <v>260</v>
      </c>
      <c r="C1409" s="293" t="s">
        <v>261</v>
      </c>
      <c r="D1409" s="293" t="s">
        <v>262</v>
      </c>
      <c r="E1409" s="306" t="s">
        <v>263</v>
      </c>
      <c r="F1409" s="293" t="s">
        <v>264</v>
      </c>
      <c r="G1409" s="308" t="s">
        <v>265</v>
      </c>
      <c r="H1409" s="308" t="s">
        <v>266</v>
      </c>
      <c r="I1409" s="308" t="s">
        <v>267</v>
      </c>
      <c r="J1409" s="310" t="s">
        <v>268</v>
      </c>
      <c r="K1409" s="293" t="s">
        <v>269</v>
      </c>
      <c r="L1409" s="279" t="s">
        <v>270</v>
      </c>
      <c r="M1409" s="281" t="s">
        <v>271</v>
      </c>
      <c r="N1409" s="281"/>
      <c r="O1409" s="281"/>
      <c r="P1409" s="281"/>
      <c r="Q1409" s="281"/>
      <c r="R1409" s="281"/>
      <c r="S1409" s="281"/>
      <c r="T1409" s="281"/>
      <c r="U1409" s="282"/>
      <c r="V1409" s="107"/>
      <c r="W1409" s="72"/>
      <c r="X1409" s="72"/>
      <c r="Y1409" s="72"/>
      <c r="Z1409" s="45">
        <v>7</v>
      </c>
      <c r="AA1409" s="65">
        <v>73</v>
      </c>
      <c r="AB1409" s="65">
        <v>84</v>
      </c>
      <c r="AC1409" s="25"/>
      <c r="AD1409" s="25"/>
      <c r="BA1409" s="228"/>
    </row>
    <row r="1410" spans="1:53" ht="15.75" thickBot="1" x14ac:dyDescent="0.3">
      <c r="A1410" s="88"/>
      <c r="B1410" s="322"/>
      <c r="C1410" s="294"/>
      <c r="D1410" s="294"/>
      <c r="E1410" s="307"/>
      <c r="F1410" s="294"/>
      <c r="G1410" s="309"/>
      <c r="H1410" s="309"/>
      <c r="I1410" s="309"/>
      <c r="J1410" s="311"/>
      <c r="K1410" s="294"/>
      <c r="L1410" s="280"/>
      <c r="M1410" s="283"/>
      <c r="N1410" s="283"/>
      <c r="O1410" s="283"/>
      <c r="P1410" s="283"/>
      <c r="Q1410" s="283"/>
      <c r="R1410" s="283"/>
      <c r="S1410" s="283"/>
      <c r="T1410" s="283"/>
      <c r="U1410" s="284"/>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77"/>
      <c r="N1411" s="277"/>
      <c r="O1411" s="277"/>
      <c r="P1411" s="277"/>
      <c r="Q1411" s="277"/>
      <c r="R1411" s="277"/>
      <c r="S1411" s="277"/>
      <c r="T1411" s="277"/>
      <c r="U1411" s="278"/>
      <c r="V1411" s="103"/>
      <c r="W1411" s="72"/>
      <c r="X1411" s="72"/>
      <c r="Y1411" s="72"/>
      <c r="Z1411" s="45">
        <v>9</v>
      </c>
      <c r="AA1411" s="46">
        <v>97</v>
      </c>
      <c r="AB1411" s="46">
        <v>108</v>
      </c>
      <c r="AC1411" s="72">
        <f t="shared" ref="AC1411:AC1435" si="587">IF(B1411&lt;&gt;"FST",1,0)</f>
        <v>1</v>
      </c>
      <c r="AD1411" s="72">
        <f t="shared" ref="AD1411:AD1435" si="588">IF(C1411&lt;&gt;"FST",1,0)</f>
        <v>1</v>
      </c>
      <c r="AE1411" s="109" t="str">
        <f t="shared" ref="AE1411:AE1435" si="589">CONCATENATE(H1411,"-",I1411)</f>
        <v>0-0</v>
      </c>
      <c r="AF1411" s="109" t="str">
        <f t="shared" ref="AF1411:AF1435" si="590">IF(C1411="Field SPL","N","Y")</f>
        <v>Y</v>
      </c>
      <c r="AG1411" s="109" t="str">
        <f t="shared" ref="AG1411:AG1435" si="591">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92">VALUE(IF(C1411="FST","0",IF(C1411="REV T","1",IF(C1411="DBL REV",".5","0"))))</f>
        <v>0</v>
      </c>
      <c r="AN1411" s="109">
        <f t="shared" ref="AN1411:AN1435" si="593">VALUE(IF(C1411="FST","0",IF(C1411="REV T","0",IF(C1411="DBL REV",".5","0"))))</f>
        <v>0</v>
      </c>
      <c r="AO1411" s="109" t="str">
        <f t="shared" ref="AO1411:AO1435" si="594">IF(C1411="TPL REV","Y","")</f>
        <v/>
      </c>
      <c r="AQ1411" s="109" t="str">
        <f t="shared" ref="AQ1411:AQ1435" si="595">IF(C1411="QD REV","Y","")</f>
        <v/>
      </c>
      <c r="BA1411" s="229">
        <f>MOD(E1411,12)</f>
        <v>0</v>
      </c>
    </row>
    <row r="1412" spans="1:53" ht="15.75" thickBot="1" x14ac:dyDescent="0.3">
      <c r="A1412" s="88"/>
      <c r="B1412" s="66" t="s">
        <v>279</v>
      </c>
      <c r="C1412" s="67"/>
      <c r="D1412" s="102"/>
      <c r="E1412" s="32"/>
      <c r="F1412" s="32"/>
      <c r="G1412" s="68" t="s">
        <v>277</v>
      </c>
      <c r="H1412" s="69">
        <f t="shared" ref="H1412:H1435" si="596">IF(E1412=0,0,I1412-(E1412-1))</f>
        <v>0</v>
      </c>
      <c r="I1412" s="70">
        <f t="shared" ref="I1412:I1435" si="597">IF(E1412=0,0,H1411-1)</f>
        <v>0</v>
      </c>
      <c r="J1412" s="73" t="str">
        <f>IF(C1412="","--",IF(AND(C1412&lt;&gt;"FST",C1412&lt;&gt;"TCF",BA1411&lt;&gt;0),BA1411,"--"))</f>
        <v>--</v>
      </c>
      <c r="K1412" s="32"/>
      <c r="L1412" s="233"/>
      <c r="M1412" s="277"/>
      <c r="N1412" s="277"/>
      <c r="O1412" s="277"/>
      <c r="P1412" s="277"/>
      <c r="Q1412" s="277"/>
      <c r="R1412" s="277"/>
      <c r="S1412" s="277"/>
      <c r="T1412" s="277"/>
      <c r="U1412" s="278"/>
      <c r="V1412" s="103"/>
      <c r="W1412" s="72"/>
      <c r="X1412" s="72"/>
      <c r="Y1412" s="72"/>
      <c r="Z1412" s="45">
        <v>10</v>
      </c>
      <c r="AA1412" s="46">
        <v>109</v>
      </c>
      <c r="AB1412" s="46">
        <v>120</v>
      </c>
      <c r="AC1412" s="72">
        <f t="shared" si="587"/>
        <v>1</v>
      </c>
      <c r="AD1412" s="72">
        <f t="shared" si="588"/>
        <v>1</v>
      </c>
      <c r="AE1412" s="109" t="str">
        <f t="shared" si="589"/>
        <v>0-0</v>
      </c>
      <c r="AF1412" s="109" t="str">
        <f t="shared" si="590"/>
        <v>Y</v>
      </c>
      <c r="AG1412" s="109" t="str">
        <f t="shared" si="591"/>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92"/>
        <v>0</v>
      </c>
      <c r="AN1412" s="109">
        <f t="shared" si="593"/>
        <v>0</v>
      </c>
      <c r="AO1412" s="109" t="str">
        <f t="shared" si="594"/>
        <v/>
      </c>
      <c r="AQ1412" s="109" t="str">
        <f t="shared" si="595"/>
        <v/>
      </c>
      <c r="BA1412" s="229">
        <f>MOD(SUM(E1411:E1412),12)</f>
        <v>0</v>
      </c>
    </row>
    <row r="1413" spans="1:53" ht="15.75" thickBot="1" x14ac:dyDescent="0.3">
      <c r="A1413" s="88"/>
      <c r="B1413" s="74" t="s">
        <v>280</v>
      </c>
      <c r="C1413" s="67"/>
      <c r="D1413" s="102"/>
      <c r="E1413" s="32"/>
      <c r="F1413" s="32"/>
      <c r="G1413" s="75" t="s">
        <v>277</v>
      </c>
      <c r="H1413" s="69">
        <f t="shared" si="596"/>
        <v>0</v>
      </c>
      <c r="I1413" s="70">
        <f t="shared" si="597"/>
        <v>0</v>
      </c>
      <c r="J1413" s="73" t="str">
        <f t="shared" ref="J1413:J1435" si="598">IF(C1413="","--",IF(AND(C1413&lt;&gt;"FST",C1413&lt;&gt;"TCF",BA1412&lt;&gt;0),BA1412,"--"))</f>
        <v>--</v>
      </c>
      <c r="K1413" s="32"/>
      <c r="L1413" s="233"/>
      <c r="M1413" s="277"/>
      <c r="N1413" s="277"/>
      <c r="O1413" s="277"/>
      <c r="P1413" s="277"/>
      <c r="Q1413" s="277"/>
      <c r="R1413" s="277"/>
      <c r="S1413" s="277"/>
      <c r="T1413" s="277"/>
      <c r="U1413" s="278"/>
      <c r="V1413" s="103"/>
      <c r="W1413" s="72"/>
      <c r="X1413" s="72"/>
      <c r="Y1413" s="72"/>
      <c r="Z1413" s="45">
        <v>11</v>
      </c>
      <c r="AA1413" s="46">
        <v>121</v>
      </c>
      <c r="AB1413" s="46">
        <v>132</v>
      </c>
      <c r="AC1413" s="72">
        <f t="shared" si="587"/>
        <v>1</v>
      </c>
      <c r="AD1413" s="72">
        <f t="shared" si="588"/>
        <v>1</v>
      </c>
      <c r="AE1413" s="109" t="str">
        <f t="shared" si="589"/>
        <v>0-0</v>
      </c>
      <c r="AF1413" s="109" t="str">
        <f t="shared" si="590"/>
        <v>Y</v>
      </c>
      <c r="AG1413" s="109" t="str">
        <f t="shared" si="591"/>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92"/>
        <v>0</v>
      </c>
      <c r="AN1413" s="109">
        <f t="shared" si="593"/>
        <v>0</v>
      </c>
      <c r="AO1413" s="109" t="str">
        <f t="shared" si="594"/>
        <v/>
      </c>
      <c r="AQ1413" s="109" t="str">
        <f t="shared" si="595"/>
        <v/>
      </c>
      <c r="BA1413" s="229">
        <f>MOD(SUM(E1411:E1414),12)</f>
        <v>0</v>
      </c>
    </row>
    <row r="1414" spans="1:53" ht="15.75" thickBot="1" x14ac:dyDescent="0.3">
      <c r="A1414" s="88"/>
      <c r="B1414" s="66" t="s">
        <v>281</v>
      </c>
      <c r="C1414" s="67"/>
      <c r="D1414" s="102"/>
      <c r="E1414" s="32"/>
      <c r="F1414" s="32"/>
      <c r="G1414" s="68" t="s">
        <v>277</v>
      </c>
      <c r="H1414" s="69">
        <f t="shared" si="596"/>
        <v>0</v>
      </c>
      <c r="I1414" s="70">
        <f t="shared" si="597"/>
        <v>0</v>
      </c>
      <c r="J1414" s="73" t="str">
        <f t="shared" si="598"/>
        <v>--</v>
      </c>
      <c r="K1414" s="32"/>
      <c r="L1414" s="233"/>
      <c r="M1414" s="277"/>
      <c r="N1414" s="277"/>
      <c r="O1414" s="277"/>
      <c r="P1414" s="277"/>
      <c r="Q1414" s="277"/>
      <c r="R1414" s="277"/>
      <c r="S1414" s="277"/>
      <c r="T1414" s="277"/>
      <c r="U1414" s="278"/>
      <c r="V1414" s="103"/>
      <c r="W1414" s="72"/>
      <c r="X1414" s="72"/>
      <c r="Y1414" s="72"/>
      <c r="Z1414" s="45">
        <v>12</v>
      </c>
      <c r="AA1414" s="76">
        <v>133</v>
      </c>
      <c r="AB1414" s="76">
        <v>144</v>
      </c>
      <c r="AC1414" s="72">
        <f t="shared" si="587"/>
        <v>1</v>
      </c>
      <c r="AD1414" s="72">
        <f t="shared" si="588"/>
        <v>1</v>
      </c>
      <c r="AE1414" s="109" t="str">
        <f t="shared" si="589"/>
        <v>0-0</v>
      </c>
      <c r="AF1414" s="109" t="str">
        <f t="shared" si="590"/>
        <v>Y</v>
      </c>
      <c r="AG1414" s="109" t="str">
        <f t="shared" si="591"/>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92"/>
        <v>0</v>
      </c>
      <c r="AN1414" s="109">
        <f t="shared" si="593"/>
        <v>0</v>
      </c>
      <c r="AO1414" s="109" t="str">
        <f t="shared" si="594"/>
        <v/>
      </c>
      <c r="AQ1414" s="109" t="str">
        <f t="shared" si="595"/>
        <v/>
      </c>
      <c r="BA1414" s="229">
        <f>MOD(SUM(E1411:E1415),12)</f>
        <v>0</v>
      </c>
    </row>
    <row r="1415" spans="1:53" ht="15.75" thickBot="1" x14ac:dyDescent="0.3">
      <c r="A1415" s="88"/>
      <c r="B1415" s="66" t="s">
        <v>282</v>
      </c>
      <c r="C1415" s="67"/>
      <c r="D1415" s="102"/>
      <c r="E1415" s="32"/>
      <c r="F1415" s="32"/>
      <c r="G1415" s="68" t="s">
        <v>277</v>
      </c>
      <c r="H1415" s="69">
        <f t="shared" si="596"/>
        <v>0</v>
      </c>
      <c r="I1415" s="70">
        <f t="shared" si="597"/>
        <v>0</v>
      </c>
      <c r="J1415" s="73" t="str">
        <f t="shared" si="598"/>
        <v>--</v>
      </c>
      <c r="K1415" s="32"/>
      <c r="L1415" s="233"/>
      <c r="M1415" s="277"/>
      <c r="N1415" s="277"/>
      <c r="O1415" s="277"/>
      <c r="P1415" s="277"/>
      <c r="Q1415" s="277"/>
      <c r="R1415" s="277"/>
      <c r="S1415" s="277"/>
      <c r="T1415" s="277"/>
      <c r="U1415" s="278"/>
      <c r="V1415" s="103"/>
      <c r="W1415" s="72"/>
      <c r="X1415" s="72"/>
      <c r="Y1415" s="72"/>
      <c r="Z1415" s="45">
        <v>13</v>
      </c>
      <c r="AA1415" s="77">
        <f t="shared" ref="AA1415:AA1420" si="599">AB1414+1</f>
        <v>145</v>
      </c>
      <c r="AB1415" s="77">
        <f t="shared" ref="AB1415:AB1420" si="600">AB1414+12</f>
        <v>156</v>
      </c>
      <c r="AC1415" s="72">
        <f t="shared" si="587"/>
        <v>1</v>
      </c>
      <c r="AD1415" s="72">
        <f t="shared" si="588"/>
        <v>1</v>
      </c>
      <c r="AE1415" s="109" t="str">
        <f t="shared" si="589"/>
        <v>0-0</v>
      </c>
      <c r="AF1415" s="109" t="str">
        <f t="shared" si="590"/>
        <v>Y</v>
      </c>
      <c r="AG1415" s="109" t="str">
        <f t="shared" si="591"/>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92"/>
        <v>0</v>
      </c>
      <c r="AN1415" s="109">
        <f t="shared" si="593"/>
        <v>0</v>
      </c>
      <c r="AO1415" s="109" t="str">
        <f t="shared" si="594"/>
        <v/>
      </c>
      <c r="AQ1415" s="109" t="str">
        <f t="shared" si="595"/>
        <v/>
      </c>
      <c r="BA1415" s="229">
        <f>MOD(SUM(E1411:E1416),12)</f>
        <v>0</v>
      </c>
    </row>
    <row r="1416" spans="1:53" ht="15.75" thickBot="1" x14ac:dyDescent="0.3">
      <c r="A1416" s="88"/>
      <c r="B1416" s="66" t="s">
        <v>283</v>
      </c>
      <c r="C1416" s="67"/>
      <c r="D1416" s="102"/>
      <c r="E1416" s="32"/>
      <c r="F1416" s="32"/>
      <c r="G1416" s="68" t="s">
        <v>277</v>
      </c>
      <c r="H1416" s="69">
        <f t="shared" si="596"/>
        <v>0</v>
      </c>
      <c r="I1416" s="70">
        <f t="shared" si="597"/>
        <v>0</v>
      </c>
      <c r="J1416" s="73" t="str">
        <f t="shared" si="598"/>
        <v>--</v>
      </c>
      <c r="K1416" s="32"/>
      <c r="L1416" s="233"/>
      <c r="M1416" s="277"/>
      <c r="N1416" s="277"/>
      <c r="O1416" s="277"/>
      <c r="P1416" s="277"/>
      <c r="Q1416" s="277"/>
      <c r="R1416" s="277"/>
      <c r="S1416" s="277"/>
      <c r="T1416" s="277"/>
      <c r="U1416" s="278"/>
      <c r="V1416" s="103"/>
      <c r="W1416" s="72"/>
      <c r="X1416" s="72"/>
      <c r="Y1416" s="72"/>
      <c r="Z1416" s="45">
        <v>14</v>
      </c>
      <c r="AA1416" s="77">
        <f t="shared" si="599"/>
        <v>157</v>
      </c>
      <c r="AB1416" s="77">
        <f t="shared" si="600"/>
        <v>168</v>
      </c>
      <c r="AC1416" s="72">
        <f t="shared" si="587"/>
        <v>1</v>
      </c>
      <c r="AD1416" s="72">
        <f t="shared" si="588"/>
        <v>1</v>
      </c>
      <c r="AE1416" s="109" t="str">
        <f t="shared" si="589"/>
        <v>0-0</v>
      </c>
      <c r="AF1416" s="109" t="str">
        <f t="shared" si="590"/>
        <v>Y</v>
      </c>
      <c r="AG1416" s="109" t="str">
        <f t="shared" si="591"/>
        <v>B</v>
      </c>
      <c r="AM1416" s="109">
        <f t="shared" si="592"/>
        <v>0</v>
      </c>
      <c r="AN1416" s="109">
        <f t="shared" si="593"/>
        <v>0</v>
      </c>
      <c r="AO1416" s="109" t="str">
        <f t="shared" si="594"/>
        <v/>
      </c>
      <c r="AQ1416" s="109" t="str">
        <f t="shared" si="595"/>
        <v/>
      </c>
      <c r="BA1416" s="229">
        <f>MOD(SUM(E1411:E1417),12)</f>
        <v>0</v>
      </c>
    </row>
    <row r="1417" spans="1:53" ht="15.75" thickBot="1" x14ac:dyDescent="0.3">
      <c r="A1417" s="88"/>
      <c r="B1417" s="66" t="s">
        <v>284</v>
      </c>
      <c r="C1417" s="67"/>
      <c r="D1417" s="102"/>
      <c r="E1417" s="32"/>
      <c r="F1417" s="32"/>
      <c r="G1417" s="68" t="s">
        <v>277</v>
      </c>
      <c r="H1417" s="69">
        <f t="shared" si="596"/>
        <v>0</v>
      </c>
      <c r="I1417" s="70">
        <f t="shared" si="597"/>
        <v>0</v>
      </c>
      <c r="J1417" s="73" t="str">
        <f t="shared" si="598"/>
        <v>--</v>
      </c>
      <c r="K1417" s="32"/>
      <c r="L1417" s="233"/>
      <c r="M1417" s="277"/>
      <c r="N1417" s="277"/>
      <c r="O1417" s="277"/>
      <c r="P1417" s="277"/>
      <c r="Q1417" s="277"/>
      <c r="R1417" s="277"/>
      <c r="S1417" s="277"/>
      <c r="T1417" s="277"/>
      <c r="U1417" s="278"/>
      <c r="V1417" s="103"/>
      <c r="W1417" s="72"/>
      <c r="X1417" s="72"/>
      <c r="Y1417" s="72"/>
      <c r="Z1417" s="45">
        <v>15</v>
      </c>
      <c r="AA1417" s="77">
        <f t="shared" si="599"/>
        <v>169</v>
      </c>
      <c r="AB1417" s="77">
        <f t="shared" si="600"/>
        <v>180</v>
      </c>
      <c r="AC1417" s="72">
        <f t="shared" si="587"/>
        <v>1</v>
      </c>
      <c r="AD1417" s="72">
        <f t="shared" si="588"/>
        <v>1</v>
      </c>
      <c r="AE1417" s="109" t="str">
        <f t="shared" si="589"/>
        <v>0-0</v>
      </c>
      <c r="AF1417" s="109" t="str">
        <f t="shared" si="590"/>
        <v>Y</v>
      </c>
      <c r="AG1417" s="109" t="str">
        <f t="shared" si="591"/>
        <v>B</v>
      </c>
      <c r="AM1417" s="109">
        <f t="shared" si="592"/>
        <v>0</v>
      </c>
      <c r="AN1417" s="109">
        <f t="shared" si="593"/>
        <v>0</v>
      </c>
      <c r="AO1417" s="109" t="str">
        <f t="shared" si="594"/>
        <v/>
      </c>
      <c r="AQ1417" s="109" t="str">
        <f t="shared" si="595"/>
        <v/>
      </c>
      <c r="BA1417" s="229">
        <f>MOD(SUM(E1411:E1418),12)</f>
        <v>0</v>
      </c>
    </row>
    <row r="1418" spans="1:53" ht="15.75" thickBot="1" x14ac:dyDescent="0.3">
      <c r="A1418" s="88"/>
      <c r="B1418" s="66" t="s">
        <v>285</v>
      </c>
      <c r="C1418" s="67"/>
      <c r="D1418" s="102"/>
      <c r="E1418" s="32"/>
      <c r="F1418" s="32"/>
      <c r="G1418" s="68" t="s">
        <v>277</v>
      </c>
      <c r="H1418" s="69">
        <f t="shared" si="596"/>
        <v>0</v>
      </c>
      <c r="I1418" s="70">
        <f t="shared" si="597"/>
        <v>0</v>
      </c>
      <c r="J1418" s="73" t="str">
        <f t="shared" si="598"/>
        <v>--</v>
      </c>
      <c r="K1418" s="32"/>
      <c r="L1418" s="233"/>
      <c r="M1418" s="277"/>
      <c r="N1418" s="277"/>
      <c r="O1418" s="277"/>
      <c r="P1418" s="277"/>
      <c r="Q1418" s="277"/>
      <c r="R1418" s="277"/>
      <c r="S1418" s="277"/>
      <c r="T1418" s="277"/>
      <c r="U1418" s="278"/>
      <c r="V1418" s="103"/>
      <c r="W1418" s="72"/>
      <c r="X1418" s="72"/>
      <c r="Y1418" s="72"/>
      <c r="Z1418" s="45">
        <f>Z1417+1</f>
        <v>16</v>
      </c>
      <c r="AA1418" s="77">
        <f t="shared" si="599"/>
        <v>181</v>
      </c>
      <c r="AB1418" s="77">
        <f t="shared" si="600"/>
        <v>192</v>
      </c>
      <c r="AC1418" s="72">
        <f t="shared" si="587"/>
        <v>1</v>
      </c>
      <c r="AD1418" s="72">
        <f t="shared" si="588"/>
        <v>1</v>
      </c>
      <c r="AE1418" s="109" t="str">
        <f t="shared" si="589"/>
        <v>0-0</v>
      </c>
      <c r="AF1418" s="109" t="str">
        <f t="shared" si="590"/>
        <v>Y</v>
      </c>
      <c r="AG1418" s="109" t="str">
        <f t="shared" si="591"/>
        <v>B</v>
      </c>
      <c r="AM1418" s="109">
        <f t="shared" si="592"/>
        <v>0</v>
      </c>
      <c r="AN1418" s="109">
        <f t="shared" si="593"/>
        <v>0</v>
      </c>
      <c r="AO1418" s="109" t="str">
        <f t="shared" si="594"/>
        <v/>
      </c>
      <c r="AQ1418" s="109" t="str">
        <f t="shared" si="595"/>
        <v/>
      </c>
      <c r="BA1418" s="229">
        <f>MOD(SUM(E1411:E1419),12)</f>
        <v>0</v>
      </c>
    </row>
    <row r="1419" spans="1:53" ht="15.75" thickBot="1" x14ac:dyDescent="0.3">
      <c r="A1419" s="88"/>
      <c r="B1419" s="66" t="s">
        <v>286</v>
      </c>
      <c r="C1419" s="67"/>
      <c r="D1419" s="102"/>
      <c r="E1419" s="32"/>
      <c r="F1419" s="32"/>
      <c r="G1419" s="68" t="s">
        <v>277</v>
      </c>
      <c r="H1419" s="69">
        <f t="shared" si="596"/>
        <v>0</v>
      </c>
      <c r="I1419" s="70">
        <f t="shared" si="597"/>
        <v>0</v>
      </c>
      <c r="J1419" s="73" t="str">
        <f t="shared" si="598"/>
        <v>--</v>
      </c>
      <c r="K1419" s="32"/>
      <c r="L1419" s="233"/>
      <c r="M1419" s="277"/>
      <c r="N1419" s="277"/>
      <c r="O1419" s="277"/>
      <c r="P1419" s="277"/>
      <c r="Q1419" s="277"/>
      <c r="R1419" s="277"/>
      <c r="S1419" s="277"/>
      <c r="T1419" s="277"/>
      <c r="U1419" s="278"/>
      <c r="V1419" s="103"/>
      <c r="W1419" s="72"/>
      <c r="X1419" s="72"/>
      <c r="Y1419" s="72"/>
      <c r="Z1419" s="45">
        <f>Z1418+1</f>
        <v>17</v>
      </c>
      <c r="AA1419" s="77">
        <f t="shared" si="599"/>
        <v>193</v>
      </c>
      <c r="AB1419" s="77">
        <f t="shared" si="600"/>
        <v>204</v>
      </c>
      <c r="AC1419" s="72">
        <f t="shared" si="587"/>
        <v>1</v>
      </c>
      <c r="AD1419" s="72">
        <f t="shared" si="588"/>
        <v>1</v>
      </c>
      <c r="AE1419" s="109" t="str">
        <f t="shared" si="589"/>
        <v>0-0</v>
      </c>
      <c r="AF1419" s="109" t="str">
        <f t="shared" si="590"/>
        <v>Y</v>
      </c>
      <c r="AG1419" s="109" t="str">
        <f t="shared" si="591"/>
        <v>B</v>
      </c>
      <c r="AM1419" s="109">
        <f t="shared" si="592"/>
        <v>0</v>
      </c>
      <c r="AN1419" s="109">
        <f t="shared" si="593"/>
        <v>0</v>
      </c>
      <c r="AO1419" s="109" t="str">
        <f t="shared" si="594"/>
        <v/>
      </c>
      <c r="AQ1419" s="109" t="str">
        <f t="shared" si="595"/>
        <v/>
      </c>
      <c r="BA1419" s="229">
        <f>MOD(SUM(E1411:E1420),12)</f>
        <v>0</v>
      </c>
    </row>
    <row r="1420" spans="1:53" ht="15.75" thickBot="1" x14ac:dyDescent="0.3">
      <c r="A1420" s="88"/>
      <c r="B1420" s="66" t="s">
        <v>287</v>
      </c>
      <c r="C1420" s="67"/>
      <c r="D1420" s="102"/>
      <c r="E1420" s="32"/>
      <c r="F1420" s="32"/>
      <c r="G1420" s="68" t="s">
        <v>277</v>
      </c>
      <c r="H1420" s="69">
        <f t="shared" si="596"/>
        <v>0</v>
      </c>
      <c r="I1420" s="70">
        <f t="shared" si="597"/>
        <v>0</v>
      </c>
      <c r="J1420" s="73" t="str">
        <f t="shared" si="598"/>
        <v>--</v>
      </c>
      <c r="K1420" s="32"/>
      <c r="L1420" s="233"/>
      <c r="M1420" s="277"/>
      <c r="N1420" s="277"/>
      <c r="O1420" s="277"/>
      <c r="P1420" s="277"/>
      <c r="Q1420" s="277"/>
      <c r="R1420" s="277"/>
      <c r="S1420" s="277"/>
      <c r="T1420" s="277"/>
      <c r="U1420" s="278"/>
      <c r="V1420" s="103"/>
      <c r="W1420" s="72"/>
      <c r="X1420" s="72"/>
      <c r="Y1420" s="72"/>
      <c r="Z1420" s="45">
        <f>Z1419+1</f>
        <v>18</v>
      </c>
      <c r="AA1420" s="77">
        <f t="shared" si="599"/>
        <v>205</v>
      </c>
      <c r="AB1420" s="77">
        <f t="shared" si="600"/>
        <v>216</v>
      </c>
      <c r="AC1420" s="72">
        <f t="shared" si="587"/>
        <v>1</v>
      </c>
      <c r="AD1420" s="72">
        <f t="shared" si="588"/>
        <v>1</v>
      </c>
      <c r="AE1420" s="109" t="str">
        <f t="shared" si="589"/>
        <v>0-0</v>
      </c>
      <c r="AF1420" s="109" t="str">
        <f t="shared" si="590"/>
        <v>Y</v>
      </c>
      <c r="AG1420" s="109" t="str">
        <f t="shared" si="591"/>
        <v>B</v>
      </c>
      <c r="AM1420" s="109">
        <f t="shared" si="592"/>
        <v>0</v>
      </c>
      <c r="AN1420" s="109">
        <f t="shared" si="593"/>
        <v>0</v>
      </c>
      <c r="AO1420" s="109" t="str">
        <f t="shared" si="594"/>
        <v/>
      </c>
      <c r="AQ1420" s="109" t="str">
        <f t="shared" si="595"/>
        <v/>
      </c>
      <c r="BA1420" s="229">
        <f>MOD(SUM(E1411:E1421),12)</f>
        <v>0</v>
      </c>
    </row>
    <row r="1421" spans="1:53" ht="15.75" thickBot="1" x14ac:dyDescent="0.3">
      <c r="A1421" s="88"/>
      <c r="B1421" s="66" t="s">
        <v>288</v>
      </c>
      <c r="C1421" s="67"/>
      <c r="D1421" s="102"/>
      <c r="E1421" s="32"/>
      <c r="F1421" s="32"/>
      <c r="G1421" s="68" t="s">
        <v>277</v>
      </c>
      <c r="H1421" s="69">
        <f t="shared" si="596"/>
        <v>0</v>
      </c>
      <c r="I1421" s="70">
        <f t="shared" si="597"/>
        <v>0</v>
      </c>
      <c r="J1421" s="73" t="str">
        <f t="shared" si="598"/>
        <v>--</v>
      </c>
      <c r="K1421" s="32"/>
      <c r="L1421" s="233"/>
      <c r="M1421" s="277"/>
      <c r="N1421" s="277"/>
      <c r="O1421" s="277"/>
      <c r="P1421" s="277"/>
      <c r="Q1421" s="277"/>
      <c r="R1421" s="277"/>
      <c r="S1421" s="277"/>
      <c r="T1421" s="277"/>
      <c r="U1421" s="278"/>
      <c r="V1421" s="103"/>
      <c r="W1421" s="84"/>
      <c r="X1421" s="84"/>
      <c r="Y1421" s="72"/>
      <c r="Z1421" s="72"/>
      <c r="AA1421" s="72"/>
      <c r="AB1421" s="72"/>
      <c r="AC1421" s="72">
        <f t="shared" si="587"/>
        <v>1</v>
      </c>
      <c r="AD1421" s="72">
        <f t="shared" si="588"/>
        <v>1</v>
      </c>
      <c r="AE1421" s="109" t="str">
        <f t="shared" si="589"/>
        <v>0-0</v>
      </c>
      <c r="AF1421" s="109" t="str">
        <f t="shared" si="590"/>
        <v>Y</v>
      </c>
      <c r="AG1421" s="109" t="str">
        <f t="shared" si="591"/>
        <v>B</v>
      </c>
      <c r="AM1421" s="109">
        <f t="shared" si="592"/>
        <v>0</v>
      </c>
      <c r="AN1421" s="109">
        <f t="shared" si="593"/>
        <v>0</v>
      </c>
      <c r="AO1421" s="109" t="str">
        <f t="shared" si="594"/>
        <v/>
      </c>
      <c r="AQ1421" s="109" t="str">
        <f t="shared" si="595"/>
        <v/>
      </c>
      <c r="BA1421" s="229">
        <f>MOD(SUM(E1411:E1422),12)</f>
        <v>0</v>
      </c>
    </row>
    <row r="1422" spans="1:53" ht="15.75" thickBot="1" x14ac:dyDescent="0.3">
      <c r="A1422" s="88"/>
      <c r="B1422" s="66" t="s">
        <v>289</v>
      </c>
      <c r="C1422" s="67"/>
      <c r="D1422" s="102"/>
      <c r="E1422" s="32"/>
      <c r="F1422" s="32"/>
      <c r="G1422" s="68" t="s">
        <v>277</v>
      </c>
      <c r="H1422" s="69">
        <f t="shared" si="596"/>
        <v>0</v>
      </c>
      <c r="I1422" s="70">
        <f t="shared" si="597"/>
        <v>0</v>
      </c>
      <c r="J1422" s="73" t="str">
        <f t="shared" si="598"/>
        <v>--</v>
      </c>
      <c r="K1422" s="32"/>
      <c r="L1422" s="233"/>
      <c r="M1422" s="277"/>
      <c r="N1422" s="277"/>
      <c r="O1422" s="277"/>
      <c r="P1422" s="277"/>
      <c r="Q1422" s="277"/>
      <c r="R1422" s="277"/>
      <c r="S1422" s="277"/>
      <c r="T1422" s="277"/>
      <c r="U1422" s="278"/>
      <c r="V1422" s="103"/>
      <c r="W1422" s="84">
        <f>Y1422+1</f>
        <v>1</v>
      </c>
      <c r="X1422" s="84"/>
      <c r="Y1422" s="78">
        <f>SUM(E1411:E1422)</f>
        <v>0</v>
      </c>
      <c r="Z1422" s="72"/>
      <c r="AA1422" s="72"/>
      <c r="AB1422" s="72"/>
      <c r="AC1422" s="72">
        <f t="shared" si="587"/>
        <v>1</v>
      </c>
      <c r="AD1422" s="72">
        <f t="shared" si="588"/>
        <v>1</v>
      </c>
      <c r="AE1422" s="109" t="str">
        <f t="shared" si="589"/>
        <v>0-0</v>
      </c>
      <c r="AF1422" s="109" t="str">
        <f t="shared" si="590"/>
        <v>Y</v>
      </c>
      <c r="AG1422" s="109" t="str">
        <f t="shared" si="591"/>
        <v>B</v>
      </c>
      <c r="AM1422" s="109">
        <f t="shared" si="592"/>
        <v>0</v>
      </c>
      <c r="AN1422" s="109">
        <f t="shared" si="593"/>
        <v>0</v>
      </c>
      <c r="AO1422" s="109" t="str">
        <f t="shared" si="594"/>
        <v/>
      </c>
      <c r="AQ1422" s="109" t="str">
        <f t="shared" si="595"/>
        <v/>
      </c>
      <c r="BA1422" s="229">
        <f>MOD(SUM(E1411:E1423),12)</f>
        <v>0</v>
      </c>
    </row>
    <row r="1423" spans="1:53" ht="15.75" thickBot="1" x14ac:dyDescent="0.3">
      <c r="A1423" s="88"/>
      <c r="B1423" s="66" t="s">
        <v>290</v>
      </c>
      <c r="C1423" s="67"/>
      <c r="D1423" s="102"/>
      <c r="E1423" s="32"/>
      <c r="F1423" s="32"/>
      <c r="G1423" s="68" t="s">
        <v>277</v>
      </c>
      <c r="H1423" s="69">
        <f t="shared" si="596"/>
        <v>0</v>
      </c>
      <c r="I1423" s="70">
        <f t="shared" si="597"/>
        <v>0</v>
      </c>
      <c r="J1423" s="73" t="str">
        <f t="shared" si="598"/>
        <v>--</v>
      </c>
      <c r="K1423" s="32"/>
      <c r="L1423" s="233"/>
      <c r="M1423" s="277"/>
      <c r="N1423" s="277"/>
      <c r="O1423" s="277"/>
      <c r="P1423" s="277"/>
      <c r="Q1423" s="277"/>
      <c r="R1423" s="277"/>
      <c r="S1423" s="277"/>
      <c r="T1423" s="277"/>
      <c r="U1423" s="278"/>
      <c r="V1423" s="103"/>
      <c r="W1423" s="84">
        <f>Y1423+1</f>
        <v>1</v>
      </c>
      <c r="X1423" s="84"/>
      <c r="Y1423" s="78">
        <f>SUM(E1411:E1423)</f>
        <v>0</v>
      </c>
      <c r="Z1423" s="72" t="str">
        <f t="shared" ref="Z1423:Z1435" si="601">IF(OR(AND(E$8=216,C1422="DBL REV",C1423="DBL REV",Y1422&lt;=144,Y1423&gt;144),AND(E$8=216,C1422="TPL REV",C1423="TPL REV",Y1422&lt;=144,Y1423&gt;144),AND(E$8=216,C1422="QD REV",C1423="QD REV",Y1422&lt;=144,Y1423&gt;144)),"ERROR","")</f>
        <v/>
      </c>
      <c r="AA1423" s="72"/>
      <c r="AB1423" s="72"/>
      <c r="AC1423" s="72">
        <f t="shared" si="587"/>
        <v>1</v>
      </c>
      <c r="AD1423" s="72">
        <f t="shared" si="588"/>
        <v>1</v>
      </c>
      <c r="AE1423" s="109" t="str">
        <f t="shared" si="589"/>
        <v>0-0</v>
      </c>
      <c r="AF1423" s="109" t="str">
        <f t="shared" si="590"/>
        <v>Y</v>
      </c>
      <c r="AG1423" s="109" t="str">
        <f t="shared" si="591"/>
        <v>B</v>
      </c>
      <c r="AM1423" s="109">
        <f t="shared" si="592"/>
        <v>0</v>
      </c>
      <c r="AN1423" s="109">
        <f t="shared" si="593"/>
        <v>0</v>
      </c>
      <c r="AO1423" s="109" t="str">
        <f t="shared" si="594"/>
        <v/>
      </c>
      <c r="AQ1423" s="109" t="str">
        <f t="shared" si="595"/>
        <v/>
      </c>
      <c r="BA1423" s="229">
        <f>MOD(SUM(E1411:E1424),12)</f>
        <v>0</v>
      </c>
    </row>
    <row r="1424" spans="1:53" ht="15.75" thickBot="1" x14ac:dyDescent="0.3">
      <c r="A1424" s="88"/>
      <c r="B1424" s="66" t="s">
        <v>291</v>
      </c>
      <c r="C1424" s="67"/>
      <c r="D1424" s="102"/>
      <c r="E1424" s="32"/>
      <c r="F1424" s="32"/>
      <c r="G1424" s="68" t="s">
        <v>277</v>
      </c>
      <c r="H1424" s="69">
        <f t="shared" si="596"/>
        <v>0</v>
      </c>
      <c r="I1424" s="70">
        <f t="shared" si="597"/>
        <v>0</v>
      </c>
      <c r="J1424" s="73" t="str">
        <f t="shared" si="598"/>
        <v>--</v>
      </c>
      <c r="K1424" s="32"/>
      <c r="L1424" s="233"/>
      <c r="M1424" s="277"/>
      <c r="N1424" s="277"/>
      <c r="O1424" s="277"/>
      <c r="P1424" s="277"/>
      <c r="Q1424" s="277"/>
      <c r="R1424" s="277"/>
      <c r="S1424" s="277"/>
      <c r="T1424" s="277"/>
      <c r="U1424" s="278"/>
      <c r="V1424" s="103"/>
      <c r="W1424" s="84">
        <f>Y1424+1</f>
        <v>1</v>
      </c>
      <c r="X1424" s="84"/>
      <c r="Y1424" s="78">
        <f>SUM(E1411:E1424)</f>
        <v>0</v>
      </c>
      <c r="Z1424" s="72" t="str">
        <f t="shared" si="601"/>
        <v/>
      </c>
      <c r="AA1424" s="72"/>
      <c r="AB1424" s="72"/>
      <c r="AC1424" s="72">
        <f t="shared" si="587"/>
        <v>1</v>
      </c>
      <c r="AD1424" s="72">
        <f t="shared" si="588"/>
        <v>1</v>
      </c>
      <c r="AE1424" s="109" t="str">
        <f t="shared" si="589"/>
        <v>0-0</v>
      </c>
      <c r="AF1424" s="109" t="str">
        <f t="shared" si="590"/>
        <v>Y</v>
      </c>
      <c r="AG1424" s="109" t="str">
        <f t="shared" si="591"/>
        <v>B</v>
      </c>
      <c r="AM1424" s="109">
        <f t="shared" si="592"/>
        <v>0</v>
      </c>
      <c r="AN1424" s="109">
        <f t="shared" si="593"/>
        <v>0</v>
      </c>
      <c r="AO1424" s="109" t="str">
        <f t="shared" si="594"/>
        <v/>
      </c>
      <c r="AQ1424" s="109" t="str">
        <f t="shared" si="595"/>
        <v/>
      </c>
      <c r="BA1424" s="229">
        <f>MOD(SUM(E1411:E1425),12)</f>
        <v>0</v>
      </c>
    </row>
    <row r="1425" spans="1:53" ht="15.75" thickBot="1" x14ac:dyDescent="0.3">
      <c r="A1425" s="88"/>
      <c r="B1425" s="66" t="s">
        <v>292</v>
      </c>
      <c r="C1425" s="67"/>
      <c r="D1425" s="102"/>
      <c r="E1425" s="32"/>
      <c r="F1425" s="32"/>
      <c r="G1425" s="68" t="s">
        <v>277</v>
      </c>
      <c r="H1425" s="69">
        <f t="shared" si="596"/>
        <v>0</v>
      </c>
      <c r="I1425" s="70">
        <f t="shared" si="597"/>
        <v>0</v>
      </c>
      <c r="J1425" s="73" t="str">
        <f t="shared" si="598"/>
        <v>--</v>
      </c>
      <c r="K1425" s="32"/>
      <c r="L1425" s="233"/>
      <c r="M1425" s="277"/>
      <c r="N1425" s="277"/>
      <c r="O1425" s="277"/>
      <c r="P1425" s="277"/>
      <c r="Q1425" s="277"/>
      <c r="R1425" s="277"/>
      <c r="S1425" s="277"/>
      <c r="T1425" s="277"/>
      <c r="U1425" s="278"/>
      <c r="V1425" s="103"/>
      <c r="W1425" s="84">
        <f>Y1425+1</f>
        <v>1</v>
      </c>
      <c r="X1425" s="84"/>
      <c r="Y1425" s="78">
        <f>SUM(E1411:E1425)</f>
        <v>0</v>
      </c>
      <c r="Z1425" s="72" t="str">
        <f t="shared" si="601"/>
        <v/>
      </c>
      <c r="AA1425" s="72" t="str">
        <f t="shared" ref="AA1425:AA1437" si="602">IF(AND(C1423&lt;&gt;"Field SPL",W1422&lt;=144,Y1423&gt;144),"ERROR","")</f>
        <v/>
      </c>
      <c r="AB1425" s="72"/>
      <c r="AC1425" s="72">
        <f t="shared" si="587"/>
        <v>1</v>
      </c>
      <c r="AD1425" s="72">
        <f t="shared" si="588"/>
        <v>1</v>
      </c>
      <c r="AE1425" s="109" t="str">
        <f t="shared" si="589"/>
        <v>0-0</v>
      </c>
      <c r="AF1425" s="109" t="str">
        <f t="shared" si="590"/>
        <v>Y</v>
      </c>
      <c r="AG1425" s="109" t="str">
        <f t="shared" si="591"/>
        <v>B</v>
      </c>
      <c r="AM1425" s="109">
        <f t="shared" si="592"/>
        <v>0</v>
      </c>
      <c r="AN1425" s="109">
        <f t="shared" si="593"/>
        <v>0</v>
      </c>
      <c r="AO1425" s="109" t="str">
        <f t="shared" si="594"/>
        <v/>
      </c>
      <c r="AQ1425" s="109" t="str">
        <f t="shared" si="595"/>
        <v/>
      </c>
      <c r="BA1425" s="229">
        <f>MOD(SUM(E1411:E1426),12)</f>
        <v>0</v>
      </c>
    </row>
    <row r="1426" spans="1:53" ht="15.75" thickBot="1" x14ac:dyDescent="0.3">
      <c r="A1426" s="88"/>
      <c r="B1426" s="66" t="s">
        <v>293</v>
      </c>
      <c r="C1426" s="67"/>
      <c r="D1426" s="102"/>
      <c r="E1426" s="32"/>
      <c r="F1426" s="32"/>
      <c r="G1426" s="68" t="s">
        <v>277</v>
      </c>
      <c r="H1426" s="69">
        <f t="shared" si="596"/>
        <v>0</v>
      </c>
      <c r="I1426" s="70">
        <f t="shared" si="597"/>
        <v>0</v>
      </c>
      <c r="J1426" s="73" t="str">
        <f t="shared" si="598"/>
        <v>--</v>
      </c>
      <c r="K1426" s="32"/>
      <c r="L1426" s="233"/>
      <c r="M1426" s="277"/>
      <c r="N1426" s="277"/>
      <c r="O1426" s="277"/>
      <c r="P1426" s="277"/>
      <c r="Q1426" s="277"/>
      <c r="R1426" s="277"/>
      <c r="S1426" s="277"/>
      <c r="T1426" s="277"/>
      <c r="U1426" s="278"/>
      <c r="V1426" s="103"/>
      <c r="W1426" s="84">
        <f t="shared" ref="W1426:W1434" si="603">Y1426+1</f>
        <v>1</v>
      </c>
      <c r="X1426" s="84"/>
      <c r="Y1426" s="78">
        <f>SUM(E1411:E1426)</f>
        <v>0</v>
      </c>
      <c r="Z1426" s="72" t="str">
        <f t="shared" si="601"/>
        <v/>
      </c>
      <c r="AA1426" s="72" t="str">
        <f t="shared" si="602"/>
        <v/>
      </c>
      <c r="AB1426" s="72"/>
      <c r="AC1426" s="72">
        <f t="shared" si="587"/>
        <v>1</v>
      </c>
      <c r="AD1426" s="72">
        <f t="shared" si="588"/>
        <v>1</v>
      </c>
      <c r="AE1426" s="109" t="str">
        <f t="shared" si="589"/>
        <v>0-0</v>
      </c>
      <c r="AF1426" s="109" t="str">
        <f t="shared" si="590"/>
        <v>Y</v>
      </c>
      <c r="AG1426" s="109" t="str">
        <f t="shared" si="591"/>
        <v>B</v>
      </c>
      <c r="AM1426" s="109">
        <f t="shared" si="592"/>
        <v>0</v>
      </c>
      <c r="AN1426" s="109">
        <f t="shared" si="593"/>
        <v>0</v>
      </c>
      <c r="AO1426" s="109" t="str">
        <f t="shared" si="594"/>
        <v/>
      </c>
      <c r="AQ1426" s="109" t="str">
        <f t="shared" si="595"/>
        <v/>
      </c>
      <c r="BA1426" s="229">
        <f>MOD(SUM(E1411:E1427),12)</f>
        <v>0</v>
      </c>
    </row>
    <row r="1427" spans="1:53" ht="15.75" thickBot="1" x14ac:dyDescent="0.3">
      <c r="A1427" s="88"/>
      <c r="B1427" s="66" t="s">
        <v>294</v>
      </c>
      <c r="C1427" s="67"/>
      <c r="D1427" s="102"/>
      <c r="E1427" s="32"/>
      <c r="F1427" s="32"/>
      <c r="G1427" s="68" t="s">
        <v>277</v>
      </c>
      <c r="H1427" s="69">
        <f t="shared" si="596"/>
        <v>0</v>
      </c>
      <c r="I1427" s="70">
        <f t="shared" si="597"/>
        <v>0</v>
      </c>
      <c r="J1427" s="73" t="str">
        <f t="shared" si="598"/>
        <v>--</v>
      </c>
      <c r="K1427" s="32"/>
      <c r="L1427" s="233"/>
      <c r="M1427" s="277"/>
      <c r="N1427" s="277"/>
      <c r="O1427" s="277"/>
      <c r="P1427" s="277"/>
      <c r="Q1427" s="277"/>
      <c r="R1427" s="277"/>
      <c r="S1427" s="277"/>
      <c r="T1427" s="277"/>
      <c r="U1427" s="278"/>
      <c r="V1427" s="103"/>
      <c r="W1427" s="84">
        <f t="shared" si="603"/>
        <v>1</v>
      </c>
      <c r="X1427" s="84"/>
      <c r="Y1427" s="78">
        <f>SUM(E1411:E1427)</f>
        <v>0</v>
      </c>
      <c r="Z1427" s="72" t="str">
        <f t="shared" si="601"/>
        <v/>
      </c>
      <c r="AA1427" s="72" t="str">
        <f t="shared" si="602"/>
        <v/>
      </c>
      <c r="AB1427" s="72"/>
      <c r="AC1427" s="72">
        <f t="shared" si="587"/>
        <v>1</v>
      </c>
      <c r="AD1427" s="72">
        <f t="shared" si="588"/>
        <v>1</v>
      </c>
      <c r="AE1427" s="109" t="str">
        <f t="shared" si="589"/>
        <v>0-0</v>
      </c>
      <c r="AF1427" s="109" t="str">
        <f t="shared" si="590"/>
        <v>Y</v>
      </c>
      <c r="AG1427" s="109" t="str">
        <f t="shared" si="591"/>
        <v>B</v>
      </c>
      <c r="AM1427" s="109">
        <f t="shared" si="592"/>
        <v>0</v>
      </c>
      <c r="AN1427" s="109">
        <f t="shared" si="593"/>
        <v>0</v>
      </c>
      <c r="AO1427" s="109" t="str">
        <f t="shared" si="594"/>
        <v/>
      </c>
      <c r="AQ1427" s="109" t="str">
        <f t="shared" si="595"/>
        <v/>
      </c>
      <c r="BA1427" s="229">
        <f>MOD(SUM(E1411:E1428),12)</f>
        <v>0</v>
      </c>
    </row>
    <row r="1428" spans="1:53" ht="15.75" thickBot="1" x14ac:dyDescent="0.3">
      <c r="A1428" s="88"/>
      <c r="B1428" s="66" t="s">
        <v>295</v>
      </c>
      <c r="C1428" s="67"/>
      <c r="D1428" s="102"/>
      <c r="E1428" s="32"/>
      <c r="F1428" s="32"/>
      <c r="G1428" s="68" t="s">
        <v>277</v>
      </c>
      <c r="H1428" s="69">
        <f t="shared" si="596"/>
        <v>0</v>
      </c>
      <c r="I1428" s="70">
        <f t="shared" si="597"/>
        <v>0</v>
      </c>
      <c r="J1428" s="73" t="str">
        <f t="shared" si="598"/>
        <v>--</v>
      </c>
      <c r="K1428" s="32"/>
      <c r="L1428" s="233"/>
      <c r="M1428" s="277"/>
      <c r="N1428" s="277"/>
      <c r="O1428" s="277"/>
      <c r="P1428" s="277"/>
      <c r="Q1428" s="277"/>
      <c r="R1428" s="277"/>
      <c r="S1428" s="277"/>
      <c r="T1428" s="277"/>
      <c r="U1428" s="278"/>
      <c r="V1428" s="103"/>
      <c r="W1428" s="84">
        <f t="shared" si="603"/>
        <v>1</v>
      </c>
      <c r="X1428" s="84"/>
      <c r="Y1428" s="78">
        <f>SUM(E1411:E1428)</f>
        <v>0</v>
      </c>
      <c r="Z1428" s="72" t="str">
        <f t="shared" si="601"/>
        <v/>
      </c>
      <c r="AA1428" s="72" t="str">
        <f t="shared" si="602"/>
        <v/>
      </c>
      <c r="AB1428" s="72"/>
      <c r="AC1428" s="72">
        <f t="shared" si="587"/>
        <v>1</v>
      </c>
      <c r="AD1428" s="72">
        <f t="shared" si="588"/>
        <v>1</v>
      </c>
      <c r="AE1428" s="109" t="str">
        <f t="shared" si="589"/>
        <v>0-0</v>
      </c>
      <c r="AF1428" s="109" t="str">
        <f t="shared" si="590"/>
        <v>Y</v>
      </c>
      <c r="AG1428" s="109" t="str">
        <f t="shared" si="591"/>
        <v>B</v>
      </c>
      <c r="AM1428" s="109">
        <f t="shared" si="592"/>
        <v>0</v>
      </c>
      <c r="AN1428" s="109">
        <f t="shared" si="593"/>
        <v>0</v>
      </c>
      <c r="AO1428" s="109" t="str">
        <f t="shared" si="594"/>
        <v/>
      </c>
      <c r="AQ1428" s="109" t="str">
        <f t="shared" si="595"/>
        <v/>
      </c>
      <c r="BA1428" s="229">
        <f>MOD(SUM(E1411:E1429),12)</f>
        <v>0</v>
      </c>
    </row>
    <row r="1429" spans="1:53" ht="15.75" thickBot="1" x14ac:dyDescent="0.3">
      <c r="A1429" s="88"/>
      <c r="B1429" s="66" t="s">
        <v>296</v>
      </c>
      <c r="C1429" s="67"/>
      <c r="D1429" s="102"/>
      <c r="E1429" s="32"/>
      <c r="F1429" s="32"/>
      <c r="G1429" s="68" t="s">
        <v>277</v>
      </c>
      <c r="H1429" s="69">
        <f t="shared" si="596"/>
        <v>0</v>
      </c>
      <c r="I1429" s="70">
        <f t="shared" si="597"/>
        <v>0</v>
      </c>
      <c r="J1429" s="73" t="str">
        <f t="shared" si="598"/>
        <v>--</v>
      </c>
      <c r="K1429" s="32"/>
      <c r="L1429" s="233"/>
      <c r="M1429" s="277"/>
      <c r="N1429" s="277"/>
      <c r="O1429" s="277"/>
      <c r="P1429" s="277"/>
      <c r="Q1429" s="277"/>
      <c r="R1429" s="277"/>
      <c r="S1429" s="277"/>
      <c r="T1429" s="277"/>
      <c r="U1429" s="278"/>
      <c r="V1429" s="103"/>
      <c r="W1429" s="84">
        <f t="shared" si="603"/>
        <v>1</v>
      </c>
      <c r="X1429" s="84"/>
      <c r="Y1429" s="78">
        <f>SUM(E1411:E1429)</f>
        <v>0</v>
      </c>
      <c r="Z1429" s="72" t="str">
        <f t="shared" si="601"/>
        <v/>
      </c>
      <c r="AA1429" s="72" t="str">
        <f t="shared" si="602"/>
        <v/>
      </c>
      <c r="AB1429" s="72"/>
      <c r="AC1429" s="72">
        <f t="shared" si="587"/>
        <v>1</v>
      </c>
      <c r="AD1429" s="72">
        <f t="shared" si="588"/>
        <v>1</v>
      </c>
      <c r="AE1429" s="109" t="str">
        <f t="shared" si="589"/>
        <v>0-0</v>
      </c>
      <c r="AF1429" s="109" t="str">
        <f t="shared" si="590"/>
        <v>Y</v>
      </c>
      <c r="AG1429" s="109" t="str">
        <f t="shared" si="591"/>
        <v>B</v>
      </c>
      <c r="AM1429" s="109">
        <f t="shared" si="592"/>
        <v>0</v>
      </c>
      <c r="AN1429" s="109">
        <f t="shared" si="593"/>
        <v>0</v>
      </c>
      <c r="AO1429" s="109" t="str">
        <f t="shared" si="594"/>
        <v/>
      </c>
      <c r="AQ1429" s="109" t="str">
        <f t="shared" si="595"/>
        <v/>
      </c>
      <c r="BA1429" s="229">
        <f>MOD(SUM(E1411:E1430),12)</f>
        <v>0</v>
      </c>
    </row>
    <row r="1430" spans="1:53" ht="15.75" thickBot="1" x14ac:dyDescent="0.3">
      <c r="A1430" s="88"/>
      <c r="B1430" s="66" t="s">
        <v>297</v>
      </c>
      <c r="C1430" s="67"/>
      <c r="D1430" s="102"/>
      <c r="E1430" s="32"/>
      <c r="F1430" s="32"/>
      <c r="G1430" s="68" t="s">
        <v>277</v>
      </c>
      <c r="H1430" s="69">
        <f t="shared" si="596"/>
        <v>0</v>
      </c>
      <c r="I1430" s="70">
        <f t="shared" si="597"/>
        <v>0</v>
      </c>
      <c r="J1430" s="73" t="str">
        <f t="shared" si="598"/>
        <v>--</v>
      </c>
      <c r="K1430" s="32"/>
      <c r="L1430" s="233"/>
      <c r="M1430" s="277"/>
      <c r="N1430" s="277"/>
      <c r="O1430" s="277"/>
      <c r="P1430" s="277"/>
      <c r="Q1430" s="277"/>
      <c r="R1430" s="277"/>
      <c r="S1430" s="277"/>
      <c r="T1430" s="277"/>
      <c r="U1430" s="278"/>
      <c r="V1430" s="103"/>
      <c r="W1430" s="84">
        <f t="shared" si="603"/>
        <v>1</v>
      </c>
      <c r="X1430" s="84"/>
      <c r="Y1430" s="78">
        <f>SUM(E1411:E1430)</f>
        <v>0</v>
      </c>
      <c r="Z1430" s="72" t="str">
        <f t="shared" si="601"/>
        <v/>
      </c>
      <c r="AA1430" s="72" t="str">
        <f t="shared" si="602"/>
        <v/>
      </c>
      <c r="AB1430" s="72"/>
      <c r="AC1430" s="72">
        <f t="shared" si="587"/>
        <v>1</v>
      </c>
      <c r="AD1430" s="72">
        <f t="shared" si="588"/>
        <v>1</v>
      </c>
      <c r="AE1430" s="109" t="str">
        <f t="shared" si="589"/>
        <v>0-0</v>
      </c>
      <c r="AF1430" s="109" t="str">
        <f t="shared" si="590"/>
        <v>Y</v>
      </c>
      <c r="AG1430" s="109" t="str">
        <f t="shared" si="591"/>
        <v>B</v>
      </c>
      <c r="AM1430" s="109">
        <f t="shared" si="592"/>
        <v>0</v>
      </c>
      <c r="AN1430" s="109">
        <f t="shared" si="593"/>
        <v>0</v>
      </c>
      <c r="AO1430" s="109" t="str">
        <f t="shared" si="594"/>
        <v/>
      </c>
      <c r="AQ1430" s="109" t="str">
        <f t="shared" si="595"/>
        <v/>
      </c>
      <c r="BA1430" s="229">
        <f>MOD(SUM(E1411:E1431),12)</f>
        <v>0</v>
      </c>
    </row>
    <row r="1431" spans="1:53" ht="15.75" thickBot="1" x14ac:dyDescent="0.3">
      <c r="A1431" s="88"/>
      <c r="B1431" s="66" t="s">
        <v>298</v>
      </c>
      <c r="C1431" s="67"/>
      <c r="D1431" s="102"/>
      <c r="E1431" s="32"/>
      <c r="F1431" s="32"/>
      <c r="G1431" s="68" t="s">
        <v>277</v>
      </c>
      <c r="H1431" s="69">
        <f t="shared" si="596"/>
        <v>0</v>
      </c>
      <c r="I1431" s="70">
        <f t="shared" si="597"/>
        <v>0</v>
      </c>
      <c r="J1431" s="73" t="str">
        <f t="shared" si="598"/>
        <v>--</v>
      </c>
      <c r="K1431" s="32"/>
      <c r="L1431" s="233"/>
      <c r="M1431" s="277"/>
      <c r="N1431" s="277"/>
      <c r="O1431" s="277"/>
      <c r="P1431" s="277"/>
      <c r="Q1431" s="277"/>
      <c r="R1431" s="277"/>
      <c r="S1431" s="277"/>
      <c r="T1431" s="277"/>
      <c r="U1431" s="278"/>
      <c r="V1431" s="103"/>
      <c r="W1431" s="84">
        <f t="shared" si="603"/>
        <v>1</v>
      </c>
      <c r="X1431" s="84"/>
      <c r="Y1431" s="78">
        <f>SUM(E1411:E1431)</f>
        <v>0</v>
      </c>
      <c r="Z1431" s="72" t="str">
        <f t="shared" si="601"/>
        <v/>
      </c>
      <c r="AA1431" s="72" t="str">
        <f t="shared" si="602"/>
        <v/>
      </c>
      <c r="AB1431" s="72"/>
      <c r="AC1431" s="72">
        <f t="shared" si="587"/>
        <v>1</v>
      </c>
      <c r="AD1431" s="72">
        <f t="shared" si="588"/>
        <v>1</v>
      </c>
      <c r="AE1431" s="109" t="str">
        <f t="shared" si="589"/>
        <v>0-0</v>
      </c>
      <c r="AF1431" s="109" t="str">
        <f t="shared" si="590"/>
        <v>Y</v>
      </c>
      <c r="AG1431" s="109" t="str">
        <f t="shared" si="591"/>
        <v>B</v>
      </c>
      <c r="AM1431" s="109">
        <f t="shared" si="592"/>
        <v>0</v>
      </c>
      <c r="AN1431" s="109">
        <f t="shared" si="593"/>
        <v>0</v>
      </c>
      <c r="AO1431" s="109" t="str">
        <f t="shared" si="594"/>
        <v/>
      </c>
      <c r="AQ1431" s="109" t="str">
        <f t="shared" si="595"/>
        <v/>
      </c>
      <c r="BA1431" s="229">
        <f>MOD(SUM(E1411:E1432),12)</f>
        <v>0</v>
      </c>
    </row>
    <row r="1432" spans="1:53" ht="15.75" thickBot="1" x14ac:dyDescent="0.3">
      <c r="A1432" s="88"/>
      <c r="B1432" s="66" t="s">
        <v>299</v>
      </c>
      <c r="C1432" s="67"/>
      <c r="D1432" s="102"/>
      <c r="E1432" s="32"/>
      <c r="F1432" s="32"/>
      <c r="G1432" s="68" t="s">
        <v>277</v>
      </c>
      <c r="H1432" s="69">
        <f t="shared" si="596"/>
        <v>0</v>
      </c>
      <c r="I1432" s="70">
        <f t="shared" si="597"/>
        <v>0</v>
      </c>
      <c r="J1432" s="73" t="str">
        <f t="shared" si="598"/>
        <v>--</v>
      </c>
      <c r="K1432" s="32"/>
      <c r="L1432" s="233"/>
      <c r="M1432" s="277"/>
      <c r="N1432" s="277"/>
      <c r="O1432" s="277"/>
      <c r="P1432" s="277"/>
      <c r="Q1432" s="277"/>
      <c r="R1432" s="277"/>
      <c r="S1432" s="277"/>
      <c r="T1432" s="277"/>
      <c r="U1432" s="278"/>
      <c r="V1432" s="103"/>
      <c r="W1432" s="84">
        <f t="shared" si="603"/>
        <v>1</v>
      </c>
      <c r="X1432" s="84"/>
      <c r="Y1432" s="78">
        <f>SUM(E1411:E1432)</f>
        <v>0</v>
      </c>
      <c r="Z1432" s="72" t="str">
        <f t="shared" si="601"/>
        <v/>
      </c>
      <c r="AA1432" s="72" t="str">
        <f t="shared" si="602"/>
        <v/>
      </c>
      <c r="AB1432" s="72"/>
      <c r="AC1432" s="72">
        <f t="shared" si="587"/>
        <v>1</v>
      </c>
      <c r="AD1432" s="72">
        <f t="shared" si="588"/>
        <v>1</v>
      </c>
      <c r="AE1432" s="109" t="str">
        <f t="shared" si="589"/>
        <v>0-0</v>
      </c>
      <c r="AF1432" s="109" t="str">
        <f t="shared" si="590"/>
        <v>Y</v>
      </c>
      <c r="AG1432" s="109" t="str">
        <f t="shared" si="591"/>
        <v>B</v>
      </c>
      <c r="AM1432" s="109">
        <f t="shared" si="592"/>
        <v>0</v>
      </c>
      <c r="AN1432" s="109">
        <f t="shared" si="593"/>
        <v>0</v>
      </c>
      <c r="AO1432" s="109" t="str">
        <f t="shared" si="594"/>
        <v/>
      </c>
      <c r="AQ1432" s="109" t="str">
        <f t="shared" si="595"/>
        <v/>
      </c>
      <c r="BA1432" s="229">
        <f>MOD(SUM(E1411:E1433),12)</f>
        <v>0</v>
      </c>
    </row>
    <row r="1433" spans="1:53" ht="15.75" thickBot="1" x14ac:dyDescent="0.3">
      <c r="A1433" s="88"/>
      <c r="B1433" s="66" t="s">
        <v>300</v>
      </c>
      <c r="C1433" s="67"/>
      <c r="D1433" s="102"/>
      <c r="E1433" s="32"/>
      <c r="F1433" s="32"/>
      <c r="G1433" s="68" t="s">
        <v>277</v>
      </c>
      <c r="H1433" s="69">
        <f t="shared" si="596"/>
        <v>0</v>
      </c>
      <c r="I1433" s="70">
        <f t="shared" si="597"/>
        <v>0</v>
      </c>
      <c r="J1433" s="73" t="str">
        <f t="shared" si="598"/>
        <v>--</v>
      </c>
      <c r="K1433" s="32"/>
      <c r="L1433" s="233"/>
      <c r="M1433" s="277"/>
      <c r="N1433" s="277"/>
      <c r="O1433" s="277"/>
      <c r="P1433" s="277"/>
      <c r="Q1433" s="277"/>
      <c r="R1433" s="277"/>
      <c r="S1433" s="277"/>
      <c r="T1433" s="277"/>
      <c r="U1433" s="278"/>
      <c r="V1433" s="103"/>
      <c r="W1433" s="84">
        <f t="shared" si="603"/>
        <v>1</v>
      </c>
      <c r="X1433" s="84"/>
      <c r="Y1433" s="78">
        <f>SUM(E1411:E1433)</f>
        <v>0</v>
      </c>
      <c r="Z1433" s="72" t="str">
        <f t="shared" si="601"/>
        <v/>
      </c>
      <c r="AA1433" s="72" t="str">
        <f t="shared" si="602"/>
        <v/>
      </c>
      <c r="AB1433" s="72"/>
      <c r="AC1433" s="72">
        <f t="shared" si="587"/>
        <v>1</v>
      </c>
      <c r="AD1433" s="72">
        <f t="shared" si="588"/>
        <v>1</v>
      </c>
      <c r="AE1433" s="109" t="str">
        <f t="shared" si="589"/>
        <v>0-0</v>
      </c>
      <c r="AF1433" s="109" t="str">
        <f t="shared" si="590"/>
        <v>Y</v>
      </c>
      <c r="AG1433" s="109" t="str">
        <f t="shared" si="591"/>
        <v>B</v>
      </c>
      <c r="AM1433" s="109">
        <f t="shared" si="592"/>
        <v>0</v>
      </c>
      <c r="AN1433" s="109">
        <f t="shared" si="593"/>
        <v>0</v>
      </c>
      <c r="AO1433" s="109" t="str">
        <f t="shared" si="594"/>
        <v/>
      </c>
      <c r="AQ1433" s="109" t="str">
        <f t="shared" si="595"/>
        <v/>
      </c>
      <c r="BA1433" s="229">
        <f>MOD(SUM(E1411:E1434),12)</f>
        <v>0</v>
      </c>
    </row>
    <row r="1434" spans="1:53" ht="15.75" thickBot="1" x14ac:dyDescent="0.3">
      <c r="A1434" s="88"/>
      <c r="B1434" s="66" t="s">
        <v>301</v>
      </c>
      <c r="C1434" s="67"/>
      <c r="D1434" s="102"/>
      <c r="E1434" s="32"/>
      <c r="F1434" s="32"/>
      <c r="G1434" s="68" t="s">
        <v>277</v>
      </c>
      <c r="H1434" s="69">
        <f t="shared" si="596"/>
        <v>0</v>
      </c>
      <c r="I1434" s="70">
        <f t="shared" si="597"/>
        <v>0</v>
      </c>
      <c r="J1434" s="73" t="str">
        <f t="shared" si="598"/>
        <v>--</v>
      </c>
      <c r="K1434" s="32"/>
      <c r="L1434" s="233"/>
      <c r="M1434" s="277"/>
      <c r="N1434" s="277"/>
      <c r="O1434" s="277"/>
      <c r="P1434" s="277"/>
      <c r="Q1434" s="277"/>
      <c r="R1434" s="277"/>
      <c r="S1434" s="277"/>
      <c r="T1434" s="277"/>
      <c r="U1434" s="278"/>
      <c r="V1434" s="103"/>
      <c r="W1434" s="84">
        <f t="shared" si="603"/>
        <v>1</v>
      </c>
      <c r="X1434" s="84"/>
      <c r="Y1434" s="78">
        <f>SUM(E1411:E1434)</f>
        <v>0</v>
      </c>
      <c r="Z1434" s="72" t="str">
        <f t="shared" si="601"/>
        <v/>
      </c>
      <c r="AA1434" s="72" t="str">
        <f t="shared" si="602"/>
        <v/>
      </c>
      <c r="AB1434" s="72"/>
      <c r="AC1434" s="72">
        <f t="shared" si="587"/>
        <v>1</v>
      </c>
      <c r="AD1434" s="72">
        <f t="shared" si="588"/>
        <v>1</v>
      </c>
      <c r="AE1434" s="109" t="str">
        <f t="shared" si="589"/>
        <v>0-0</v>
      </c>
      <c r="AF1434" s="109" t="str">
        <f t="shared" si="590"/>
        <v>Y</v>
      </c>
      <c r="AG1434" s="109" t="str">
        <f t="shared" si="591"/>
        <v>B</v>
      </c>
      <c r="AM1434" s="109">
        <f t="shared" si="592"/>
        <v>0</v>
      </c>
      <c r="AN1434" s="109">
        <f t="shared" si="593"/>
        <v>0</v>
      </c>
      <c r="AO1434" s="109" t="str">
        <f t="shared" si="594"/>
        <v/>
      </c>
      <c r="AQ1434" s="109" t="str">
        <f t="shared" si="595"/>
        <v/>
      </c>
      <c r="BA1434" s="229">
        <f>MOD(SUM(E1411:E1435),12)</f>
        <v>0</v>
      </c>
    </row>
    <row r="1435" spans="1:53" ht="15.75" thickBot="1" x14ac:dyDescent="0.3">
      <c r="A1435" s="88"/>
      <c r="B1435" s="66" t="s">
        <v>302</v>
      </c>
      <c r="C1435" s="67"/>
      <c r="D1435" s="102"/>
      <c r="E1435" s="32"/>
      <c r="F1435" s="32"/>
      <c r="G1435" s="68" t="s">
        <v>277</v>
      </c>
      <c r="H1435" s="69">
        <f t="shared" si="596"/>
        <v>0</v>
      </c>
      <c r="I1435" s="70">
        <f t="shared" si="597"/>
        <v>0</v>
      </c>
      <c r="J1435" s="73" t="str">
        <f t="shared" si="598"/>
        <v>--</v>
      </c>
      <c r="K1435" s="32"/>
      <c r="L1435" s="234"/>
      <c r="M1435" s="277"/>
      <c r="N1435" s="277"/>
      <c r="O1435" s="277"/>
      <c r="P1435" s="277"/>
      <c r="Q1435" s="277"/>
      <c r="R1435" s="277"/>
      <c r="S1435" s="277"/>
      <c r="T1435" s="277"/>
      <c r="U1435" s="278"/>
      <c r="V1435" s="103"/>
      <c r="W1435" s="72"/>
      <c r="X1435" s="72"/>
      <c r="Y1435" s="78">
        <f>SUM(E1411:E1435)</f>
        <v>0</v>
      </c>
      <c r="Z1435" s="72" t="str">
        <f t="shared" si="601"/>
        <v/>
      </c>
      <c r="AA1435" s="72" t="str">
        <f t="shared" si="602"/>
        <v/>
      </c>
      <c r="AB1435" s="72"/>
      <c r="AC1435" s="72">
        <f t="shared" si="587"/>
        <v>1</v>
      </c>
      <c r="AD1435" s="72">
        <f t="shared" si="588"/>
        <v>1</v>
      </c>
      <c r="AE1435" s="109" t="str">
        <f t="shared" si="589"/>
        <v>0-0</v>
      </c>
      <c r="AF1435" s="109" t="str">
        <f t="shared" si="590"/>
        <v>Y</v>
      </c>
      <c r="AG1435" s="109" t="str">
        <f t="shared" si="591"/>
        <v>B</v>
      </c>
      <c r="AM1435" s="109">
        <f t="shared" si="592"/>
        <v>0</v>
      </c>
      <c r="AN1435" s="109">
        <f t="shared" si="593"/>
        <v>0</v>
      </c>
      <c r="AO1435" s="109" t="str">
        <f t="shared" si="594"/>
        <v/>
      </c>
      <c r="AQ1435" s="109" t="str">
        <f t="shared" si="595"/>
        <v/>
      </c>
      <c r="BA1435" s="228"/>
    </row>
    <row r="1436" spans="1:53" ht="16.5" thickBot="1" x14ac:dyDescent="0.3">
      <c r="A1436" s="88"/>
      <c r="B1436" s="319" t="s">
        <v>373</v>
      </c>
      <c r="C1436" s="320"/>
      <c r="D1436" s="79"/>
      <c r="E1436" s="80"/>
      <c r="F1436" s="80"/>
      <c r="G1436" s="81"/>
      <c r="H1436" s="192"/>
      <c r="I1436" s="192"/>
      <c r="J1436" s="192"/>
      <c r="K1436" s="82"/>
      <c r="L1436" s="319" t="s">
        <v>306</v>
      </c>
      <c r="M1436" s="330"/>
      <c r="N1436" s="330"/>
      <c r="O1436" s="330"/>
      <c r="P1436" s="330"/>
      <c r="Q1436" s="330"/>
      <c r="R1436" s="330"/>
      <c r="S1436" s="330"/>
      <c r="T1436" s="330"/>
      <c r="U1436" s="320"/>
      <c r="V1436" s="104"/>
      <c r="W1436" s="72"/>
      <c r="X1436" s="72"/>
      <c r="Y1436" s="72"/>
      <c r="Z1436" s="72"/>
      <c r="AA1436" s="72" t="str">
        <f t="shared" si="602"/>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319" t="s">
        <v>307</v>
      </c>
      <c r="C1437" s="320"/>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602"/>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312" t="s">
        <v>222</v>
      </c>
      <c r="C1441" s="313"/>
      <c r="D1441" s="314" t="s">
        <v>223</v>
      </c>
      <c r="E1441" s="305"/>
      <c r="F1441" s="88"/>
      <c r="G1441" s="315" t="s">
        <v>224</v>
      </c>
      <c r="H1441" s="316"/>
      <c r="I1441" s="28">
        <f>SUM(E1452:E1476)</f>
        <v>0</v>
      </c>
      <c r="J1441" s="317" t="s">
        <v>225</v>
      </c>
      <c r="K1441" s="318"/>
      <c r="L1441" s="305"/>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5" t="s">
        <v>226</v>
      </c>
      <c r="AA1441" s="296"/>
      <c r="AB1441" s="297"/>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4" t="s">
        <v>230</v>
      </c>
      <c r="H1442" s="305"/>
      <c r="I1442" s="33">
        <f>E1443-I1441</f>
        <v>0</v>
      </c>
      <c r="J1442" s="289" t="s">
        <v>231</v>
      </c>
      <c r="K1442" s="290"/>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298" t="s">
        <v>232</v>
      </c>
      <c r="AA1442" s="300" t="s">
        <v>233</v>
      </c>
      <c r="AB1442" s="301"/>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291" t="s">
        <v>237</v>
      </c>
      <c r="H1443" s="292"/>
      <c r="I1443" s="35">
        <f>IF(E1443=0,0,12-(MOD(I1441,12)))</f>
        <v>0</v>
      </c>
      <c r="J1443" s="289" t="s">
        <v>238</v>
      </c>
      <c r="K1443" s="290"/>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299"/>
      <c r="AA1443" s="302"/>
      <c r="AB1443" s="303"/>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321" t="s">
        <v>242</v>
      </c>
      <c r="H1444" s="43" t="s">
        <v>243</v>
      </c>
      <c r="I1444" s="35">
        <f>IF(E1444&lt;&gt;0,1,0)</f>
        <v>0</v>
      </c>
      <c r="J1444" s="291" t="s">
        <v>244</v>
      </c>
      <c r="K1444" s="292"/>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322"/>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321" t="s">
        <v>251</v>
      </c>
      <c r="H1446" s="51" t="s">
        <v>252</v>
      </c>
      <c r="I1446" s="112">
        <f>E1445</f>
        <v>0</v>
      </c>
      <c r="J1446" s="323" t="s">
        <v>253</v>
      </c>
      <c r="K1446" s="324"/>
      <c r="L1446" s="325"/>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322"/>
      <c r="H1447" s="47" t="s">
        <v>257</v>
      </c>
      <c r="I1447" s="35" t="str">
        <f>IF(E1445="","0",IF(AND(E1442="EUC",E1443=432), I1446+(203-E1444),IF(E1445=0,0,(E1445+(E1443-E1444)-1))))</f>
        <v>0</v>
      </c>
      <c r="J1447" s="285" t="str">
        <f>IFERROR(IF(OR(E1442="EUC",E1442="SS"),"---",IF(OR(P1441,S1441),"NO 2F Tethers for RPX!",IF(OR(P1443,S1443),"NO 6F Tethers for RPX!","---"))),"---")</f>
        <v>---</v>
      </c>
      <c r="K1447" s="286"/>
      <c r="L1447" s="287"/>
      <c r="M1447" s="285" t="str">
        <f>IF(E1444&gt;60,"Dead Count &gt;60: Consider Downsize","---")</f>
        <v>---</v>
      </c>
      <c r="N1447" s="286"/>
      <c r="O1447" s="286"/>
      <c r="P1447" s="286"/>
      <c r="Q1447" s="286"/>
      <c r="R1447" s="286"/>
      <c r="S1447" s="286"/>
      <c r="T1447" s="286"/>
      <c r="U1447" s="287"/>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85"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86"/>
      <c r="L1448" s="287"/>
      <c r="M1448" s="285" t="str">
        <f>IF(AND(OR(E1442="SS",E1442="RPX",E1442="EUC",E1442="RPX-T"),(OR(C1452="",C1452="Field SPL"))),"Cannot have FlexNap cables without tethers","---")</f>
        <v>---</v>
      </c>
      <c r="N1448" s="286"/>
      <c r="O1448" s="286"/>
      <c r="P1448" s="286"/>
      <c r="Q1448" s="286"/>
      <c r="R1448" s="286"/>
      <c r="S1448" s="286"/>
      <c r="T1448" s="286"/>
      <c r="U1448" s="287"/>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85" t="str">
        <f>IF(AND(OR(E1442="RPX", E1442="RPX-T", E1442="SS"),E1443=216),"NO 216 For RPX, RPX-T, OR SS CABLE","---")</f>
        <v>---</v>
      </c>
      <c r="K1449" s="286"/>
      <c r="L1449" s="287"/>
      <c r="M1449" s="285" t="str" cm="1">
        <f t="array" ref="M1449">IF(AND(E1442="",OR(C1452:C1476="FST",C1452:C1476="REV T",C1452:C1476="DBL REV",C1452:C1476="TPL REV", C1452:C1476="QD REV")),"Non-FlexNap cables cannot have tethers","---")</f>
        <v>---</v>
      </c>
      <c r="N1449" s="286"/>
      <c r="O1449" s="286"/>
      <c r="P1449" s="286"/>
      <c r="Q1449" s="286"/>
      <c r="R1449" s="286"/>
      <c r="S1449" s="286"/>
      <c r="T1449" s="286"/>
      <c r="U1449" s="287"/>
      <c r="V1449" s="25"/>
      <c r="W1449" s="58"/>
      <c r="X1449" s="58"/>
      <c r="Y1449" s="25"/>
      <c r="Z1449" s="45">
        <v>6</v>
      </c>
      <c r="AA1449" s="65">
        <v>61</v>
      </c>
      <c r="AB1449" s="65">
        <v>72</v>
      </c>
      <c r="AC1449" s="25"/>
      <c r="AD1449" s="25"/>
      <c r="BA1449" s="226"/>
    </row>
    <row r="1450" spans="1:53" ht="15.75" customHeight="1" thickBot="1" x14ac:dyDescent="0.3">
      <c r="A1450" s="88"/>
      <c r="B1450" s="321" t="s">
        <v>260</v>
      </c>
      <c r="C1450" s="293" t="s">
        <v>261</v>
      </c>
      <c r="D1450" s="293" t="s">
        <v>262</v>
      </c>
      <c r="E1450" s="306" t="s">
        <v>263</v>
      </c>
      <c r="F1450" s="293" t="s">
        <v>264</v>
      </c>
      <c r="G1450" s="308" t="s">
        <v>265</v>
      </c>
      <c r="H1450" s="308" t="s">
        <v>266</v>
      </c>
      <c r="I1450" s="308" t="s">
        <v>267</v>
      </c>
      <c r="J1450" s="310" t="s">
        <v>268</v>
      </c>
      <c r="K1450" s="293" t="s">
        <v>269</v>
      </c>
      <c r="L1450" s="279" t="s">
        <v>270</v>
      </c>
      <c r="M1450" s="281" t="s">
        <v>271</v>
      </c>
      <c r="N1450" s="281"/>
      <c r="O1450" s="281"/>
      <c r="P1450" s="281"/>
      <c r="Q1450" s="281"/>
      <c r="R1450" s="281"/>
      <c r="S1450" s="281"/>
      <c r="T1450" s="281"/>
      <c r="U1450" s="282"/>
      <c r="V1450" s="107"/>
      <c r="W1450" s="72"/>
      <c r="X1450" s="72"/>
      <c r="Y1450" s="72"/>
      <c r="Z1450" s="45">
        <v>7</v>
      </c>
      <c r="AA1450" s="65">
        <v>73</v>
      </c>
      <c r="AB1450" s="65">
        <v>84</v>
      </c>
      <c r="AC1450" s="25"/>
      <c r="AD1450" s="25"/>
      <c r="BA1450" s="228"/>
    </row>
    <row r="1451" spans="1:53" ht="15.75" thickBot="1" x14ac:dyDescent="0.3">
      <c r="A1451" s="88"/>
      <c r="B1451" s="322"/>
      <c r="C1451" s="294"/>
      <c r="D1451" s="294"/>
      <c r="E1451" s="307"/>
      <c r="F1451" s="294"/>
      <c r="G1451" s="309"/>
      <c r="H1451" s="309"/>
      <c r="I1451" s="309"/>
      <c r="J1451" s="311"/>
      <c r="K1451" s="294"/>
      <c r="L1451" s="280"/>
      <c r="M1451" s="283"/>
      <c r="N1451" s="283"/>
      <c r="O1451" s="283"/>
      <c r="P1451" s="283"/>
      <c r="Q1451" s="283"/>
      <c r="R1451" s="283"/>
      <c r="S1451" s="283"/>
      <c r="T1451" s="283"/>
      <c r="U1451" s="284"/>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77"/>
      <c r="N1452" s="277"/>
      <c r="O1452" s="277"/>
      <c r="P1452" s="277"/>
      <c r="Q1452" s="277"/>
      <c r="R1452" s="277"/>
      <c r="S1452" s="277"/>
      <c r="T1452" s="277"/>
      <c r="U1452" s="278"/>
      <c r="V1452" s="103"/>
      <c r="W1452" s="72"/>
      <c r="X1452" s="72"/>
      <c r="Y1452" s="72"/>
      <c r="Z1452" s="45">
        <v>9</v>
      </c>
      <c r="AA1452" s="46">
        <v>97</v>
      </c>
      <c r="AB1452" s="46">
        <v>108</v>
      </c>
      <c r="AC1452" s="72">
        <f t="shared" ref="AC1452:AC1476" si="604">IF(B1452&lt;&gt;"FST",1,0)</f>
        <v>1</v>
      </c>
      <c r="AD1452" s="72">
        <f t="shared" ref="AD1452:AD1476" si="605">IF(C1452&lt;&gt;"FST",1,0)</f>
        <v>1</v>
      </c>
      <c r="AE1452" s="109" t="str">
        <f t="shared" ref="AE1452:AE1476" si="606">CONCATENATE(H1452,"-",I1452)</f>
        <v>0-0</v>
      </c>
      <c r="AF1452" s="109" t="str">
        <f t="shared" ref="AF1452:AF1476" si="607">IF(C1452="Field SPL","N","Y")</f>
        <v>Y</v>
      </c>
      <c r="AG1452" s="109" t="str">
        <f t="shared" ref="AG1452:AG1476" si="608">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9">VALUE(IF(C1452="FST","0",IF(C1452="REV T","1",IF(C1452="DBL REV",".5","0"))))</f>
        <v>0</v>
      </c>
      <c r="AN1452" s="109">
        <f t="shared" ref="AN1452:AN1476" si="610">VALUE(IF(C1452="FST","0",IF(C1452="REV T","0",IF(C1452="DBL REV",".5","0"))))</f>
        <v>0</v>
      </c>
      <c r="AO1452" s="109" t="str">
        <f t="shared" ref="AO1452:AO1476" si="611">IF(C1452="TPL REV","Y","")</f>
        <v/>
      </c>
      <c r="AQ1452" s="109" t="str">
        <f t="shared" ref="AQ1452:AQ1476" si="612">IF(C1452="QD REV","Y","")</f>
        <v/>
      </c>
      <c r="BA1452" s="229">
        <f>MOD(E1452,12)</f>
        <v>0</v>
      </c>
    </row>
    <row r="1453" spans="1:53" ht="15.75" thickBot="1" x14ac:dyDescent="0.3">
      <c r="A1453" s="88"/>
      <c r="B1453" s="66" t="s">
        <v>279</v>
      </c>
      <c r="C1453" s="67"/>
      <c r="D1453" s="102"/>
      <c r="E1453" s="32"/>
      <c r="F1453" s="32"/>
      <c r="G1453" s="68" t="s">
        <v>277</v>
      </c>
      <c r="H1453" s="69">
        <f t="shared" ref="H1453:H1476" si="613">IF(E1453=0,0,I1453-(E1453-1))</f>
        <v>0</v>
      </c>
      <c r="I1453" s="70">
        <f t="shared" ref="I1453:I1476" si="614">IF(E1453=0,0,H1452-1)</f>
        <v>0</v>
      </c>
      <c r="J1453" s="73" t="str">
        <f>IF(C1453="","--",IF(AND(C1453&lt;&gt;"FST",C1453&lt;&gt;"TCF",BA1452&lt;&gt;0),BA1452,"--"))</f>
        <v>--</v>
      </c>
      <c r="K1453" s="32"/>
      <c r="L1453" s="233"/>
      <c r="M1453" s="277"/>
      <c r="N1453" s="277"/>
      <c r="O1453" s="277"/>
      <c r="P1453" s="277"/>
      <c r="Q1453" s="277"/>
      <c r="R1453" s="277"/>
      <c r="S1453" s="277"/>
      <c r="T1453" s="277"/>
      <c r="U1453" s="278"/>
      <c r="V1453" s="103"/>
      <c r="W1453" s="72"/>
      <c r="X1453" s="72"/>
      <c r="Y1453" s="72"/>
      <c r="Z1453" s="45">
        <v>10</v>
      </c>
      <c r="AA1453" s="46">
        <v>109</v>
      </c>
      <c r="AB1453" s="46">
        <v>120</v>
      </c>
      <c r="AC1453" s="72">
        <f t="shared" si="604"/>
        <v>1</v>
      </c>
      <c r="AD1453" s="72">
        <f t="shared" si="605"/>
        <v>1</v>
      </c>
      <c r="AE1453" s="109" t="str">
        <f t="shared" si="606"/>
        <v>0-0</v>
      </c>
      <c r="AF1453" s="109" t="str">
        <f t="shared" si="607"/>
        <v>Y</v>
      </c>
      <c r="AG1453" s="109" t="str">
        <f t="shared" si="608"/>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9"/>
        <v>0</v>
      </c>
      <c r="AN1453" s="109">
        <f t="shared" si="610"/>
        <v>0</v>
      </c>
      <c r="AO1453" s="109" t="str">
        <f t="shared" si="611"/>
        <v/>
      </c>
      <c r="AQ1453" s="109" t="str">
        <f t="shared" si="612"/>
        <v/>
      </c>
      <c r="BA1453" s="229">
        <f>MOD(SUM(E1452:E1453),12)</f>
        <v>0</v>
      </c>
    </row>
    <row r="1454" spans="1:53" ht="15.75" thickBot="1" x14ac:dyDescent="0.3">
      <c r="A1454" s="88"/>
      <c r="B1454" s="74" t="s">
        <v>280</v>
      </c>
      <c r="C1454" s="67"/>
      <c r="D1454" s="102"/>
      <c r="E1454" s="32"/>
      <c r="F1454" s="32"/>
      <c r="G1454" s="75" t="s">
        <v>277</v>
      </c>
      <c r="H1454" s="69">
        <f t="shared" si="613"/>
        <v>0</v>
      </c>
      <c r="I1454" s="70">
        <f t="shared" si="614"/>
        <v>0</v>
      </c>
      <c r="J1454" s="73" t="str">
        <f t="shared" ref="J1454:J1476" si="615">IF(C1454="","--",IF(AND(C1454&lt;&gt;"FST",C1454&lt;&gt;"TCF",BA1453&lt;&gt;0),BA1453,"--"))</f>
        <v>--</v>
      </c>
      <c r="K1454" s="32"/>
      <c r="L1454" s="233"/>
      <c r="M1454" s="277"/>
      <c r="N1454" s="277"/>
      <c r="O1454" s="277"/>
      <c r="P1454" s="277"/>
      <c r="Q1454" s="277"/>
      <c r="R1454" s="277"/>
      <c r="S1454" s="277"/>
      <c r="T1454" s="277"/>
      <c r="U1454" s="278"/>
      <c r="V1454" s="103"/>
      <c r="W1454" s="72"/>
      <c r="X1454" s="72"/>
      <c r="Y1454" s="72"/>
      <c r="Z1454" s="45">
        <v>11</v>
      </c>
      <c r="AA1454" s="46">
        <v>121</v>
      </c>
      <c r="AB1454" s="46">
        <v>132</v>
      </c>
      <c r="AC1454" s="72">
        <f t="shared" si="604"/>
        <v>1</v>
      </c>
      <c r="AD1454" s="72">
        <f t="shared" si="605"/>
        <v>1</v>
      </c>
      <c r="AE1454" s="109" t="str">
        <f t="shared" si="606"/>
        <v>0-0</v>
      </c>
      <c r="AF1454" s="109" t="str">
        <f t="shared" si="607"/>
        <v>Y</v>
      </c>
      <c r="AG1454" s="109" t="str">
        <f t="shared" si="608"/>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9"/>
        <v>0</v>
      </c>
      <c r="AN1454" s="109">
        <f t="shared" si="610"/>
        <v>0</v>
      </c>
      <c r="AO1454" s="109" t="str">
        <f t="shared" si="611"/>
        <v/>
      </c>
      <c r="AQ1454" s="109" t="str">
        <f t="shared" si="612"/>
        <v/>
      </c>
      <c r="BA1454" s="229">
        <f>MOD(SUM(E1452:E1455),12)</f>
        <v>0</v>
      </c>
    </row>
    <row r="1455" spans="1:53" ht="15.75" thickBot="1" x14ac:dyDescent="0.3">
      <c r="A1455" s="88"/>
      <c r="B1455" s="66" t="s">
        <v>281</v>
      </c>
      <c r="C1455" s="67"/>
      <c r="D1455" s="102"/>
      <c r="E1455" s="32"/>
      <c r="F1455" s="32"/>
      <c r="G1455" s="68" t="s">
        <v>277</v>
      </c>
      <c r="H1455" s="69">
        <f t="shared" si="613"/>
        <v>0</v>
      </c>
      <c r="I1455" s="70">
        <f t="shared" si="614"/>
        <v>0</v>
      </c>
      <c r="J1455" s="73" t="str">
        <f t="shared" si="615"/>
        <v>--</v>
      </c>
      <c r="K1455" s="32"/>
      <c r="L1455" s="233"/>
      <c r="M1455" s="277"/>
      <c r="N1455" s="277"/>
      <c r="O1455" s="277"/>
      <c r="P1455" s="277"/>
      <c r="Q1455" s="277"/>
      <c r="R1455" s="277"/>
      <c r="S1455" s="277"/>
      <c r="T1455" s="277"/>
      <c r="U1455" s="278"/>
      <c r="V1455" s="103"/>
      <c r="W1455" s="72"/>
      <c r="X1455" s="72"/>
      <c r="Y1455" s="72"/>
      <c r="Z1455" s="45">
        <v>12</v>
      </c>
      <c r="AA1455" s="76">
        <v>133</v>
      </c>
      <c r="AB1455" s="76">
        <v>144</v>
      </c>
      <c r="AC1455" s="72">
        <f t="shared" si="604"/>
        <v>1</v>
      </c>
      <c r="AD1455" s="72">
        <f t="shared" si="605"/>
        <v>1</v>
      </c>
      <c r="AE1455" s="109" t="str">
        <f t="shared" si="606"/>
        <v>0-0</v>
      </c>
      <c r="AF1455" s="109" t="str">
        <f t="shared" si="607"/>
        <v>Y</v>
      </c>
      <c r="AG1455" s="109" t="str">
        <f t="shared" si="608"/>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9"/>
        <v>0</v>
      </c>
      <c r="AN1455" s="109">
        <f t="shared" si="610"/>
        <v>0</v>
      </c>
      <c r="AO1455" s="109" t="str">
        <f t="shared" si="611"/>
        <v/>
      </c>
      <c r="AQ1455" s="109" t="str">
        <f t="shared" si="612"/>
        <v/>
      </c>
      <c r="BA1455" s="229">
        <f>MOD(SUM(E1452:E1456),12)</f>
        <v>0</v>
      </c>
    </row>
    <row r="1456" spans="1:53" ht="15.75" thickBot="1" x14ac:dyDescent="0.3">
      <c r="A1456" s="88"/>
      <c r="B1456" s="66" t="s">
        <v>282</v>
      </c>
      <c r="C1456" s="67"/>
      <c r="D1456" s="102"/>
      <c r="E1456" s="32"/>
      <c r="F1456" s="32"/>
      <c r="G1456" s="68" t="s">
        <v>277</v>
      </c>
      <c r="H1456" s="69">
        <f t="shared" si="613"/>
        <v>0</v>
      </c>
      <c r="I1456" s="70">
        <f t="shared" si="614"/>
        <v>0</v>
      </c>
      <c r="J1456" s="73" t="str">
        <f t="shared" si="615"/>
        <v>--</v>
      </c>
      <c r="K1456" s="32"/>
      <c r="L1456" s="233"/>
      <c r="M1456" s="277"/>
      <c r="N1456" s="277"/>
      <c r="O1456" s="277"/>
      <c r="P1456" s="277"/>
      <c r="Q1456" s="277"/>
      <c r="R1456" s="277"/>
      <c r="S1456" s="277"/>
      <c r="T1456" s="277"/>
      <c r="U1456" s="278"/>
      <c r="V1456" s="103"/>
      <c r="W1456" s="72"/>
      <c r="X1456" s="72"/>
      <c r="Y1456" s="72"/>
      <c r="Z1456" s="45">
        <v>13</v>
      </c>
      <c r="AA1456" s="77">
        <f t="shared" ref="AA1456:AA1461" si="616">AB1455+1</f>
        <v>145</v>
      </c>
      <c r="AB1456" s="77">
        <f t="shared" ref="AB1456:AB1461" si="617">AB1455+12</f>
        <v>156</v>
      </c>
      <c r="AC1456" s="72">
        <f t="shared" si="604"/>
        <v>1</v>
      </c>
      <c r="AD1456" s="72">
        <f t="shared" si="605"/>
        <v>1</v>
      </c>
      <c r="AE1456" s="109" t="str">
        <f t="shared" si="606"/>
        <v>0-0</v>
      </c>
      <c r="AF1456" s="109" t="str">
        <f t="shared" si="607"/>
        <v>Y</v>
      </c>
      <c r="AG1456" s="109" t="str">
        <f t="shared" si="608"/>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9"/>
        <v>0</v>
      </c>
      <c r="AN1456" s="109">
        <f t="shared" si="610"/>
        <v>0</v>
      </c>
      <c r="AO1456" s="109" t="str">
        <f t="shared" si="611"/>
        <v/>
      </c>
      <c r="AQ1456" s="109" t="str">
        <f t="shared" si="612"/>
        <v/>
      </c>
      <c r="BA1456" s="229">
        <f>MOD(SUM(E1452:E1457),12)</f>
        <v>0</v>
      </c>
    </row>
    <row r="1457" spans="1:53" ht="15.75" thickBot="1" x14ac:dyDescent="0.3">
      <c r="A1457" s="88"/>
      <c r="B1457" s="66" t="s">
        <v>283</v>
      </c>
      <c r="C1457" s="67"/>
      <c r="D1457" s="102"/>
      <c r="E1457" s="32"/>
      <c r="F1457" s="32"/>
      <c r="G1457" s="68" t="s">
        <v>277</v>
      </c>
      <c r="H1457" s="69">
        <f t="shared" si="613"/>
        <v>0</v>
      </c>
      <c r="I1457" s="70">
        <f t="shared" si="614"/>
        <v>0</v>
      </c>
      <c r="J1457" s="73" t="str">
        <f t="shared" si="615"/>
        <v>--</v>
      </c>
      <c r="K1457" s="32"/>
      <c r="L1457" s="233"/>
      <c r="M1457" s="277"/>
      <c r="N1457" s="277"/>
      <c r="O1457" s="277"/>
      <c r="P1457" s="277"/>
      <c r="Q1457" s="277"/>
      <c r="R1457" s="277"/>
      <c r="S1457" s="277"/>
      <c r="T1457" s="277"/>
      <c r="U1457" s="278"/>
      <c r="V1457" s="103"/>
      <c r="W1457" s="72"/>
      <c r="X1457" s="72"/>
      <c r="Y1457" s="72"/>
      <c r="Z1457" s="45">
        <v>14</v>
      </c>
      <c r="AA1457" s="77">
        <f t="shared" si="616"/>
        <v>157</v>
      </c>
      <c r="AB1457" s="77">
        <f t="shared" si="617"/>
        <v>168</v>
      </c>
      <c r="AC1457" s="72">
        <f t="shared" si="604"/>
        <v>1</v>
      </c>
      <c r="AD1457" s="72">
        <f t="shared" si="605"/>
        <v>1</v>
      </c>
      <c r="AE1457" s="109" t="str">
        <f t="shared" si="606"/>
        <v>0-0</v>
      </c>
      <c r="AF1457" s="109" t="str">
        <f t="shared" si="607"/>
        <v>Y</v>
      </c>
      <c r="AG1457" s="109" t="str">
        <f t="shared" si="608"/>
        <v>B</v>
      </c>
      <c r="AM1457" s="109">
        <f t="shared" si="609"/>
        <v>0</v>
      </c>
      <c r="AN1457" s="109">
        <f t="shared" si="610"/>
        <v>0</v>
      </c>
      <c r="AO1457" s="109" t="str">
        <f t="shared" si="611"/>
        <v/>
      </c>
      <c r="AQ1457" s="109" t="str">
        <f t="shared" si="612"/>
        <v/>
      </c>
      <c r="BA1457" s="229">
        <f>MOD(SUM(E1452:E1458),12)</f>
        <v>0</v>
      </c>
    </row>
    <row r="1458" spans="1:53" ht="15.75" thickBot="1" x14ac:dyDescent="0.3">
      <c r="A1458" s="88"/>
      <c r="B1458" s="66" t="s">
        <v>284</v>
      </c>
      <c r="C1458" s="67"/>
      <c r="D1458" s="102"/>
      <c r="E1458" s="32"/>
      <c r="F1458" s="32"/>
      <c r="G1458" s="68" t="s">
        <v>277</v>
      </c>
      <c r="H1458" s="69">
        <f t="shared" si="613"/>
        <v>0</v>
      </c>
      <c r="I1458" s="70">
        <f t="shared" si="614"/>
        <v>0</v>
      </c>
      <c r="J1458" s="73" t="str">
        <f t="shared" si="615"/>
        <v>--</v>
      </c>
      <c r="K1458" s="32"/>
      <c r="L1458" s="233"/>
      <c r="M1458" s="277"/>
      <c r="N1458" s="277"/>
      <c r="O1458" s="277"/>
      <c r="P1458" s="277"/>
      <c r="Q1458" s="277"/>
      <c r="R1458" s="277"/>
      <c r="S1458" s="277"/>
      <c r="T1458" s="277"/>
      <c r="U1458" s="278"/>
      <c r="V1458" s="103"/>
      <c r="W1458" s="72"/>
      <c r="X1458" s="72"/>
      <c r="Y1458" s="72"/>
      <c r="Z1458" s="45">
        <v>15</v>
      </c>
      <c r="AA1458" s="77">
        <f t="shared" si="616"/>
        <v>169</v>
      </c>
      <c r="AB1458" s="77">
        <f t="shared" si="617"/>
        <v>180</v>
      </c>
      <c r="AC1458" s="72">
        <f t="shared" si="604"/>
        <v>1</v>
      </c>
      <c r="AD1458" s="72">
        <f t="shared" si="605"/>
        <v>1</v>
      </c>
      <c r="AE1458" s="109" t="str">
        <f t="shared" si="606"/>
        <v>0-0</v>
      </c>
      <c r="AF1458" s="109" t="str">
        <f t="shared" si="607"/>
        <v>Y</v>
      </c>
      <c r="AG1458" s="109" t="str">
        <f t="shared" si="608"/>
        <v>B</v>
      </c>
      <c r="AM1458" s="109">
        <f t="shared" si="609"/>
        <v>0</v>
      </c>
      <c r="AN1458" s="109">
        <f t="shared" si="610"/>
        <v>0</v>
      </c>
      <c r="AO1458" s="109" t="str">
        <f t="shared" si="611"/>
        <v/>
      </c>
      <c r="AQ1458" s="109" t="str">
        <f t="shared" si="612"/>
        <v/>
      </c>
      <c r="BA1458" s="229">
        <f>MOD(SUM(E1452:E1459),12)</f>
        <v>0</v>
      </c>
    </row>
    <row r="1459" spans="1:53" ht="15.75" thickBot="1" x14ac:dyDescent="0.3">
      <c r="A1459" s="88"/>
      <c r="B1459" s="66" t="s">
        <v>285</v>
      </c>
      <c r="C1459" s="67"/>
      <c r="D1459" s="102"/>
      <c r="E1459" s="32"/>
      <c r="F1459" s="32"/>
      <c r="G1459" s="68" t="s">
        <v>277</v>
      </c>
      <c r="H1459" s="69">
        <f t="shared" si="613"/>
        <v>0</v>
      </c>
      <c r="I1459" s="70">
        <f t="shared" si="614"/>
        <v>0</v>
      </c>
      <c r="J1459" s="73" t="str">
        <f t="shared" si="615"/>
        <v>--</v>
      </c>
      <c r="K1459" s="32"/>
      <c r="L1459" s="233"/>
      <c r="M1459" s="277"/>
      <c r="N1459" s="277"/>
      <c r="O1459" s="277"/>
      <c r="P1459" s="277"/>
      <c r="Q1459" s="277"/>
      <c r="R1459" s="277"/>
      <c r="S1459" s="277"/>
      <c r="T1459" s="277"/>
      <c r="U1459" s="278"/>
      <c r="V1459" s="103"/>
      <c r="W1459" s="72"/>
      <c r="X1459" s="72"/>
      <c r="Y1459" s="72"/>
      <c r="Z1459" s="45">
        <f>Z1458+1</f>
        <v>16</v>
      </c>
      <c r="AA1459" s="77">
        <f t="shared" si="616"/>
        <v>181</v>
      </c>
      <c r="AB1459" s="77">
        <f t="shared" si="617"/>
        <v>192</v>
      </c>
      <c r="AC1459" s="72">
        <f t="shared" si="604"/>
        <v>1</v>
      </c>
      <c r="AD1459" s="72">
        <f t="shared" si="605"/>
        <v>1</v>
      </c>
      <c r="AE1459" s="109" t="str">
        <f t="shared" si="606"/>
        <v>0-0</v>
      </c>
      <c r="AF1459" s="109" t="str">
        <f t="shared" si="607"/>
        <v>Y</v>
      </c>
      <c r="AG1459" s="109" t="str">
        <f t="shared" si="608"/>
        <v>B</v>
      </c>
      <c r="AM1459" s="109">
        <f t="shared" si="609"/>
        <v>0</v>
      </c>
      <c r="AN1459" s="109">
        <f t="shared" si="610"/>
        <v>0</v>
      </c>
      <c r="AO1459" s="109" t="str">
        <f t="shared" si="611"/>
        <v/>
      </c>
      <c r="AQ1459" s="109" t="str">
        <f t="shared" si="612"/>
        <v/>
      </c>
      <c r="BA1459" s="229">
        <f>MOD(SUM(E1452:E1460),12)</f>
        <v>0</v>
      </c>
    </row>
    <row r="1460" spans="1:53" ht="15.75" thickBot="1" x14ac:dyDescent="0.3">
      <c r="A1460" s="88"/>
      <c r="B1460" s="66" t="s">
        <v>286</v>
      </c>
      <c r="C1460" s="67"/>
      <c r="D1460" s="102"/>
      <c r="E1460" s="32"/>
      <c r="F1460" s="32"/>
      <c r="G1460" s="68" t="s">
        <v>277</v>
      </c>
      <c r="H1460" s="69">
        <f t="shared" si="613"/>
        <v>0</v>
      </c>
      <c r="I1460" s="70">
        <f t="shared" si="614"/>
        <v>0</v>
      </c>
      <c r="J1460" s="73" t="str">
        <f t="shared" si="615"/>
        <v>--</v>
      </c>
      <c r="K1460" s="32"/>
      <c r="L1460" s="233"/>
      <c r="M1460" s="277"/>
      <c r="N1460" s="277"/>
      <c r="O1460" s="277"/>
      <c r="P1460" s="277"/>
      <c r="Q1460" s="277"/>
      <c r="R1460" s="277"/>
      <c r="S1460" s="277"/>
      <c r="T1460" s="277"/>
      <c r="U1460" s="278"/>
      <c r="V1460" s="103"/>
      <c r="W1460" s="72"/>
      <c r="X1460" s="72"/>
      <c r="Y1460" s="72"/>
      <c r="Z1460" s="45">
        <f>Z1459+1</f>
        <v>17</v>
      </c>
      <c r="AA1460" s="77">
        <f t="shared" si="616"/>
        <v>193</v>
      </c>
      <c r="AB1460" s="77">
        <f t="shared" si="617"/>
        <v>204</v>
      </c>
      <c r="AC1460" s="72">
        <f t="shared" si="604"/>
        <v>1</v>
      </c>
      <c r="AD1460" s="72">
        <f t="shared" si="605"/>
        <v>1</v>
      </c>
      <c r="AE1460" s="109" t="str">
        <f t="shared" si="606"/>
        <v>0-0</v>
      </c>
      <c r="AF1460" s="109" t="str">
        <f t="shared" si="607"/>
        <v>Y</v>
      </c>
      <c r="AG1460" s="109" t="str">
        <f t="shared" si="608"/>
        <v>B</v>
      </c>
      <c r="AM1460" s="109">
        <f t="shared" si="609"/>
        <v>0</v>
      </c>
      <c r="AN1460" s="109">
        <f t="shared" si="610"/>
        <v>0</v>
      </c>
      <c r="AO1460" s="109" t="str">
        <f t="shared" si="611"/>
        <v/>
      </c>
      <c r="AQ1460" s="109" t="str">
        <f t="shared" si="612"/>
        <v/>
      </c>
      <c r="BA1460" s="229">
        <f>MOD(SUM(E1452:E1461),12)</f>
        <v>0</v>
      </c>
    </row>
    <row r="1461" spans="1:53" ht="15.75" thickBot="1" x14ac:dyDescent="0.3">
      <c r="A1461" s="88"/>
      <c r="B1461" s="66" t="s">
        <v>287</v>
      </c>
      <c r="C1461" s="67"/>
      <c r="D1461" s="102"/>
      <c r="E1461" s="32"/>
      <c r="F1461" s="32"/>
      <c r="G1461" s="68" t="s">
        <v>277</v>
      </c>
      <c r="H1461" s="69">
        <f t="shared" si="613"/>
        <v>0</v>
      </c>
      <c r="I1461" s="70">
        <f t="shared" si="614"/>
        <v>0</v>
      </c>
      <c r="J1461" s="73" t="str">
        <f t="shared" si="615"/>
        <v>--</v>
      </c>
      <c r="K1461" s="32"/>
      <c r="L1461" s="233"/>
      <c r="M1461" s="277"/>
      <c r="N1461" s="277"/>
      <c r="O1461" s="277"/>
      <c r="P1461" s="277"/>
      <c r="Q1461" s="277"/>
      <c r="R1461" s="277"/>
      <c r="S1461" s="277"/>
      <c r="T1461" s="277"/>
      <c r="U1461" s="278"/>
      <c r="V1461" s="103"/>
      <c r="W1461" s="72"/>
      <c r="X1461" s="72"/>
      <c r="Y1461" s="72"/>
      <c r="Z1461" s="45">
        <f>Z1460+1</f>
        <v>18</v>
      </c>
      <c r="AA1461" s="77">
        <f t="shared" si="616"/>
        <v>205</v>
      </c>
      <c r="AB1461" s="77">
        <f t="shared" si="617"/>
        <v>216</v>
      </c>
      <c r="AC1461" s="72">
        <f t="shared" si="604"/>
        <v>1</v>
      </c>
      <c r="AD1461" s="72">
        <f t="shared" si="605"/>
        <v>1</v>
      </c>
      <c r="AE1461" s="109" t="str">
        <f t="shared" si="606"/>
        <v>0-0</v>
      </c>
      <c r="AF1461" s="109" t="str">
        <f t="shared" si="607"/>
        <v>Y</v>
      </c>
      <c r="AG1461" s="109" t="str">
        <f t="shared" si="608"/>
        <v>B</v>
      </c>
      <c r="AM1461" s="109">
        <f t="shared" si="609"/>
        <v>0</v>
      </c>
      <c r="AN1461" s="109">
        <f t="shared" si="610"/>
        <v>0</v>
      </c>
      <c r="AO1461" s="109" t="str">
        <f t="shared" si="611"/>
        <v/>
      </c>
      <c r="AQ1461" s="109" t="str">
        <f t="shared" si="612"/>
        <v/>
      </c>
      <c r="BA1461" s="229">
        <f>MOD(SUM(E1452:E1462),12)</f>
        <v>0</v>
      </c>
    </row>
    <row r="1462" spans="1:53" ht="15.75" thickBot="1" x14ac:dyDescent="0.3">
      <c r="A1462" s="88"/>
      <c r="B1462" s="66" t="s">
        <v>288</v>
      </c>
      <c r="C1462" s="67"/>
      <c r="D1462" s="102"/>
      <c r="E1462" s="32"/>
      <c r="F1462" s="32"/>
      <c r="G1462" s="68" t="s">
        <v>277</v>
      </c>
      <c r="H1462" s="69">
        <f t="shared" si="613"/>
        <v>0</v>
      </c>
      <c r="I1462" s="70">
        <f t="shared" si="614"/>
        <v>0</v>
      </c>
      <c r="J1462" s="73" t="str">
        <f t="shared" si="615"/>
        <v>--</v>
      </c>
      <c r="K1462" s="32"/>
      <c r="L1462" s="233"/>
      <c r="M1462" s="277"/>
      <c r="N1462" s="277"/>
      <c r="O1462" s="277"/>
      <c r="P1462" s="277"/>
      <c r="Q1462" s="277"/>
      <c r="R1462" s="277"/>
      <c r="S1462" s="277"/>
      <c r="T1462" s="277"/>
      <c r="U1462" s="278"/>
      <c r="V1462" s="103"/>
      <c r="W1462" s="84"/>
      <c r="X1462" s="84"/>
      <c r="Y1462" s="72"/>
      <c r="Z1462" s="72"/>
      <c r="AA1462" s="72"/>
      <c r="AB1462" s="72"/>
      <c r="AC1462" s="72">
        <f t="shared" si="604"/>
        <v>1</v>
      </c>
      <c r="AD1462" s="72">
        <f t="shared" si="605"/>
        <v>1</v>
      </c>
      <c r="AE1462" s="109" t="str">
        <f t="shared" si="606"/>
        <v>0-0</v>
      </c>
      <c r="AF1462" s="109" t="str">
        <f t="shared" si="607"/>
        <v>Y</v>
      </c>
      <c r="AG1462" s="109" t="str">
        <f t="shared" si="608"/>
        <v>B</v>
      </c>
      <c r="AM1462" s="109">
        <f t="shared" si="609"/>
        <v>0</v>
      </c>
      <c r="AN1462" s="109">
        <f t="shared" si="610"/>
        <v>0</v>
      </c>
      <c r="AO1462" s="109" t="str">
        <f t="shared" si="611"/>
        <v/>
      </c>
      <c r="AQ1462" s="109" t="str">
        <f t="shared" si="612"/>
        <v/>
      </c>
      <c r="BA1462" s="229">
        <f>MOD(SUM(E1452:E1463),12)</f>
        <v>0</v>
      </c>
    </row>
    <row r="1463" spans="1:53" ht="15.75" thickBot="1" x14ac:dyDescent="0.3">
      <c r="A1463" s="88"/>
      <c r="B1463" s="66" t="s">
        <v>289</v>
      </c>
      <c r="C1463" s="67"/>
      <c r="D1463" s="102"/>
      <c r="E1463" s="32"/>
      <c r="F1463" s="32"/>
      <c r="G1463" s="68" t="s">
        <v>277</v>
      </c>
      <c r="H1463" s="69">
        <f t="shared" si="613"/>
        <v>0</v>
      </c>
      <c r="I1463" s="70">
        <f t="shared" si="614"/>
        <v>0</v>
      </c>
      <c r="J1463" s="73" t="str">
        <f t="shared" si="615"/>
        <v>--</v>
      </c>
      <c r="K1463" s="32"/>
      <c r="L1463" s="233"/>
      <c r="M1463" s="277"/>
      <c r="N1463" s="277"/>
      <c r="O1463" s="277"/>
      <c r="P1463" s="277"/>
      <c r="Q1463" s="277"/>
      <c r="R1463" s="277"/>
      <c r="S1463" s="277"/>
      <c r="T1463" s="277"/>
      <c r="U1463" s="278"/>
      <c r="V1463" s="103"/>
      <c r="W1463" s="84">
        <f>Y1463+1</f>
        <v>1</v>
      </c>
      <c r="X1463" s="84"/>
      <c r="Y1463" s="78">
        <f>SUM(E1452:E1463)</f>
        <v>0</v>
      </c>
      <c r="Z1463" s="72"/>
      <c r="AA1463" s="72"/>
      <c r="AB1463" s="72"/>
      <c r="AC1463" s="72">
        <f t="shared" si="604"/>
        <v>1</v>
      </c>
      <c r="AD1463" s="72">
        <f t="shared" si="605"/>
        <v>1</v>
      </c>
      <c r="AE1463" s="109" t="str">
        <f t="shared" si="606"/>
        <v>0-0</v>
      </c>
      <c r="AF1463" s="109" t="str">
        <f t="shared" si="607"/>
        <v>Y</v>
      </c>
      <c r="AG1463" s="109" t="str">
        <f t="shared" si="608"/>
        <v>B</v>
      </c>
      <c r="AM1463" s="109">
        <f t="shared" si="609"/>
        <v>0</v>
      </c>
      <c r="AN1463" s="109">
        <f t="shared" si="610"/>
        <v>0</v>
      </c>
      <c r="AO1463" s="109" t="str">
        <f t="shared" si="611"/>
        <v/>
      </c>
      <c r="AQ1463" s="109" t="str">
        <f t="shared" si="612"/>
        <v/>
      </c>
      <c r="BA1463" s="229">
        <f>MOD(SUM(E1452:E1464),12)</f>
        <v>0</v>
      </c>
    </row>
    <row r="1464" spans="1:53" ht="15.75" thickBot="1" x14ac:dyDescent="0.3">
      <c r="A1464" s="88"/>
      <c r="B1464" s="66" t="s">
        <v>290</v>
      </c>
      <c r="C1464" s="67"/>
      <c r="D1464" s="102"/>
      <c r="E1464" s="32"/>
      <c r="F1464" s="32"/>
      <c r="G1464" s="68" t="s">
        <v>277</v>
      </c>
      <c r="H1464" s="69">
        <f t="shared" si="613"/>
        <v>0</v>
      </c>
      <c r="I1464" s="70">
        <f t="shared" si="614"/>
        <v>0</v>
      </c>
      <c r="J1464" s="73" t="str">
        <f t="shared" si="615"/>
        <v>--</v>
      </c>
      <c r="K1464" s="32"/>
      <c r="L1464" s="233"/>
      <c r="M1464" s="277"/>
      <c r="N1464" s="277"/>
      <c r="O1464" s="277"/>
      <c r="P1464" s="277"/>
      <c r="Q1464" s="277"/>
      <c r="R1464" s="277"/>
      <c r="S1464" s="277"/>
      <c r="T1464" s="277"/>
      <c r="U1464" s="278"/>
      <c r="V1464" s="103"/>
      <c r="W1464" s="84">
        <f>Y1464+1</f>
        <v>1</v>
      </c>
      <c r="X1464" s="84"/>
      <c r="Y1464" s="78">
        <f>SUM(E1452:E1464)</f>
        <v>0</v>
      </c>
      <c r="Z1464" s="72" t="str">
        <f t="shared" ref="Z1464:Z1476" si="618">IF(OR(AND(E$8=216,C1463="DBL REV",C1464="DBL REV",Y1463&lt;=144,Y1464&gt;144),AND(E$8=216,C1463="TPL REV",C1464="TPL REV",Y1463&lt;=144,Y1464&gt;144),AND(E$8=216,C1463="QD REV",C1464="QD REV",Y1463&lt;=144,Y1464&gt;144)),"ERROR","")</f>
        <v/>
      </c>
      <c r="AA1464" s="72"/>
      <c r="AB1464" s="72"/>
      <c r="AC1464" s="72">
        <f t="shared" si="604"/>
        <v>1</v>
      </c>
      <c r="AD1464" s="72">
        <f t="shared" si="605"/>
        <v>1</v>
      </c>
      <c r="AE1464" s="109" t="str">
        <f t="shared" si="606"/>
        <v>0-0</v>
      </c>
      <c r="AF1464" s="109" t="str">
        <f t="shared" si="607"/>
        <v>Y</v>
      </c>
      <c r="AG1464" s="109" t="str">
        <f t="shared" si="608"/>
        <v>B</v>
      </c>
      <c r="AM1464" s="109">
        <f t="shared" si="609"/>
        <v>0</v>
      </c>
      <c r="AN1464" s="109">
        <f t="shared" si="610"/>
        <v>0</v>
      </c>
      <c r="AO1464" s="109" t="str">
        <f t="shared" si="611"/>
        <v/>
      </c>
      <c r="AQ1464" s="109" t="str">
        <f t="shared" si="612"/>
        <v/>
      </c>
      <c r="BA1464" s="229">
        <f>MOD(SUM(E1452:E1465),12)</f>
        <v>0</v>
      </c>
    </row>
    <row r="1465" spans="1:53" ht="15.75" thickBot="1" x14ac:dyDescent="0.3">
      <c r="A1465" s="88"/>
      <c r="B1465" s="66" t="s">
        <v>291</v>
      </c>
      <c r="C1465" s="67"/>
      <c r="D1465" s="102"/>
      <c r="E1465" s="32"/>
      <c r="F1465" s="32"/>
      <c r="G1465" s="68" t="s">
        <v>277</v>
      </c>
      <c r="H1465" s="69">
        <f t="shared" si="613"/>
        <v>0</v>
      </c>
      <c r="I1465" s="70">
        <f t="shared" si="614"/>
        <v>0</v>
      </c>
      <c r="J1465" s="73" t="str">
        <f t="shared" si="615"/>
        <v>--</v>
      </c>
      <c r="K1465" s="32"/>
      <c r="L1465" s="233"/>
      <c r="M1465" s="277"/>
      <c r="N1465" s="277"/>
      <c r="O1465" s="277"/>
      <c r="P1465" s="277"/>
      <c r="Q1465" s="277"/>
      <c r="R1465" s="277"/>
      <c r="S1465" s="277"/>
      <c r="T1465" s="277"/>
      <c r="U1465" s="278"/>
      <c r="V1465" s="103"/>
      <c r="W1465" s="84">
        <f>Y1465+1</f>
        <v>1</v>
      </c>
      <c r="X1465" s="84"/>
      <c r="Y1465" s="78">
        <f>SUM(E1452:E1465)</f>
        <v>0</v>
      </c>
      <c r="Z1465" s="72" t="str">
        <f t="shared" si="618"/>
        <v/>
      </c>
      <c r="AA1465" s="72"/>
      <c r="AB1465" s="72"/>
      <c r="AC1465" s="72">
        <f t="shared" si="604"/>
        <v>1</v>
      </c>
      <c r="AD1465" s="72">
        <f t="shared" si="605"/>
        <v>1</v>
      </c>
      <c r="AE1465" s="109" t="str">
        <f t="shared" si="606"/>
        <v>0-0</v>
      </c>
      <c r="AF1465" s="109" t="str">
        <f t="shared" si="607"/>
        <v>Y</v>
      </c>
      <c r="AG1465" s="109" t="str">
        <f t="shared" si="608"/>
        <v>B</v>
      </c>
      <c r="AM1465" s="109">
        <f t="shared" si="609"/>
        <v>0</v>
      </c>
      <c r="AN1465" s="109">
        <f t="shared" si="610"/>
        <v>0</v>
      </c>
      <c r="AO1465" s="109" t="str">
        <f t="shared" si="611"/>
        <v/>
      </c>
      <c r="AQ1465" s="109" t="str">
        <f t="shared" si="612"/>
        <v/>
      </c>
      <c r="BA1465" s="229">
        <f>MOD(SUM(E1452:E1466),12)</f>
        <v>0</v>
      </c>
    </row>
    <row r="1466" spans="1:53" ht="15.75" thickBot="1" x14ac:dyDescent="0.3">
      <c r="A1466" s="88"/>
      <c r="B1466" s="66" t="s">
        <v>292</v>
      </c>
      <c r="C1466" s="67"/>
      <c r="D1466" s="102"/>
      <c r="E1466" s="32"/>
      <c r="F1466" s="32"/>
      <c r="G1466" s="68" t="s">
        <v>277</v>
      </c>
      <c r="H1466" s="69">
        <f t="shared" si="613"/>
        <v>0</v>
      </c>
      <c r="I1466" s="70">
        <f t="shared" si="614"/>
        <v>0</v>
      </c>
      <c r="J1466" s="73" t="str">
        <f t="shared" si="615"/>
        <v>--</v>
      </c>
      <c r="K1466" s="32"/>
      <c r="L1466" s="233"/>
      <c r="M1466" s="277"/>
      <c r="N1466" s="277"/>
      <c r="O1466" s="277"/>
      <c r="P1466" s="277"/>
      <c r="Q1466" s="277"/>
      <c r="R1466" s="277"/>
      <c r="S1466" s="277"/>
      <c r="T1466" s="277"/>
      <c r="U1466" s="278"/>
      <c r="V1466" s="103"/>
      <c r="W1466" s="84">
        <f>Y1466+1</f>
        <v>1</v>
      </c>
      <c r="X1466" s="84"/>
      <c r="Y1466" s="78">
        <f>SUM(E1452:E1466)</f>
        <v>0</v>
      </c>
      <c r="Z1466" s="72" t="str">
        <f t="shared" si="618"/>
        <v/>
      </c>
      <c r="AA1466" s="72" t="str">
        <f t="shared" ref="AA1466:AA1478" si="619">IF(AND(C1464&lt;&gt;"Field SPL",W1463&lt;=144,Y1464&gt;144),"ERROR","")</f>
        <v/>
      </c>
      <c r="AB1466" s="72"/>
      <c r="AC1466" s="72">
        <f t="shared" si="604"/>
        <v>1</v>
      </c>
      <c r="AD1466" s="72">
        <f t="shared" si="605"/>
        <v>1</v>
      </c>
      <c r="AE1466" s="109" t="str">
        <f t="shared" si="606"/>
        <v>0-0</v>
      </c>
      <c r="AF1466" s="109" t="str">
        <f t="shared" si="607"/>
        <v>Y</v>
      </c>
      <c r="AG1466" s="109" t="str">
        <f t="shared" si="608"/>
        <v>B</v>
      </c>
      <c r="AM1466" s="109">
        <f t="shared" si="609"/>
        <v>0</v>
      </c>
      <c r="AN1466" s="109">
        <f t="shared" si="610"/>
        <v>0</v>
      </c>
      <c r="AO1466" s="109" t="str">
        <f t="shared" si="611"/>
        <v/>
      </c>
      <c r="AQ1466" s="109" t="str">
        <f t="shared" si="612"/>
        <v/>
      </c>
      <c r="BA1466" s="229">
        <f>MOD(SUM(E1452:E1467),12)</f>
        <v>0</v>
      </c>
    </row>
    <row r="1467" spans="1:53" ht="15.75" thickBot="1" x14ac:dyDescent="0.3">
      <c r="A1467" s="88"/>
      <c r="B1467" s="66" t="s">
        <v>293</v>
      </c>
      <c r="C1467" s="67"/>
      <c r="D1467" s="102"/>
      <c r="E1467" s="32"/>
      <c r="F1467" s="32"/>
      <c r="G1467" s="68" t="s">
        <v>277</v>
      </c>
      <c r="H1467" s="69">
        <f t="shared" si="613"/>
        <v>0</v>
      </c>
      <c r="I1467" s="70">
        <f t="shared" si="614"/>
        <v>0</v>
      </c>
      <c r="J1467" s="73" t="str">
        <f t="shared" si="615"/>
        <v>--</v>
      </c>
      <c r="K1467" s="32"/>
      <c r="L1467" s="233"/>
      <c r="M1467" s="277"/>
      <c r="N1467" s="277"/>
      <c r="O1467" s="277"/>
      <c r="P1467" s="277"/>
      <c r="Q1467" s="277"/>
      <c r="R1467" s="277"/>
      <c r="S1467" s="277"/>
      <c r="T1467" s="277"/>
      <c r="U1467" s="278"/>
      <c r="V1467" s="103"/>
      <c r="W1467" s="84">
        <f t="shared" ref="W1467:W1475" si="620">Y1467+1</f>
        <v>1</v>
      </c>
      <c r="X1467" s="84"/>
      <c r="Y1467" s="78">
        <f>SUM(E1452:E1467)</f>
        <v>0</v>
      </c>
      <c r="Z1467" s="72" t="str">
        <f t="shared" si="618"/>
        <v/>
      </c>
      <c r="AA1467" s="72" t="str">
        <f t="shared" si="619"/>
        <v/>
      </c>
      <c r="AB1467" s="72"/>
      <c r="AC1467" s="72">
        <f t="shared" si="604"/>
        <v>1</v>
      </c>
      <c r="AD1467" s="72">
        <f t="shared" si="605"/>
        <v>1</v>
      </c>
      <c r="AE1467" s="109" t="str">
        <f t="shared" si="606"/>
        <v>0-0</v>
      </c>
      <c r="AF1467" s="109" t="str">
        <f t="shared" si="607"/>
        <v>Y</v>
      </c>
      <c r="AG1467" s="109" t="str">
        <f t="shared" si="608"/>
        <v>B</v>
      </c>
      <c r="AM1467" s="109">
        <f t="shared" si="609"/>
        <v>0</v>
      </c>
      <c r="AN1467" s="109">
        <f t="shared" si="610"/>
        <v>0</v>
      </c>
      <c r="AO1467" s="109" t="str">
        <f t="shared" si="611"/>
        <v/>
      </c>
      <c r="AQ1467" s="109" t="str">
        <f t="shared" si="612"/>
        <v/>
      </c>
      <c r="BA1467" s="229">
        <f>MOD(SUM(E1452:E1468),12)</f>
        <v>0</v>
      </c>
    </row>
    <row r="1468" spans="1:53" ht="15.75" thickBot="1" x14ac:dyDescent="0.3">
      <c r="A1468" s="88"/>
      <c r="B1468" s="66" t="s">
        <v>294</v>
      </c>
      <c r="C1468" s="67"/>
      <c r="D1468" s="102"/>
      <c r="E1468" s="32"/>
      <c r="F1468" s="32"/>
      <c r="G1468" s="68" t="s">
        <v>277</v>
      </c>
      <c r="H1468" s="69">
        <f t="shared" si="613"/>
        <v>0</v>
      </c>
      <c r="I1468" s="70">
        <f t="shared" si="614"/>
        <v>0</v>
      </c>
      <c r="J1468" s="73" t="str">
        <f t="shared" si="615"/>
        <v>--</v>
      </c>
      <c r="K1468" s="32"/>
      <c r="L1468" s="233"/>
      <c r="M1468" s="277"/>
      <c r="N1468" s="277"/>
      <c r="O1468" s="277"/>
      <c r="P1468" s="277"/>
      <c r="Q1468" s="277"/>
      <c r="R1468" s="277"/>
      <c r="S1468" s="277"/>
      <c r="T1468" s="277"/>
      <c r="U1468" s="278"/>
      <c r="V1468" s="103"/>
      <c r="W1468" s="84">
        <f t="shared" si="620"/>
        <v>1</v>
      </c>
      <c r="X1468" s="84"/>
      <c r="Y1468" s="78">
        <f>SUM(E1452:E1468)</f>
        <v>0</v>
      </c>
      <c r="Z1468" s="72" t="str">
        <f t="shared" si="618"/>
        <v/>
      </c>
      <c r="AA1468" s="72" t="str">
        <f t="shared" si="619"/>
        <v/>
      </c>
      <c r="AB1468" s="72"/>
      <c r="AC1468" s="72">
        <f t="shared" si="604"/>
        <v>1</v>
      </c>
      <c r="AD1468" s="72">
        <f t="shared" si="605"/>
        <v>1</v>
      </c>
      <c r="AE1468" s="109" t="str">
        <f t="shared" si="606"/>
        <v>0-0</v>
      </c>
      <c r="AF1468" s="109" t="str">
        <f t="shared" si="607"/>
        <v>Y</v>
      </c>
      <c r="AG1468" s="109" t="str">
        <f t="shared" si="608"/>
        <v>B</v>
      </c>
      <c r="AM1468" s="109">
        <f t="shared" si="609"/>
        <v>0</v>
      </c>
      <c r="AN1468" s="109">
        <f t="shared" si="610"/>
        <v>0</v>
      </c>
      <c r="AO1468" s="109" t="str">
        <f t="shared" si="611"/>
        <v/>
      </c>
      <c r="AQ1468" s="109" t="str">
        <f t="shared" si="612"/>
        <v/>
      </c>
      <c r="BA1468" s="229">
        <f>MOD(SUM(E1452:E1469),12)</f>
        <v>0</v>
      </c>
    </row>
    <row r="1469" spans="1:53" ht="15.75" thickBot="1" x14ac:dyDescent="0.3">
      <c r="A1469" s="88"/>
      <c r="B1469" s="66" t="s">
        <v>295</v>
      </c>
      <c r="C1469" s="67"/>
      <c r="D1469" s="102"/>
      <c r="E1469" s="32"/>
      <c r="F1469" s="32"/>
      <c r="G1469" s="68" t="s">
        <v>277</v>
      </c>
      <c r="H1469" s="69">
        <f t="shared" si="613"/>
        <v>0</v>
      </c>
      <c r="I1469" s="70">
        <f t="shared" si="614"/>
        <v>0</v>
      </c>
      <c r="J1469" s="73" t="str">
        <f t="shared" si="615"/>
        <v>--</v>
      </c>
      <c r="K1469" s="32"/>
      <c r="L1469" s="233"/>
      <c r="M1469" s="277"/>
      <c r="N1469" s="277"/>
      <c r="O1469" s="277"/>
      <c r="P1469" s="277"/>
      <c r="Q1469" s="277"/>
      <c r="R1469" s="277"/>
      <c r="S1469" s="277"/>
      <c r="T1469" s="277"/>
      <c r="U1469" s="278"/>
      <c r="V1469" s="103"/>
      <c r="W1469" s="84">
        <f t="shared" si="620"/>
        <v>1</v>
      </c>
      <c r="X1469" s="84"/>
      <c r="Y1469" s="78">
        <f>SUM(E1452:E1469)</f>
        <v>0</v>
      </c>
      <c r="Z1469" s="72" t="str">
        <f t="shared" si="618"/>
        <v/>
      </c>
      <c r="AA1469" s="72" t="str">
        <f t="shared" si="619"/>
        <v/>
      </c>
      <c r="AB1469" s="72"/>
      <c r="AC1469" s="72">
        <f t="shared" si="604"/>
        <v>1</v>
      </c>
      <c r="AD1469" s="72">
        <f t="shared" si="605"/>
        <v>1</v>
      </c>
      <c r="AE1469" s="109" t="str">
        <f t="shared" si="606"/>
        <v>0-0</v>
      </c>
      <c r="AF1469" s="109" t="str">
        <f t="shared" si="607"/>
        <v>Y</v>
      </c>
      <c r="AG1469" s="109" t="str">
        <f t="shared" si="608"/>
        <v>B</v>
      </c>
      <c r="AM1469" s="109">
        <f t="shared" si="609"/>
        <v>0</v>
      </c>
      <c r="AN1469" s="109">
        <f t="shared" si="610"/>
        <v>0</v>
      </c>
      <c r="AO1469" s="109" t="str">
        <f t="shared" si="611"/>
        <v/>
      </c>
      <c r="AQ1469" s="109" t="str">
        <f t="shared" si="612"/>
        <v/>
      </c>
      <c r="BA1469" s="229">
        <f>MOD(SUM(E1452:E1470),12)</f>
        <v>0</v>
      </c>
    </row>
    <row r="1470" spans="1:53" ht="15.75" thickBot="1" x14ac:dyDescent="0.3">
      <c r="A1470" s="88"/>
      <c r="B1470" s="66" t="s">
        <v>296</v>
      </c>
      <c r="C1470" s="67"/>
      <c r="D1470" s="102"/>
      <c r="E1470" s="32"/>
      <c r="F1470" s="32"/>
      <c r="G1470" s="68" t="s">
        <v>277</v>
      </c>
      <c r="H1470" s="69">
        <f t="shared" si="613"/>
        <v>0</v>
      </c>
      <c r="I1470" s="70">
        <f t="shared" si="614"/>
        <v>0</v>
      </c>
      <c r="J1470" s="73" t="str">
        <f t="shared" si="615"/>
        <v>--</v>
      </c>
      <c r="K1470" s="32"/>
      <c r="L1470" s="233"/>
      <c r="M1470" s="277"/>
      <c r="N1470" s="277"/>
      <c r="O1470" s="277"/>
      <c r="P1470" s="277"/>
      <c r="Q1470" s="277"/>
      <c r="R1470" s="277"/>
      <c r="S1470" s="277"/>
      <c r="T1470" s="277"/>
      <c r="U1470" s="278"/>
      <c r="V1470" s="103"/>
      <c r="W1470" s="84">
        <f t="shared" si="620"/>
        <v>1</v>
      </c>
      <c r="X1470" s="84"/>
      <c r="Y1470" s="78">
        <f>SUM(E1452:E1470)</f>
        <v>0</v>
      </c>
      <c r="Z1470" s="72" t="str">
        <f t="shared" si="618"/>
        <v/>
      </c>
      <c r="AA1470" s="72" t="str">
        <f t="shared" si="619"/>
        <v/>
      </c>
      <c r="AB1470" s="72"/>
      <c r="AC1470" s="72">
        <f t="shared" si="604"/>
        <v>1</v>
      </c>
      <c r="AD1470" s="72">
        <f t="shared" si="605"/>
        <v>1</v>
      </c>
      <c r="AE1470" s="109" t="str">
        <f t="shared" si="606"/>
        <v>0-0</v>
      </c>
      <c r="AF1470" s="109" t="str">
        <f t="shared" si="607"/>
        <v>Y</v>
      </c>
      <c r="AG1470" s="109" t="str">
        <f t="shared" si="608"/>
        <v>B</v>
      </c>
      <c r="AM1470" s="109">
        <f t="shared" si="609"/>
        <v>0</v>
      </c>
      <c r="AN1470" s="109">
        <f t="shared" si="610"/>
        <v>0</v>
      </c>
      <c r="AO1470" s="109" t="str">
        <f t="shared" si="611"/>
        <v/>
      </c>
      <c r="AQ1470" s="109" t="str">
        <f t="shared" si="612"/>
        <v/>
      </c>
      <c r="BA1470" s="229">
        <f>MOD(SUM(E1452:E1471),12)</f>
        <v>0</v>
      </c>
    </row>
    <row r="1471" spans="1:53" ht="15.75" thickBot="1" x14ac:dyDescent="0.3">
      <c r="A1471" s="88"/>
      <c r="B1471" s="66" t="s">
        <v>297</v>
      </c>
      <c r="C1471" s="67"/>
      <c r="D1471" s="102"/>
      <c r="E1471" s="32"/>
      <c r="F1471" s="32"/>
      <c r="G1471" s="68" t="s">
        <v>277</v>
      </c>
      <c r="H1471" s="69">
        <f t="shared" si="613"/>
        <v>0</v>
      </c>
      <c r="I1471" s="70">
        <f t="shared" si="614"/>
        <v>0</v>
      </c>
      <c r="J1471" s="73" t="str">
        <f t="shared" si="615"/>
        <v>--</v>
      </c>
      <c r="K1471" s="32"/>
      <c r="L1471" s="233"/>
      <c r="M1471" s="277"/>
      <c r="N1471" s="277"/>
      <c r="O1471" s="277"/>
      <c r="P1471" s="277"/>
      <c r="Q1471" s="277"/>
      <c r="R1471" s="277"/>
      <c r="S1471" s="277"/>
      <c r="T1471" s="277"/>
      <c r="U1471" s="278"/>
      <c r="V1471" s="103"/>
      <c r="W1471" s="84">
        <f t="shared" si="620"/>
        <v>1</v>
      </c>
      <c r="X1471" s="84"/>
      <c r="Y1471" s="78">
        <f>SUM(E1452:E1471)</f>
        <v>0</v>
      </c>
      <c r="Z1471" s="72" t="str">
        <f t="shared" si="618"/>
        <v/>
      </c>
      <c r="AA1471" s="72" t="str">
        <f t="shared" si="619"/>
        <v/>
      </c>
      <c r="AB1471" s="72"/>
      <c r="AC1471" s="72">
        <f t="shared" si="604"/>
        <v>1</v>
      </c>
      <c r="AD1471" s="72">
        <f t="shared" si="605"/>
        <v>1</v>
      </c>
      <c r="AE1471" s="109" t="str">
        <f t="shared" si="606"/>
        <v>0-0</v>
      </c>
      <c r="AF1471" s="109" t="str">
        <f t="shared" si="607"/>
        <v>Y</v>
      </c>
      <c r="AG1471" s="109" t="str">
        <f t="shared" si="608"/>
        <v>B</v>
      </c>
      <c r="AM1471" s="109">
        <f t="shared" si="609"/>
        <v>0</v>
      </c>
      <c r="AN1471" s="109">
        <f t="shared" si="610"/>
        <v>0</v>
      </c>
      <c r="AO1471" s="109" t="str">
        <f t="shared" si="611"/>
        <v/>
      </c>
      <c r="AQ1471" s="109" t="str">
        <f t="shared" si="612"/>
        <v/>
      </c>
      <c r="BA1471" s="229">
        <f>MOD(SUM(E1452:E1472),12)</f>
        <v>0</v>
      </c>
    </row>
    <row r="1472" spans="1:53" ht="15.75" thickBot="1" x14ac:dyDescent="0.3">
      <c r="A1472" s="88"/>
      <c r="B1472" s="66" t="s">
        <v>298</v>
      </c>
      <c r="C1472" s="67"/>
      <c r="D1472" s="102"/>
      <c r="E1472" s="32"/>
      <c r="F1472" s="32"/>
      <c r="G1472" s="68" t="s">
        <v>277</v>
      </c>
      <c r="H1472" s="69">
        <f t="shared" si="613"/>
        <v>0</v>
      </c>
      <c r="I1472" s="70">
        <f t="shared" si="614"/>
        <v>0</v>
      </c>
      <c r="J1472" s="73" t="str">
        <f t="shared" si="615"/>
        <v>--</v>
      </c>
      <c r="K1472" s="32"/>
      <c r="L1472" s="233"/>
      <c r="M1472" s="277"/>
      <c r="N1472" s="277"/>
      <c r="O1472" s="277"/>
      <c r="P1472" s="277"/>
      <c r="Q1472" s="277"/>
      <c r="R1472" s="277"/>
      <c r="S1472" s="277"/>
      <c r="T1472" s="277"/>
      <c r="U1472" s="278"/>
      <c r="V1472" s="103"/>
      <c r="W1472" s="84">
        <f t="shared" si="620"/>
        <v>1</v>
      </c>
      <c r="X1472" s="84"/>
      <c r="Y1472" s="78">
        <f>SUM(E1452:E1472)</f>
        <v>0</v>
      </c>
      <c r="Z1472" s="72" t="str">
        <f t="shared" si="618"/>
        <v/>
      </c>
      <c r="AA1472" s="72" t="str">
        <f t="shared" si="619"/>
        <v/>
      </c>
      <c r="AB1472" s="72"/>
      <c r="AC1472" s="72">
        <f t="shared" si="604"/>
        <v>1</v>
      </c>
      <c r="AD1472" s="72">
        <f t="shared" si="605"/>
        <v>1</v>
      </c>
      <c r="AE1472" s="109" t="str">
        <f t="shared" si="606"/>
        <v>0-0</v>
      </c>
      <c r="AF1472" s="109" t="str">
        <f t="shared" si="607"/>
        <v>Y</v>
      </c>
      <c r="AG1472" s="109" t="str">
        <f t="shared" si="608"/>
        <v>B</v>
      </c>
      <c r="AM1472" s="109">
        <f t="shared" si="609"/>
        <v>0</v>
      </c>
      <c r="AN1472" s="109">
        <f t="shared" si="610"/>
        <v>0</v>
      </c>
      <c r="AO1472" s="109" t="str">
        <f t="shared" si="611"/>
        <v/>
      </c>
      <c r="AQ1472" s="109" t="str">
        <f t="shared" si="612"/>
        <v/>
      </c>
      <c r="BA1472" s="229">
        <f>MOD(SUM(E1452:E1473),12)</f>
        <v>0</v>
      </c>
    </row>
    <row r="1473" spans="1:53" ht="15.75" thickBot="1" x14ac:dyDescent="0.3">
      <c r="A1473" s="88"/>
      <c r="B1473" s="66" t="s">
        <v>299</v>
      </c>
      <c r="C1473" s="67"/>
      <c r="D1473" s="102"/>
      <c r="E1473" s="32"/>
      <c r="F1473" s="32"/>
      <c r="G1473" s="68" t="s">
        <v>277</v>
      </c>
      <c r="H1473" s="69">
        <f t="shared" si="613"/>
        <v>0</v>
      </c>
      <c r="I1473" s="70">
        <f t="shared" si="614"/>
        <v>0</v>
      </c>
      <c r="J1473" s="73" t="str">
        <f t="shared" si="615"/>
        <v>--</v>
      </c>
      <c r="K1473" s="32"/>
      <c r="L1473" s="233"/>
      <c r="M1473" s="277"/>
      <c r="N1473" s="277"/>
      <c r="O1473" s="277"/>
      <c r="P1473" s="277"/>
      <c r="Q1473" s="277"/>
      <c r="R1473" s="277"/>
      <c r="S1473" s="277"/>
      <c r="T1473" s="277"/>
      <c r="U1473" s="278"/>
      <c r="V1473" s="103"/>
      <c r="W1473" s="84">
        <f t="shared" si="620"/>
        <v>1</v>
      </c>
      <c r="X1473" s="84"/>
      <c r="Y1473" s="78">
        <f>SUM(E1452:E1473)</f>
        <v>0</v>
      </c>
      <c r="Z1473" s="72" t="str">
        <f t="shared" si="618"/>
        <v/>
      </c>
      <c r="AA1473" s="72" t="str">
        <f t="shared" si="619"/>
        <v/>
      </c>
      <c r="AB1473" s="72"/>
      <c r="AC1473" s="72">
        <f t="shared" si="604"/>
        <v>1</v>
      </c>
      <c r="AD1473" s="72">
        <f t="shared" si="605"/>
        <v>1</v>
      </c>
      <c r="AE1473" s="109" t="str">
        <f t="shared" si="606"/>
        <v>0-0</v>
      </c>
      <c r="AF1473" s="109" t="str">
        <f t="shared" si="607"/>
        <v>Y</v>
      </c>
      <c r="AG1473" s="109" t="str">
        <f t="shared" si="608"/>
        <v>B</v>
      </c>
      <c r="AM1473" s="109">
        <f t="shared" si="609"/>
        <v>0</v>
      </c>
      <c r="AN1473" s="109">
        <f t="shared" si="610"/>
        <v>0</v>
      </c>
      <c r="AO1473" s="109" t="str">
        <f t="shared" si="611"/>
        <v/>
      </c>
      <c r="AQ1473" s="109" t="str">
        <f t="shared" si="612"/>
        <v/>
      </c>
      <c r="BA1473" s="229">
        <f>MOD(SUM(E1452:E1474),12)</f>
        <v>0</v>
      </c>
    </row>
    <row r="1474" spans="1:53" ht="15.75" thickBot="1" x14ac:dyDescent="0.3">
      <c r="A1474" s="88"/>
      <c r="B1474" s="66" t="s">
        <v>300</v>
      </c>
      <c r="C1474" s="67"/>
      <c r="D1474" s="102"/>
      <c r="E1474" s="32"/>
      <c r="F1474" s="32"/>
      <c r="G1474" s="68" t="s">
        <v>277</v>
      </c>
      <c r="H1474" s="69">
        <f t="shared" si="613"/>
        <v>0</v>
      </c>
      <c r="I1474" s="70">
        <f t="shared" si="614"/>
        <v>0</v>
      </c>
      <c r="J1474" s="73" t="str">
        <f t="shared" si="615"/>
        <v>--</v>
      </c>
      <c r="K1474" s="32"/>
      <c r="L1474" s="233"/>
      <c r="M1474" s="277"/>
      <c r="N1474" s="277"/>
      <c r="O1474" s="277"/>
      <c r="P1474" s="277"/>
      <c r="Q1474" s="277"/>
      <c r="R1474" s="277"/>
      <c r="S1474" s="277"/>
      <c r="T1474" s="277"/>
      <c r="U1474" s="278"/>
      <c r="V1474" s="103"/>
      <c r="W1474" s="84">
        <f t="shared" si="620"/>
        <v>1</v>
      </c>
      <c r="X1474" s="84"/>
      <c r="Y1474" s="78">
        <f>SUM(E1452:E1474)</f>
        <v>0</v>
      </c>
      <c r="Z1474" s="72" t="str">
        <f t="shared" si="618"/>
        <v/>
      </c>
      <c r="AA1474" s="72" t="str">
        <f t="shared" si="619"/>
        <v/>
      </c>
      <c r="AB1474" s="72"/>
      <c r="AC1474" s="72">
        <f t="shared" si="604"/>
        <v>1</v>
      </c>
      <c r="AD1474" s="72">
        <f t="shared" si="605"/>
        <v>1</v>
      </c>
      <c r="AE1474" s="109" t="str">
        <f t="shared" si="606"/>
        <v>0-0</v>
      </c>
      <c r="AF1474" s="109" t="str">
        <f t="shared" si="607"/>
        <v>Y</v>
      </c>
      <c r="AG1474" s="109" t="str">
        <f t="shared" si="608"/>
        <v>B</v>
      </c>
      <c r="AM1474" s="109">
        <f t="shared" si="609"/>
        <v>0</v>
      </c>
      <c r="AN1474" s="109">
        <f t="shared" si="610"/>
        <v>0</v>
      </c>
      <c r="AO1474" s="109" t="str">
        <f t="shared" si="611"/>
        <v/>
      </c>
      <c r="AQ1474" s="109" t="str">
        <f t="shared" si="612"/>
        <v/>
      </c>
      <c r="BA1474" s="229">
        <f>MOD(SUM(E1452:E1475),12)</f>
        <v>0</v>
      </c>
    </row>
    <row r="1475" spans="1:53" ht="15.75" thickBot="1" x14ac:dyDescent="0.3">
      <c r="A1475" s="88"/>
      <c r="B1475" s="66" t="s">
        <v>301</v>
      </c>
      <c r="C1475" s="67"/>
      <c r="D1475" s="102"/>
      <c r="E1475" s="32"/>
      <c r="F1475" s="32"/>
      <c r="G1475" s="68" t="s">
        <v>277</v>
      </c>
      <c r="H1475" s="69">
        <f t="shared" si="613"/>
        <v>0</v>
      </c>
      <c r="I1475" s="70">
        <f t="shared" si="614"/>
        <v>0</v>
      </c>
      <c r="J1475" s="73" t="str">
        <f t="shared" si="615"/>
        <v>--</v>
      </c>
      <c r="K1475" s="32"/>
      <c r="L1475" s="233"/>
      <c r="M1475" s="277"/>
      <c r="N1475" s="277"/>
      <c r="O1475" s="277"/>
      <c r="P1475" s="277"/>
      <c r="Q1475" s="277"/>
      <c r="R1475" s="277"/>
      <c r="S1475" s="277"/>
      <c r="T1475" s="277"/>
      <c r="U1475" s="278"/>
      <c r="V1475" s="103"/>
      <c r="W1475" s="84">
        <f t="shared" si="620"/>
        <v>1</v>
      </c>
      <c r="X1475" s="84"/>
      <c r="Y1475" s="78">
        <f>SUM(E1452:E1475)</f>
        <v>0</v>
      </c>
      <c r="Z1475" s="72" t="str">
        <f t="shared" si="618"/>
        <v/>
      </c>
      <c r="AA1475" s="72" t="str">
        <f t="shared" si="619"/>
        <v/>
      </c>
      <c r="AB1475" s="72"/>
      <c r="AC1475" s="72">
        <f t="shared" si="604"/>
        <v>1</v>
      </c>
      <c r="AD1475" s="72">
        <f t="shared" si="605"/>
        <v>1</v>
      </c>
      <c r="AE1475" s="109" t="str">
        <f t="shared" si="606"/>
        <v>0-0</v>
      </c>
      <c r="AF1475" s="109" t="str">
        <f t="shared" si="607"/>
        <v>Y</v>
      </c>
      <c r="AG1475" s="109" t="str">
        <f t="shared" si="608"/>
        <v>B</v>
      </c>
      <c r="AM1475" s="109">
        <f t="shared" si="609"/>
        <v>0</v>
      </c>
      <c r="AN1475" s="109">
        <f t="shared" si="610"/>
        <v>0</v>
      </c>
      <c r="AO1475" s="109" t="str">
        <f t="shared" si="611"/>
        <v/>
      </c>
      <c r="AQ1475" s="109" t="str">
        <f t="shared" si="612"/>
        <v/>
      </c>
      <c r="BA1475" s="229">
        <f>MOD(SUM(E1452:E1476),12)</f>
        <v>0</v>
      </c>
    </row>
    <row r="1476" spans="1:53" ht="15.75" thickBot="1" x14ac:dyDescent="0.3">
      <c r="A1476" s="88"/>
      <c r="B1476" s="66" t="s">
        <v>302</v>
      </c>
      <c r="C1476" s="67"/>
      <c r="D1476" s="102"/>
      <c r="E1476" s="32"/>
      <c r="F1476" s="32"/>
      <c r="G1476" s="68" t="s">
        <v>277</v>
      </c>
      <c r="H1476" s="69">
        <f t="shared" si="613"/>
        <v>0</v>
      </c>
      <c r="I1476" s="70">
        <f t="shared" si="614"/>
        <v>0</v>
      </c>
      <c r="J1476" s="73" t="str">
        <f t="shared" si="615"/>
        <v>--</v>
      </c>
      <c r="K1476" s="32"/>
      <c r="L1476" s="234"/>
      <c r="M1476" s="277"/>
      <c r="N1476" s="277"/>
      <c r="O1476" s="277"/>
      <c r="P1476" s="277"/>
      <c r="Q1476" s="277"/>
      <c r="R1476" s="277"/>
      <c r="S1476" s="277"/>
      <c r="T1476" s="277"/>
      <c r="U1476" s="278"/>
      <c r="V1476" s="103"/>
      <c r="W1476" s="72"/>
      <c r="X1476" s="72"/>
      <c r="Y1476" s="78">
        <f>SUM(E1452:E1476)</f>
        <v>0</v>
      </c>
      <c r="Z1476" s="72" t="str">
        <f t="shared" si="618"/>
        <v/>
      </c>
      <c r="AA1476" s="72" t="str">
        <f t="shared" si="619"/>
        <v/>
      </c>
      <c r="AB1476" s="72"/>
      <c r="AC1476" s="72">
        <f t="shared" si="604"/>
        <v>1</v>
      </c>
      <c r="AD1476" s="72">
        <f t="shared" si="605"/>
        <v>1</v>
      </c>
      <c r="AE1476" s="109" t="str">
        <f t="shared" si="606"/>
        <v>0-0</v>
      </c>
      <c r="AF1476" s="109" t="str">
        <f t="shared" si="607"/>
        <v>Y</v>
      </c>
      <c r="AG1476" s="109" t="str">
        <f t="shared" si="608"/>
        <v>B</v>
      </c>
      <c r="AM1476" s="109">
        <f t="shared" si="609"/>
        <v>0</v>
      </c>
      <c r="AN1476" s="109">
        <f t="shared" si="610"/>
        <v>0</v>
      </c>
      <c r="AO1476" s="109" t="str">
        <f t="shared" si="611"/>
        <v/>
      </c>
      <c r="AQ1476" s="109" t="str">
        <f t="shared" si="612"/>
        <v/>
      </c>
      <c r="BA1476" s="228"/>
    </row>
    <row r="1477" spans="1:53" ht="16.5" thickBot="1" x14ac:dyDescent="0.3">
      <c r="A1477" s="88"/>
      <c r="B1477" s="319" t="s">
        <v>375</v>
      </c>
      <c r="C1477" s="320"/>
      <c r="D1477" s="79"/>
      <c r="E1477" s="80"/>
      <c r="F1477" s="80"/>
      <c r="G1477" s="81"/>
      <c r="H1477" s="192"/>
      <c r="I1477" s="192"/>
      <c r="J1477" s="192"/>
      <c r="K1477" s="82"/>
      <c r="L1477" s="319" t="s">
        <v>306</v>
      </c>
      <c r="M1477" s="330"/>
      <c r="N1477" s="330"/>
      <c r="O1477" s="330"/>
      <c r="P1477" s="330"/>
      <c r="Q1477" s="330"/>
      <c r="R1477" s="330"/>
      <c r="S1477" s="330"/>
      <c r="T1477" s="330"/>
      <c r="U1477" s="320"/>
      <c r="V1477" s="104"/>
      <c r="W1477" s="72"/>
      <c r="X1477" s="72"/>
      <c r="Y1477" s="72"/>
      <c r="Z1477" s="72"/>
      <c r="AA1477" s="72" t="str">
        <f t="shared" si="619"/>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319" t="s">
        <v>307</v>
      </c>
      <c r="C1478" s="320"/>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9"/>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312" t="s">
        <v>222</v>
      </c>
      <c r="C1482" s="313"/>
      <c r="D1482" s="314" t="s">
        <v>223</v>
      </c>
      <c r="E1482" s="305"/>
      <c r="F1482" s="88"/>
      <c r="G1482" s="315" t="s">
        <v>224</v>
      </c>
      <c r="H1482" s="316"/>
      <c r="I1482" s="28">
        <f>SUM(E1493:E1517)</f>
        <v>0</v>
      </c>
      <c r="J1482" s="317" t="s">
        <v>225</v>
      </c>
      <c r="K1482" s="318"/>
      <c r="L1482" s="305"/>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5" t="s">
        <v>226</v>
      </c>
      <c r="AA1482" s="296"/>
      <c r="AB1482" s="297"/>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4" t="s">
        <v>230</v>
      </c>
      <c r="H1483" s="305"/>
      <c r="I1483" s="33">
        <f>E1484-I1482</f>
        <v>0</v>
      </c>
      <c r="J1483" s="289" t="s">
        <v>231</v>
      </c>
      <c r="K1483" s="290"/>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298" t="s">
        <v>232</v>
      </c>
      <c r="AA1483" s="300" t="s">
        <v>233</v>
      </c>
      <c r="AB1483" s="301"/>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291" t="s">
        <v>237</v>
      </c>
      <c r="H1484" s="292"/>
      <c r="I1484" s="35">
        <f>IF(E1484=0,0,12-(MOD(I1482,12)))</f>
        <v>0</v>
      </c>
      <c r="J1484" s="289" t="s">
        <v>238</v>
      </c>
      <c r="K1484" s="290"/>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299"/>
      <c r="AA1484" s="302"/>
      <c r="AB1484" s="303"/>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321" t="s">
        <v>242</v>
      </c>
      <c r="H1485" s="43" t="s">
        <v>243</v>
      </c>
      <c r="I1485" s="35">
        <f>IF(E1485&lt;&gt;0,1,0)</f>
        <v>0</v>
      </c>
      <c r="J1485" s="291" t="s">
        <v>244</v>
      </c>
      <c r="K1485" s="292"/>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322"/>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321" t="s">
        <v>251</v>
      </c>
      <c r="H1487" s="51" t="s">
        <v>252</v>
      </c>
      <c r="I1487" s="112">
        <f>E1486</f>
        <v>0</v>
      </c>
      <c r="J1487" s="323" t="s">
        <v>253</v>
      </c>
      <c r="K1487" s="324"/>
      <c r="L1487" s="325"/>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322"/>
      <c r="H1488" s="47" t="s">
        <v>257</v>
      </c>
      <c r="I1488" s="35" t="str">
        <f>IF(E1486="","0",IF(AND(E1483="EUC",E1484=432), I1487+(203-E1485),IF(E1486=0,0,(E1486+(E1484-E1485)-1))))</f>
        <v>0</v>
      </c>
      <c r="J1488" s="285" t="str">
        <f>IFERROR(IF(OR(E1483="EUC",E1483="SS"),"---",IF(OR(P1482,S1482),"NO 2F Tethers for RPX!",IF(OR(P1484,S1484),"NO 6F Tethers for RPX!","---"))),"---")</f>
        <v>---</v>
      </c>
      <c r="K1488" s="286"/>
      <c r="L1488" s="287"/>
      <c r="M1488" s="285" t="str">
        <f>IF(E1485&gt;60,"Dead Count &gt;60: Consider Downsize","---")</f>
        <v>---</v>
      </c>
      <c r="N1488" s="286"/>
      <c r="O1488" s="286"/>
      <c r="P1488" s="286"/>
      <c r="Q1488" s="286"/>
      <c r="R1488" s="286"/>
      <c r="S1488" s="286"/>
      <c r="T1488" s="286"/>
      <c r="U1488" s="287"/>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85"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86"/>
      <c r="L1489" s="287"/>
      <c r="M1489" s="285" t="str">
        <f>IF(AND(OR(E1483="SS",E1483="RPX",E1483="EUC",E1483="RPX-T"),(OR(C1493="",C1493="Field SPL"))),"Cannot have FlexNap cables without tethers","---")</f>
        <v>---</v>
      </c>
      <c r="N1489" s="286"/>
      <c r="O1489" s="286"/>
      <c r="P1489" s="286"/>
      <c r="Q1489" s="286"/>
      <c r="R1489" s="286"/>
      <c r="S1489" s="286"/>
      <c r="T1489" s="286"/>
      <c r="U1489" s="287"/>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85" t="str">
        <f>IF(AND(OR(E1483="RPX", E1483="RPX-T", E1483="SS"),E1484=216),"NO 216 For RPX, RPX-T, OR SS CABLE","---")</f>
        <v>---</v>
      </c>
      <c r="K1490" s="286"/>
      <c r="L1490" s="287"/>
      <c r="M1490" s="285" t="str" cm="1">
        <f t="array" ref="M1490">IF(AND(E1483="",OR(C1493:C1517="FST",C1493:C1517="REV T",C1493:C1517="DBL REV",C1493:C1517="TPL REV", C1493:C1517="QD REV")),"Non-FlexNap cables cannot have tethers","---")</f>
        <v>---</v>
      </c>
      <c r="N1490" s="286"/>
      <c r="O1490" s="286"/>
      <c r="P1490" s="286"/>
      <c r="Q1490" s="286"/>
      <c r="R1490" s="286"/>
      <c r="S1490" s="286"/>
      <c r="T1490" s="286"/>
      <c r="U1490" s="287"/>
      <c r="V1490" s="25"/>
      <c r="W1490" s="58"/>
      <c r="X1490" s="58"/>
      <c r="Y1490" s="25"/>
      <c r="Z1490" s="45">
        <v>6</v>
      </c>
      <c r="AA1490" s="65">
        <v>61</v>
      </c>
      <c r="AB1490" s="65">
        <v>72</v>
      </c>
      <c r="AC1490" s="25"/>
      <c r="AD1490" s="25"/>
      <c r="BA1490" s="226"/>
    </row>
    <row r="1491" spans="1:53" ht="15.75" customHeight="1" thickBot="1" x14ac:dyDescent="0.3">
      <c r="A1491" s="88"/>
      <c r="B1491" s="321" t="s">
        <v>260</v>
      </c>
      <c r="C1491" s="293" t="s">
        <v>261</v>
      </c>
      <c r="D1491" s="293" t="s">
        <v>262</v>
      </c>
      <c r="E1491" s="306" t="s">
        <v>263</v>
      </c>
      <c r="F1491" s="293" t="s">
        <v>264</v>
      </c>
      <c r="G1491" s="308" t="s">
        <v>265</v>
      </c>
      <c r="H1491" s="308" t="s">
        <v>266</v>
      </c>
      <c r="I1491" s="308" t="s">
        <v>267</v>
      </c>
      <c r="J1491" s="310" t="s">
        <v>268</v>
      </c>
      <c r="K1491" s="293" t="s">
        <v>269</v>
      </c>
      <c r="L1491" s="279" t="s">
        <v>270</v>
      </c>
      <c r="M1491" s="281" t="s">
        <v>271</v>
      </c>
      <c r="N1491" s="281"/>
      <c r="O1491" s="281"/>
      <c r="P1491" s="281"/>
      <c r="Q1491" s="281"/>
      <c r="R1491" s="281"/>
      <c r="S1491" s="281"/>
      <c r="T1491" s="281"/>
      <c r="U1491" s="282"/>
      <c r="V1491" s="107"/>
      <c r="W1491" s="72"/>
      <c r="X1491" s="72"/>
      <c r="Y1491" s="72"/>
      <c r="Z1491" s="45">
        <v>7</v>
      </c>
      <c r="AA1491" s="65">
        <v>73</v>
      </c>
      <c r="AB1491" s="65">
        <v>84</v>
      </c>
      <c r="AC1491" s="25"/>
      <c r="AD1491" s="25"/>
      <c r="BA1491" s="228"/>
    </row>
    <row r="1492" spans="1:53" ht="15.75" thickBot="1" x14ac:dyDescent="0.3">
      <c r="A1492" s="88"/>
      <c r="B1492" s="322"/>
      <c r="C1492" s="294"/>
      <c r="D1492" s="294"/>
      <c r="E1492" s="307"/>
      <c r="F1492" s="294"/>
      <c r="G1492" s="309"/>
      <c r="H1492" s="309"/>
      <c r="I1492" s="309"/>
      <c r="J1492" s="311"/>
      <c r="K1492" s="294"/>
      <c r="L1492" s="280"/>
      <c r="M1492" s="283"/>
      <c r="N1492" s="283"/>
      <c r="O1492" s="283"/>
      <c r="P1492" s="283"/>
      <c r="Q1492" s="283"/>
      <c r="R1492" s="283"/>
      <c r="S1492" s="283"/>
      <c r="T1492" s="283"/>
      <c r="U1492" s="284"/>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77"/>
      <c r="N1493" s="277"/>
      <c r="O1493" s="277"/>
      <c r="P1493" s="277"/>
      <c r="Q1493" s="277"/>
      <c r="R1493" s="277"/>
      <c r="S1493" s="277"/>
      <c r="T1493" s="277"/>
      <c r="U1493" s="278"/>
      <c r="V1493" s="103"/>
      <c r="W1493" s="72"/>
      <c r="X1493" s="72"/>
      <c r="Y1493" s="72"/>
      <c r="Z1493" s="45">
        <v>9</v>
      </c>
      <c r="AA1493" s="46">
        <v>97</v>
      </c>
      <c r="AB1493" s="46">
        <v>108</v>
      </c>
      <c r="AC1493" s="72">
        <f t="shared" ref="AC1493:AC1517" si="621">IF(B1493&lt;&gt;"FST",1,0)</f>
        <v>1</v>
      </c>
      <c r="AD1493" s="72">
        <f t="shared" ref="AD1493:AD1517" si="622">IF(C1493&lt;&gt;"FST",1,0)</f>
        <v>1</v>
      </c>
      <c r="AE1493" s="109" t="str">
        <f t="shared" ref="AE1493:AE1517" si="623">CONCATENATE(H1493,"-",I1493)</f>
        <v>0-0</v>
      </c>
      <c r="AF1493" s="109" t="str">
        <f t="shared" ref="AF1493:AF1517" si="624">IF(C1493="Field SPL","N","Y")</f>
        <v>Y</v>
      </c>
      <c r="AG1493" s="109" t="str">
        <f t="shared" ref="AG1493:AG1517" si="625">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26">VALUE(IF(C1493="FST","0",IF(C1493="REV T","1",IF(C1493="DBL REV",".5","0"))))</f>
        <v>0</v>
      </c>
      <c r="AN1493" s="109">
        <f t="shared" ref="AN1493:AN1517" si="627">VALUE(IF(C1493="FST","0",IF(C1493="REV T","0",IF(C1493="DBL REV",".5","0"))))</f>
        <v>0</v>
      </c>
      <c r="AO1493" s="109" t="str">
        <f t="shared" ref="AO1493:AO1517" si="628">IF(C1493="TPL REV","Y","")</f>
        <v/>
      </c>
      <c r="AQ1493" s="109" t="str">
        <f t="shared" ref="AQ1493:AQ1517" si="629">IF(C1493="QD REV","Y","")</f>
        <v/>
      </c>
      <c r="BA1493" s="229">
        <f>MOD(E1493,12)</f>
        <v>0</v>
      </c>
    </row>
    <row r="1494" spans="1:53" ht="15.75" thickBot="1" x14ac:dyDescent="0.3">
      <c r="A1494" s="88"/>
      <c r="B1494" s="66" t="s">
        <v>279</v>
      </c>
      <c r="C1494" s="67"/>
      <c r="D1494" s="102"/>
      <c r="E1494" s="32"/>
      <c r="F1494" s="32"/>
      <c r="G1494" s="68" t="s">
        <v>277</v>
      </c>
      <c r="H1494" s="69">
        <f t="shared" ref="H1494:H1517" si="630">IF(E1494=0,0,I1494-(E1494-1))</f>
        <v>0</v>
      </c>
      <c r="I1494" s="70">
        <f t="shared" ref="I1494:I1517" si="631">IF(E1494=0,0,H1493-1)</f>
        <v>0</v>
      </c>
      <c r="J1494" s="73" t="str">
        <f>IF(C1494="","--",IF(AND(C1494&lt;&gt;"FST",C1494&lt;&gt;"TCF",BA1493&lt;&gt;0),BA1493,"--"))</f>
        <v>--</v>
      </c>
      <c r="K1494" s="32"/>
      <c r="L1494" s="233"/>
      <c r="M1494" s="277"/>
      <c r="N1494" s="277"/>
      <c r="O1494" s="277"/>
      <c r="P1494" s="277"/>
      <c r="Q1494" s="277"/>
      <c r="R1494" s="277"/>
      <c r="S1494" s="277"/>
      <c r="T1494" s="277"/>
      <c r="U1494" s="278"/>
      <c r="V1494" s="103"/>
      <c r="W1494" s="72"/>
      <c r="X1494" s="72"/>
      <c r="Y1494" s="72"/>
      <c r="Z1494" s="45">
        <v>10</v>
      </c>
      <c r="AA1494" s="46">
        <v>109</v>
      </c>
      <c r="AB1494" s="46">
        <v>120</v>
      </c>
      <c r="AC1494" s="72">
        <f t="shared" si="621"/>
        <v>1</v>
      </c>
      <c r="AD1494" s="72">
        <f t="shared" si="622"/>
        <v>1</v>
      </c>
      <c r="AE1494" s="109" t="str">
        <f t="shared" si="623"/>
        <v>0-0</v>
      </c>
      <c r="AF1494" s="109" t="str">
        <f t="shared" si="624"/>
        <v>Y</v>
      </c>
      <c r="AG1494" s="109" t="str">
        <f t="shared" si="625"/>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26"/>
        <v>0</v>
      </c>
      <c r="AN1494" s="109">
        <f t="shared" si="627"/>
        <v>0</v>
      </c>
      <c r="AO1494" s="109" t="str">
        <f t="shared" si="628"/>
        <v/>
      </c>
      <c r="AQ1494" s="109" t="str">
        <f t="shared" si="629"/>
        <v/>
      </c>
      <c r="BA1494" s="229">
        <f>MOD(SUM(E1493:E1494),12)</f>
        <v>0</v>
      </c>
    </row>
    <row r="1495" spans="1:53" ht="15.75" thickBot="1" x14ac:dyDescent="0.3">
      <c r="A1495" s="88"/>
      <c r="B1495" s="74" t="s">
        <v>280</v>
      </c>
      <c r="C1495" s="67"/>
      <c r="D1495" s="102"/>
      <c r="E1495" s="32"/>
      <c r="F1495" s="32"/>
      <c r="G1495" s="75" t="s">
        <v>277</v>
      </c>
      <c r="H1495" s="69">
        <f t="shared" si="630"/>
        <v>0</v>
      </c>
      <c r="I1495" s="70">
        <f t="shared" si="631"/>
        <v>0</v>
      </c>
      <c r="J1495" s="73" t="str">
        <f t="shared" ref="J1495:J1517" si="632">IF(C1495="","--",IF(AND(C1495&lt;&gt;"FST",C1495&lt;&gt;"TCF",BA1494&lt;&gt;0),BA1494,"--"))</f>
        <v>--</v>
      </c>
      <c r="K1495" s="32"/>
      <c r="L1495" s="233"/>
      <c r="M1495" s="277"/>
      <c r="N1495" s="277"/>
      <c r="O1495" s="277"/>
      <c r="P1495" s="277"/>
      <c r="Q1495" s="277"/>
      <c r="R1495" s="277"/>
      <c r="S1495" s="277"/>
      <c r="T1495" s="277"/>
      <c r="U1495" s="278"/>
      <c r="V1495" s="103"/>
      <c r="W1495" s="72"/>
      <c r="X1495" s="72"/>
      <c r="Y1495" s="72"/>
      <c r="Z1495" s="45">
        <v>11</v>
      </c>
      <c r="AA1495" s="46">
        <v>121</v>
      </c>
      <c r="AB1495" s="46">
        <v>132</v>
      </c>
      <c r="AC1495" s="72">
        <f t="shared" si="621"/>
        <v>1</v>
      </c>
      <c r="AD1495" s="72">
        <f t="shared" si="622"/>
        <v>1</v>
      </c>
      <c r="AE1495" s="109" t="str">
        <f t="shared" si="623"/>
        <v>0-0</v>
      </c>
      <c r="AF1495" s="109" t="str">
        <f t="shared" si="624"/>
        <v>Y</v>
      </c>
      <c r="AG1495" s="109" t="str">
        <f t="shared" si="625"/>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26"/>
        <v>0</v>
      </c>
      <c r="AN1495" s="109">
        <f t="shared" si="627"/>
        <v>0</v>
      </c>
      <c r="AO1495" s="109" t="str">
        <f t="shared" si="628"/>
        <v/>
      </c>
      <c r="AQ1495" s="109" t="str">
        <f t="shared" si="629"/>
        <v/>
      </c>
      <c r="BA1495" s="229">
        <f>MOD(SUM(E1493:E1496),12)</f>
        <v>0</v>
      </c>
    </row>
    <row r="1496" spans="1:53" ht="15.75" thickBot="1" x14ac:dyDescent="0.3">
      <c r="A1496" s="88"/>
      <c r="B1496" s="66" t="s">
        <v>281</v>
      </c>
      <c r="C1496" s="67"/>
      <c r="D1496" s="102"/>
      <c r="E1496" s="32"/>
      <c r="F1496" s="32"/>
      <c r="G1496" s="68" t="s">
        <v>277</v>
      </c>
      <c r="H1496" s="69">
        <f t="shared" si="630"/>
        <v>0</v>
      </c>
      <c r="I1496" s="70">
        <f t="shared" si="631"/>
        <v>0</v>
      </c>
      <c r="J1496" s="73" t="str">
        <f t="shared" si="632"/>
        <v>--</v>
      </c>
      <c r="K1496" s="32"/>
      <c r="L1496" s="233"/>
      <c r="M1496" s="277"/>
      <c r="N1496" s="277"/>
      <c r="O1496" s="277"/>
      <c r="P1496" s="277"/>
      <c r="Q1496" s="277"/>
      <c r="R1496" s="277"/>
      <c r="S1496" s="277"/>
      <c r="T1496" s="277"/>
      <c r="U1496" s="278"/>
      <c r="V1496" s="103"/>
      <c r="W1496" s="72"/>
      <c r="X1496" s="72"/>
      <c r="Y1496" s="72"/>
      <c r="Z1496" s="45">
        <v>12</v>
      </c>
      <c r="AA1496" s="76">
        <v>133</v>
      </c>
      <c r="AB1496" s="76">
        <v>144</v>
      </c>
      <c r="AC1496" s="72">
        <f t="shared" si="621"/>
        <v>1</v>
      </c>
      <c r="AD1496" s="72">
        <f t="shared" si="622"/>
        <v>1</v>
      </c>
      <c r="AE1496" s="109" t="str">
        <f t="shared" si="623"/>
        <v>0-0</v>
      </c>
      <c r="AF1496" s="109" t="str">
        <f t="shared" si="624"/>
        <v>Y</v>
      </c>
      <c r="AG1496" s="109" t="str">
        <f t="shared" si="625"/>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26"/>
        <v>0</v>
      </c>
      <c r="AN1496" s="109">
        <f t="shared" si="627"/>
        <v>0</v>
      </c>
      <c r="AO1496" s="109" t="str">
        <f t="shared" si="628"/>
        <v/>
      </c>
      <c r="AQ1496" s="109" t="str">
        <f t="shared" si="629"/>
        <v/>
      </c>
      <c r="BA1496" s="229">
        <f>MOD(SUM(E1493:E1497),12)</f>
        <v>0</v>
      </c>
    </row>
    <row r="1497" spans="1:53" ht="15.75" thickBot="1" x14ac:dyDescent="0.3">
      <c r="A1497" s="88"/>
      <c r="B1497" s="66" t="s">
        <v>282</v>
      </c>
      <c r="C1497" s="67"/>
      <c r="D1497" s="102"/>
      <c r="E1497" s="32"/>
      <c r="F1497" s="32"/>
      <c r="G1497" s="68" t="s">
        <v>277</v>
      </c>
      <c r="H1497" s="69">
        <f t="shared" si="630"/>
        <v>0</v>
      </c>
      <c r="I1497" s="70">
        <f t="shared" si="631"/>
        <v>0</v>
      </c>
      <c r="J1497" s="73" t="str">
        <f t="shared" si="632"/>
        <v>--</v>
      </c>
      <c r="K1497" s="32"/>
      <c r="L1497" s="233"/>
      <c r="M1497" s="277"/>
      <c r="N1497" s="277"/>
      <c r="O1497" s="277"/>
      <c r="P1497" s="277"/>
      <c r="Q1497" s="277"/>
      <c r="R1497" s="277"/>
      <c r="S1497" s="277"/>
      <c r="T1497" s="277"/>
      <c r="U1497" s="278"/>
      <c r="V1497" s="103"/>
      <c r="W1497" s="72"/>
      <c r="X1497" s="72"/>
      <c r="Y1497" s="72"/>
      <c r="Z1497" s="45">
        <v>13</v>
      </c>
      <c r="AA1497" s="77">
        <f t="shared" ref="AA1497:AA1502" si="633">AB1496+1</f>
        <v>145</v>
      </c>
      <c r="AB1497" s="77">
        <f t="shared" ref="AB1497:AB1502" si="634">AB1496+12</f>
        <v>156</v>
      </c>
      <c r="AC1497" s="72">
        <f t="shared" si="621"/>
        <v>1</v>
      </c>
      <c r="AD1497" s="72">
        <f t="shared" si="622"/>
        <v>1</v>
      </c>
      <c r="AE1497" s="109" t="str">
        <f t="shared" si="623"/>
        <v>0-0</v>
      </c>
      <c r="AF1497" s="109" t="str">
        <f t="shared" si="624"/>
        <v>Y</v>
      </c>
      <c r="AG1497" s="109" t="str">
        <f t="shared" si="625"/>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26"/>
        <v>0</v>
      </c>
      <c r="AN1497" s="109">
        <f t="shared" si="627"/>
        <v>0</v>
      </c>
      <c r="AO1497" s="109" t="str">
        <f t="shared" si="628"/>
        <v/>
      </c>
      <c r="AQ1497" s="109" t="str">
        <f t="shared" si="629"/>
        <v/>
      </c>
      <c r="BA1497" s="229">
        <f>MOD(SUM(E1493:E1498),12)</f>
        <v>0</v>
      </c>
    </row>
    <row r="1498" spans="1:53" ht="15.75" thickBot="1" x14ac:dyDescent="0.3">
      <c r="A1498" s="88"/>
      <c r="B1498" s="66" t="s">
        <v>283</v>
      </c>
      <c r="C1498" s="67"/>
      <c r="D1498" s="102"/>
      <c r="E1498" s="32"/>
      <c r="F1498" s="32"/>
      <c r="G1498" s="68" t="s">
        <v>277</v>
      </c>
      <c r="H1498" s="69">
        <f t="shared" si="630"/>
        <v>0</v>
      </c>
      <c r="I1498" s="70">
        <f t="shared" si="631"/>
        <v>0</v>
      </c>
      <c r="J1498" s="73" t="str">
        <f t="shared" si="632"/>
        <v>--</v>
      </c>
      <c r="K1498" s="32"/>
      <c r="L1498" s="233"/>
      <c r="M1498" s="277"/>
      <c r="N1498" s="277"/>
      <c r="O1498" s="277"/>
      <c r="P1498" s="277"/>
      <c r="Q1498" s="277"/>
      <c r="R1498" s="277"/>
      <c r="S1498" s="277"/>
      <c r="T1498" s="277"/>
      <c r="U1498" s="278"/>
      <c r="V1498" s="103"/>
      <c r="W1498" s="72"/>
      <c r="X1498" s="72"/>
      <c r="Y1498" s="72"/>
      <c r="Z1498" s="45">
        <v>14</v>
      </c>
      <c r="AA1498" s="77">
        <f t="shared" si="633"/>
        <v>157</v>
      </c>
      <c r="AB1498" s="77">
        <f t="shared" si="634"/>
        <v>168</v>
      </c>
      <c r="AC1498" s="72">
        <f t="shared" si="621"/>
        <v>1</v>
      </c>
      <c r="AD1498" s="72">
        <f t="shared" si="622"/>
        <v>1</v>
      </c>
      <c r="AE1498" s="109" t="str">
        <f t="shared" si="623"/>
        <v>0-0</v>
      </c>
      <c r="AF1498" s="109" t="str">
        <f t="shared" si="624"/>
        <v>Y</v>
      </c>
      <c r="AG1498" s="109" t="str">
        <f t="shared" si="625"/>
        <v>B</v>
      </c>
      <c r="AM1498" s="109">
        <f t="shared" si="626"/>
        <v>0</v>
      </c>
      <c r="AN1498" s="109">
        <f t="shared" si="627"/>
        <v>0</v>
      </c>
      <c r="AO1498" s="109" t="str">
        <f t="shared" si="628"/>
        <v/>
      </c>
      <c r="AQ1498" s="109" t="str">
        <f t="shared" si="629"/>
        <v/>
      </c>
      <c r="BA1498" s="229">
        <f>MOD(SUM(E1493:E1499),12)</f>
        <v>0</v>
      </c>
    </row>
    <row r="1499" spans="1:53" ht="15.75" thickBot="1" x14ac:dyDescent="0.3">
      <c r="A1499" s="88"/>
      <c r="B1499" s="66" t="s">
        <v>284</v>
      </c>
      <c r="C1499" s="67"/>
      <c r="D1499" s="102"/>
      <c r="E1499" s="32"/>
      <c r="F1499" s="32"/>
      <c r="G1499" s="68" t="s">
        <v>277</v>
      </c>
      <c r="H1499" s="69">
        <f t="shared" si="630"/>
        <v>0</v>
      </c>
      <c r="I1499" s="70">
        <f t="shared" si="631"/>
        <v>0</v>
      </c>
      <c r="J1499" s="73" t="str">
        <f t="shared" si="632"/>
        <v>--</v>
      </c>
      <c r="K1499" s="32"/>
      <c r="L1499" s="233"/>
      <c r="M1499" s="277"/>
      <c r="N1499" s="277"/>
      <c r="O1499" s="277"/>
      <c r="P1499" s="277"/>
      <c r="Q1499" s="277"/>
      <c r="R1499" s="277"/>
      <c r="S1499" s="277"/>
      <c r="T1499" s="277"/>
      <c r="U1499" s="278"/>
      <c r="V1499" s="103"/>
      <c r="W1499" s="72"/>
      <c r="X1499" s="72"/>
      <c r="Y1499" s="72"/>
      <c r="Z1499" s="45">
        <v>15</v>
      </c>
      <c r="AA1499" s="77">
        <f t="shared" si="633"/>
        <v>169</v>
      </c>
      <c r="AB1499" s="77">
        <f t="shared" si="634"/>
        <v>180</v>
      </c>
      <c r="AC1499" s="72">
        <f t="shared" si="621"/>
        <v>1</v>
      </c>
      <c r="AD1499" s="72">
        <f t="shared" si="622"/>
        <v>1</v>
      </c>
      <c r="AE1499" s="109" t="str">
        <f t="shared" si="623"/>
        <v>0-0</v>
      </c>
      <c r="AF1499" s="109" t="str">
        <f t="shared" si="624"/>
        <v>Y</v>
      </c>
      <c r="AG1499" s="109" t="str">
        <f t="shared" si="625"/>
        <v>B</v>
      </c>
      <c r="AM1499" s="109">
        <f t="shared" si="626"/>
        <v>0</v>
      </c>
      <c r="AN1499" s="109">
        <f t="shared" si="627"/>
        <v>0</v>
      </c>
      <c r="AO1499" s="109" t="str">
        <f t="shared" si="628"/>
        <v/>
      </c>
      <c r="AQ1499" s="109" t="str">
        <f t="shared" si="629"/>
        <v/>
      </c>
      <c r="BA1499" s="229">
        <f>MOD(SUM(E1493:E1500),12)</f>
        <v>0</v>
      </c>
    </row>
    <row r="1500" spans="1:53" ht="15.75" thickBot="1" x14ac:dyDescent="0.3">
      <c r="A1500" s="88"/>
      <c r="B1500" s="66" t="s">
        <v>285</v>
      </c>
      <c r="C1500" s="67"/>
      <c r="D1500" s="102"/>
      <c r="E1500" s="32"/>
      <c r="F1500" s="32"/>
      <c r="G1500" s="68" t="s">
        <v>277</v>
      </c>
      <c r="H1500" s="69">
        <f t="shared" si="630"/>
        <v>0</v>
      </c>
      <c r="I1500" s="70">
        <f t="shared" si="631"/>
        <v>0</v>
      </c>
      <c r="J1500" s="73" t="str">
        <f t="shared" si="632"/>
        <v>--</v>
      </c>
      <c r="K1500" s="32"/>
      <c r="L1500" s="233"/>
      <c r="M1500" s="277"/>
      <c r="N1500" s="277"/>
      <c r="O1500" s="277"/>
      <c r="P1500" s="277"/>
      <c r="Q1500" s="277"/>
      <c r="R1500" s="277"/>
      <c r="S1500" s="277"/>
      <c r="T1500" s="277"/>
      <c r="U1500" s="278"/>
      <c r="V1500" s="103"/>
      <c r="W1500" s="72"/>
      <c r="X1500" s="72"/>
      <c r="Y1500" s="72"/>
      <c r="Z1500" s="45">
        <f>Z1499+1</f>
        <v>16</v>
      </c>
      <c r="AA1500" s="77">
        <f t="shared" si="633"/>
        <v>181</v>
      </c>
      <c r="AB1500" s="77">
        <f t="shared" si="634"/>
        <v>192</v>
      </c>
      <c r="AC1500" s="72">
        <f t="shared" si="621"/>
        <v>1</v>
      </c>
      <c r="AD1500" s="72">
        <f t="shared" si="622"/>
        <v>1</v>
      </c>
      <c r="AE1500" s="109" t="str">
        <f t="shared" si="623"/>
        <v>0-0</v>
      </c>
      <c r="AF1500" s="109" t="str">
        <f t="shared" si="624"/>
        <v>Y</v>
      </c>
      <c r="AG1500" s="109" t="str">
        <f t="shared" si="625"/>
        <v>B</v>
      </c>
      <c r="AM1500" s="109">
        <f t="shared" si="626"/>
        <v>0</v>
      </c>
      <c r="AN1500" s="109">
        <f t="shared" si="627"/>
        <v>0</v>
      </c>
      <c r="AO1500" s="109" t="str">
        <f t="shared" si="628"/>
        <v/>
      </c>
      <c r="AQ1500" s="109" t="str">
        <f t="shared" si="629"/>
        <v/>
      </c>
      <c r="BA1500" s="229">
        <f>MOD(SUM(E1493:E1501),12)</f>
        <v>0</v>
      </c>
    </row>
    <row r="1501" spans="1:53" ht="15.75" thickBot="1" x14ac:dyDescent="0.3">
      <c r="A1501" s="88"/>
      <c r="B1501" s="66" t="s">
        <v>286</v>
      </c>
      <c r="C1501" s="67"/>
      <c r="D1501" s="102"/>
      <c r="E1501" s="32"/>
      <c r="F1501" s="32"/>
      <c r="G1501" s="68" t="s">
        <v>277</v>
      </c>
      <c r="H1501" s="69">
        <f t="shared" si="630"/>
        <v>0</v>
      </c>
      <c r="I1501" s="70">
        <f t="shared" si="631"/>
        <v>0</v>
      </c>
      <c r="J1501" s="73" t="str">
        <f t="shared" si="632"/>
        <v>--</v>
      </c>
      <c r="K1501" s="32"/>
      <c r="L1501" s="233"/>
      <c r="M1501" s="277"/>
      <c r="N1501" s="277"/>
      <c r="O1501" s="277"/>
      <c r="P1501" s="277"/>
      <c r="Q1501" s="277"/>
      <c r="R1501" s="277"/>
      <c r="S1501" s="277"/>
      <c r="T1501" s="277"/>
      <c r="U1501" s="278"/>
      <c r="V1501" s="103"/>
      <c r="W1501" s="72"/>
      <c r="X1501" s="72"/>
      <c r="Y1501" s="72"/>
      <c r="Z1501" s="45">
        <f>Z1500+1</f>
        <v>17</v>
      </c>
      <c r="AA1501" s="77">
        <f t="shared" si="633"/>
        <v>193</v>
      </c>
      <c r="AB1501" s="77">
        <f t="shared" si="634"/>
        <v>204</v>
      </c>
      <c r="AC1501" s="72">
        <f t="shared" si="621"/>
        <v>1</v>
      </c>
      <c r="AD1501" s="72">
        <f t="shared" si="622"/>
        <v>1</v>
      </c>
      <c r="AE1501" s="109" t="str">
        <f t="shared" si="623"/>
        <v>0-0</v>
      </c>
      <c r="AF1501" s="109" t="str">
        <f t="shared" si="624"/>
        <v>Y</v>
      </c>
      <c r="AG1501" s="109" t="str">
        <f t="shared" si="625"/>
        <v>B</v>
      </c>
      <c r="AM1501" s="109">
        <f t="shared" si="626"/>
        <v>0</v>
      </c>
      <c r="AN1501" s="109">
        <f t="shared" si="627"/>
        <v>0</v>
      </c>
      <c r="AO1501" s="109" t="str">
        <f t="shared" si="628"/>
        <v/>
      </c>
      <c r="AQ1501" s="109" t="str">
        <f t="shared" si="629"/>
        <v/>
      </c>
      <c r="BA1501" s="229">
        <f>MOD(SUM(E1493:E1502),12)</f>
        <v>0</v>
      </c>
    </row>
    <row r="1502" spans="1:53" ht="15.75" thickBot="1" x14ac:dyDescent="0.3">
      <c r="A1502" s="88"/>
      <c r="B1502" s="66" t="s">
        <v>287</v>
      </c>
      <c r="C1502" s="67"/>
      <c r="D1502" s="102"/>
      <c r="E1502" s="32"/>
      <c r="F1502" s="32"/>
      <c r="G1502" s="68" t="s">
        <v>277</v>
      </c>
      <c r="H1502" s="69">
        <f t="shared" si="630"/>
        <v>0</v>
      </c>
      <c r="I1502" s="70">
        <f t="shared" si="631"/>
        <v>0</v>
      </c>
      <c r="J1502" s="73" t="str">
        <f t="shared" si="632"/>
        <v>--</v>
      </c>
      <c r="K1502" s="32"/>
      <c r="L1502" s="233"/>
      <c r="M1502" s="277"/>
      <c r="N1502" s="277"/>
      <c r="O1502" s="277"/>
      <c r="P1502" s="277"/>
      <c r="Q1502" s="277"/>
      <c r="R1502" s="277"/>
      <c r="S1502" s="277"/>
      <c r="T1502" s="277"/>
      <c r="U1502" s="278"/>
      <c r="V1502" s="103"/>
      <c r="W1502" s="72"/>
      <c r="X1502" s="72"/>
      <c r="Y1502" s="72"/>
      <c r="Z1502" s="45">
        <f>Z1501+1</f>
        <v>18</v>
      </c>
      <c r="AA1502" s="77">
        <f t="shared" si="633"/>
        <v>205</v>
      </c>
      <c r="AB1502" s="77">
        <f t="shared" si="634"/>
        <v>216</v>
      </c>
      <c r="AC1502" s="72">
        <f t="shared" si="621"/>
        <v>1</v>
      </c>
      <c r="AD1502" s="72">
        <f t="shared" si="622"/>
        <v>1</v>
      </c>
      <c r="AE1502" s="109" t="str">
        <f t="shared" si="623"/>
        <v>0-0</v>
      </c>
      <c r="AF1502" s="109" t="str">
        <f t="shared" si="624"/>
        <v>Y</v>
      </c>
      <c r="AG1502" s="109" t="str">
        <f t="shared" si="625"/>
        <v>B</v>
      </c>
      <c r="AM1502" s="109">
        <f t="shared" si="626"/>
        <v>0</v>
      </c>
      <c r="AN1502" s="109">
        <f t="shared" si="627"/>
        <v>0</v>
      </c>
      <c r="AO1502" s="109" t="str">
        <f t="shared" si="628"/>
        <v/>
      </c>
      <c r="AQ1502" s="109" t="str">
        <f t="shared" si="629"/>
        <v/>
      </c>
      <c r="BA1502" s="229">
        <f>MOD(SUM(E1493:E1503),12)</f>
        <v>0</v>
      </c>
    </row>
    <row r="1503" spans="1:53" ht="15.75" thickBot="1" x14ac:dyDescent="0.3">
      <c r="A1503" s="88"/>
      <c r="B1503" s="66" t="s">
        <v>288</v>
      </c>
      <c r="C1503" s="67"/>
      <c r="D1503" s="102"/>
      <c r="E1503" s="32"/>
      <c r="F1503" s="32"/>
      <c r="G1503" s="68" t="s">
        <v>277</v>
      </c>
      <c r="H1503" s="69">
        <f t="shared" si="630"/>
        <v>0</v>
      </c>
      <c r="I1503" s="70">
        <f t="shared" si="631"/>
        <v>0</v>
      </c>
      <c r="J1503" s="73" t="str">
        <f t="shared" si="632"/>
        <v>--</v>
      </c>
      <c r="K1503" s="32"/>
      <c r="L1503" s="233"/>
      <c r="M1503" s="277"/>
      <c r="N1503" s="277"/>
      <c r="O1503" s="277"/>
      <c r="P1503" s="277"/>
      <c r="Q1503" s="277"/>
      <c r="R1503" s="277"/>
      <c r="S1503" s="277"/>
      <c r="T1503" s="277"/>
      <c r="U1503" s="278"/>
      <c r="V1503" s="103"/>
      <c r="W1503" s="84"/>
      <c r="X1503" s="84"/>
      <c r="Y1503" s="72"/>
      <c r="Z1503" s="72"/>
      <c r="AA1503" s="72"/>
      <c r="AB1503" s="72"/>
      <c r="AC1503" s="72">
        <f t="shared" si="621"/>
        <v>1</v>
      </c>
      <c r="AD1503" s="72">
        <f t="shared" si="622"/>
        <v>1</v>
      </c>
      <c r="AE1503" s="109" t="str">
        <f t="shared" si="623"/>
        <v>0-0</v>
      </c>
      <c r="AF1503" s="109" t="str">
        <f t="shared" si="624"/>
        <v>Y</v>
      </c>
      <c r="AG1503" s="109" t="str">
        <f t="shared" si="625"/>
        <v>B</v>
      </c>
      <c r="AM1503" s="109">
        <f t="shared" si="626"/>
        <v>0</v>
      </c>
      <c r="AN1503" s="109">
        <f t="shared" si="627"/>
        <v>0</v>
      </c>
      <c r="AO1503" s="109" t="str">
        <f t="shared" si="628"/>
        <v/>
      </c>
      <c r="AQ1503" s="109" t="str">
        <f t="shared" si="629"/>
        <v/>
      </c>
      <c r="BA1503" s="229">
        <f>MOD(SUM(E1493:E1504),12)</f>
        <v>0</v>
      </c>
    </row>
    <row r="1504" spans="1:53" ht="15.75" thickBot="1" x14ac:dyDescent="0.3">
      <c r="A1504" s="88"/>
      <c r="B1504" s="66" t="s">
        <v>289</v>
      </c>
      <c r="C1504" s="67"/>
      <c r="D1504" s="102"/>
      <c r="E1504" s="32"/>
      <c r="F1504" s="32"/>
      <c r="G1504" s="68" t="s">
        <v>277</v>
      </c>
      <c r="H1504" s="69">
        <f t="shared" si="630"/>
        <v>0</v>
      </c>
      <c r="I1504" s="70">
        <f t="shared" si="631"/>
        <v>0</v>
      </c>
      <c r="J1504" s="73" t="str">
        <f t="shared" si="632"/>
        <v>--</v>
      </c>
      <c r="K1504" s="32"/>
      <c r="L1504" s="233"/>
      <c r="M1504" s="277"/>
      <c r="N1504" s="277"/>
      <c r="O1504" s="277"/>
      <c r="P1504" s="277"/>
      <c r="Q1504" s="277"/>
      <c r="R1504" s="277"/>
      <c r="S1504" s="277"/>
      <c r="T1504" s="277"/>
      <c r="U1504" s="278"/>
      <c r="V1504" s="103"/>
      <c r="W1504" s="84">
        <f>Y1504+1</f>
        <v>1</v>
      </c>
      <c r="X1504" s="84"/>
      <c r="Y1504" s="78">
        <f>SUM(E1493:E1504)</f>
        <v>0</v>
      </c>
      <c r="Z1504" s="72"/>
      <c r="AA1504" s="72"/>
      <c r="AB1504" s="72"/>
      <c r="AC1504" s="72">
        <f t="shared" si="621"/>
        <v>1</v>
      </c>
      <c r="AD1504" s="72">
        <f t="shared" si="622"/>
        <v>1</v>
      </c>
      <c r="AE1504" s="109" t="str">
        <f t="shared" si="623"/>
        <v>0-0</v>
      </c>
      <c r="AF1504" s="109" t="str">
        <f t="shared" si="624"/>
        <v>Y</v>
      </c>
      <c r="AG1504" s="109" t="str">
        <f t="shared" si="625"/>
        <v>B</v>
      </c>
      <c r="AM1504" s="109">
        <f t="shared" si="626"/>
        <v>0</v>
      </c>
      <c r="AN1504" s="109">
        <f t="shared" si="627"/>
        <v>0</v>
      </c>
      <c r="AO1504" s="109" t="str">
        <f t="shared" si="628"/>
        <v/>
      </c>
      <c r="AQ1504" s="109" t="str">
        <f t="shared" si="629"/>
        <v/>
      </c>
      <c r="BA1504" s="229">
        <f>MOD(SUM(E1493:E1505),12)</f>
        <v>0</v>
      </c>
    </row>
    <row r="1505" spans="1:53" ht="15.75" thickBot="1" x14ac:dyDescent="0.3">
      <c r="A1505" s="88"/>
      <c r="B1505" s="66" t="s">
        <v>290</v>
      </c>
      <c r="C1505" s="67"/>
      <c r="D1505" s="102"/>
      <c r="E1505" s="32"/>
      <c r="F1505" s="32"/>
      <c r="G1505" s="68" t="s">
        <v>277</v>
      </c>
      <c r="H1505" s="69">
        <f t="shared" si="630"/>
        <v>0</v>
      </c>
      <c r="I1505" s="70">
        <f t="shared" si="631"/>
        <v>0</v>
      </c>
      <c r="J1505" s="73" t="str">
        <f t="shared" si="632"/>
        <v>--</v>
      </c>
      <c r="K1505" s="32"/>
      <c r="L1505" s="233"/>
      <c r="M1505" s="277"/>
      <c r="N1505" s="277"/>
      <c r="O1505" s="277"/>
      <c r="P1505" s="277"/>
      <c r="Q1505" s="277"/>
      <c r="R1505" s="277"/>
      <c r="S1505" s="277"/>
      <c r="T1505" s="277"/>
      <c r="U1505" s="278"/>
      <c r="V1505" s="103"/>
      <c r="W1505" s="84">
        <f>Y1505+1</f>
        <v>1</v>
      </c>
      <c r="X1505" s="84"/>
      <c r="Y1505" s="78">
        <f>SUM(E1493:E1505)</f>
        <v>0</v>
      </c>
      <c r="Z1505" s="72" t="str">
        <f t="shared" ref="Z1505:Z1517" si="635">IF(OR(AND(E$8=216,C1504="DBL REV",C1505="DBL REV",Y1504&lt;=144,Y1505&gt;144),AND(E$8=216,C1504="TPL REV",C1505="TPL REV",Y1504&lt;=144,Y1505&gt;144),AND(E$8=216,C1504="QD REV",C1505="QD REV",Y1504&lt;=144,Y1505&gt;144)),"ERROR","")</f>
        <v/>
      </c>
      <c r="AA1505" s="72"/>
      <c r="AB1505" s="72"/>
      <c r="AC1505" s="72">
        <f t="shared" si="621"/>
        <v>1</v>
      </c>
      <c r="AD1505" s="72">
        <f t="shared" si="622"/>
        <v>1</v>
      </c>
      <c r="AE1505" s="109" t="str">
        <f t="shared" si="623"/>
        <v>0-0</v>
      </c>
      <c r="AF1505" s="109" t="str">
        <f t="shared" si="624"/>
        <v>Y</v>
      </c>
      <c r="AG1505" s="109" t="str">
        <f t="shared" si="625"/>
        <v>B</v>
      </c>
      <c r="AM1505" s="109">
        <f t="shared" si="626"/>
        <v>0</v>
      </c>
      <c r="AN1505" s="109">
        <f t="shared" si="627"/>
        <v>0</v>
      </c>
      <c r="AO1505" s="109" t="str">
        <f t="shared" si="628"/>
        <v/>
      </c>
      <c r="AQ1505" s="109" t="str">
        <f t="shared" si="629"/>
        <v/>
      </c>
      <c r="BA1505" s="229">
        <f>MOD(SUM(E1493:E1506),12)</f>
        <v>0</v>
      </c>
    </row>
    <row r="1506" spans="1:53" ht="15.75" thickBot="1" x14ac:dyDescent="0.3">
      <c r="A1506" s="88"/>
      <c r="B1506" s="66" t="s">
        <v>291</v>
      </c>
      <c r="C1506" s="67"/>
      <c r="D1506" s="102"/>
      <c r="E1506" s="32"/>
      <c r="F1506" s="32"/>
      <c r="G1506" s="68" t="s">
        <v>277</v>
      </c>
      <c r="H1506" s="69">
        <f t="shared" si="630"/>
        <v>0</v>
      </c>
      <c r="I1506" s="70">
        <f t="shared" si="631"/>
        <v>0</v>
      </c>
      <c r="J1506" s="73" t="str">
        <f t="shared" si="632"/>
        <v>--</v>
      </c>
      <c r="K1506" s="32"/>
      <c r="L1506" s="233"/>
      <c r="M1506" s="277"/>
      <c r="N1506" s="277"/>
      <c r="O1506" s="277"/>
      <c r="P1506" s="277"/>
      <c r="Q1506" s="277"/>
      <c r="R1506" s="277"/>
      <c r="S1506" s="277"/>
      <c r="T1506" s="277"/>
      <c r="U1506" s="278"/>
      <c r="V1506" s="103"/>
      <c r="W1506" s="84">
        <f>Y1506+1</f>
        <v>1</v>
      </c>
      <c r="X1506" s="84"/>
      <c r="Y1506" s="78">
        <f>SUM(E1493:E1506)</f>
        <v>0</v>
      </c>
      <c r="Z1506" s="72" t="str">
        <f t="shared" si="635"/>
        <v/>
      </c>
      <c r="AA1506" s="72"/>
      <c r="AB1506" s="72"/>
      <c r="AC1506" s="72">
        <f t="shared" si="621"/>
        <v>1</v>
      </c>
      <c r="AD1506" s="72">
        <f t="shared" si="622"/>
        <v>1</v>
      </c>
      <c r="AE1506" s="109" t="str">
        <f t="shared" si="623"/>
        <v>0-0</v>
      </c>
      <c r="AF1506" s="109" t="str">
        <f t="shared" si="624"/>
        <v>Y</v>
      </c>
      <c r="AG1506" s="109" t="str">
        <f t="shared" si="625"/>
        <v>B</v>
      </c>
      <c r="AM1506" s="109">
        <f t="shared" si="626"/>
        <v>0</v>
      </c>
      <c r="AN1506" s="109">
        <f t="shared" si="627"/>
        <v>0</v>
      </c>
      <c r="AO1506" s="109" t="str">
        <f t="shared" si="628"/>
        <v/>
      </c>
      <c r="AQ1506" s="109" t="str">
        <f t="shared" si="629"/>
        <v/>
      </c>
      <c r="BA1506" s="229">
        <f>MOD(SUM(E1493:E1507),12)</f>
        <v>0</v>
      </c>
    </row>
    <row r="1507" spans="1:53" ht="15.75" thickBot="1" x14ac:dyDescent="0.3">
      <c r="A1507" s="88"/>
      <c r="B1507" s="66" t="s">
        <v>292</v>
      </c>
      <c r="C1507" s="67"/>
      <c r="D1507" s="102"/>
      <c r="E1507" s="32"/>
      <c r="F1507" s="32"/>
      <c r="G1507" s="68" t="s">
        <v>277</v>
      </c>
      <c r="H1507" s="69">
        <f t="shared" si="630"/>
        <v>0</v>
      </c>
      <c r="I1507" s="70">
        <f t="shared" si="631"/>
        <v>0</v>
      </c>
      <c r="J1507" s="73" t="str">
        <f t="shared" si="632"/>
        <v>--</v>
      </c>
      <c r="K1507" s="32"/>
      <c r="L1507" s="233"/>
      <c r="M1507" s="277"/>
      <c r="N1507" s="277"/>
      <c r="O1507" s="277"/>
      <c r="P1507" s="277"/>
      <c r="Q1507" s="277"/>
      <c r="R1507" s="277"/>
      <c r="S1507" s="277"/>
      <c r="T1507" s="277"/>
      <c r="U1507" s="278"/>
      <c r="V1507" s="103"/>
      <c r="W1507" s="84">
        <f>Y1507+1</f>
        <v>1</v>
      </c>
      <c r="X1507" s="84"/>
      <c r="Y1507" s="78">
        <f>SUM(E1493:E1507)</f>
        <v>0</v>
      </c>
      <c r="Z1507" s="72" t="str">
        <f t="shared" si="635"/>
        <v/>
      </c>
      <c r="AA1507" s="72" t="str">
        <f t="shared" ref="AA1507:AA1519" si="636">IF(AND(C1505&lt;&gt;"Field SPL",W1504&lt;=144,Y1505&gt;144),"ERROR","")</f>
        <v/>
      </c>
      <c r="AB1507" s="72"/>
      <c r="AC1507" s="72">
        <f t="shared" si="621"/>
        <v>1</v>
      </c>
      <c r="AD1507" s="72">
        <f t="shared" si="622"/>
        <v>1</v>
      </c>
      <c r="AE1507" s="109" t="str">
        <f t="shared" si="623"/>
        <v>0-0</v>
      </c>
      <c r="AF1507" s="109" t="str">
        <f t="shared" si="624"/>
        <v>Y</v>
      </c>
      <c r="AG1507" s="109" t="str">
        <f t="shared" si="625"/>
        <v>B</v>
      </c>
      <c r="AM1507" s="109">
        <f t="shared" si="626"/>
        <v>0</v>
      </c>
      <c r="AN1507" s="109">
        <f t="shared" si="627"/>
        <v>0</v>
      </c>
      <c r="AO1507" s="109" t="str">
        <f t="shared" si="628"/>
        <v/>
      </c>
      <c r="AQ1507" s="109" t="str">
        <f t="shared" si="629"/>
        <v/>
      </c>
      <c r="BA1507" s="229">
        <f>MOD(SUM(E1493:E1508),12)</f>
        <v>0</v>
      </c>
    </row>
    <row r="1508" spans="1:53" ht="15.75" thickBot="1" x14ac:dyDescent="0.3">
      <c r="A1508" s="88"/>
      <c r="B1508" s="66" t="s">
        <v>293</v>
      </c>
      <c r="C1508" s="67"/>
      <c r="D1508" s="102"/>
      <c r="E1508" s="32"/>
      <c r="F1508" s="32"/>
      <c r="G1508" s="68" t="s">
        <v>277</v>
      </c>
      <c r="H1508" s="69">
        <f t="shared" si="630"/>
        <v>0</v>
      </c>
      <c r="I1508" s="70">
        <f t="shared" si="631"/>
        <v>0</v>
      </c>
      <c r="J1508" s="73" t="str">
        <f t="shared" si="632"/>
        <v>--</v>
      </c>
      <c r="K1508" s="32"/>
      <c r="L1508" s="233"/>
      <c r="M1508" s="277"/>
      <c r="N1508" s="277"/>
      <c r="O1508" s="277"/>
      <c r="P1508" s="277"/>
      <c r="Q1508" s="277"/>
      <c r="R1508" s="277"/>
      <c r="S1508" s="277"/>
      <c r="T1508" s="277"/>
      <c r="U1508" s="278"/>
      <c r="V1508" s="103"/>
      <c r="W1508" s="84">
        <f t="shared" ref="W1508:W1516" si="637">Y1508+1</f>
        <v>1</v>
      </c>
      <c r="X1508" s="84"/>
      <c r="Y1508" s="78">
        <f>SUM(E1493:E1508)</f>
        <v>0</v>
      </c>
      <c r="Z1508" s="72" t="str">
        <f t="shared" si="635"/>
        <v/>
      </c>
      <c r="AA1508" s="72" t="str">
        <f t="shared" si="636"/>
        <v/>
      </c>
      <c r="AB1508" s="72"/>
      <c r="AC1508" s="72">
        <f t="shared" si="621"/>
        <v>1</v>
      </c>
      <c r="AD1508" s="72">
        <f t="shared" si="622"/>
        <v>1</v>
      </c>
      <c r="AE1508" s="109" t="str">
        <f t="shared" si="623"/>
        <v>0-0</v>
      </c>
      <c r="AF1508" s="109" t="str">
        <f t="shared" si="624"/>
        <v>Y</v>
      </c>
      <c r="AG1508" s="109" t="str">
        <f t="shared" si="625"/>
        <v>B</v>
      </c>
      <c r="AM1508" s="109">
        <f t="shared" si="626"/>
        <v>0</v>
      </c>
      <c r="AN1508" s="109">
        <f t="shared" si="627"/>
        <v>0</v>
      </c>
      <c r="AO1508" s="109" t="str">
        <f t="shared" si="628"/>
        <v/>
      </c>
      <c r="AQ1508" s="109" t="str">
        <f t="shared" si="629"/>
        <v/>
      </c>
      <c r="BA1508" s="229">
        <f>MOD(SUM(E1493:E1509),12)</f>
        <v>0</v>
      </c>
    </row>
    <row r="1509" spans="1:53" ht="15.75" thickBot="1" x14ac:dyDescent="0.3">
      <c r="A1509" s="88"/>
      <c r="B1509" s="66" t="s">
        <v>294</v>
      </c>
      <c r="C1509" s="67"/>
      <c r="D1509" s="102"/>
      <c r="E1509" s="32"/>
      <c r="F1509" s="32"/>
      <c r="G1509" s="68" t="s">
        <v>277</v>
      </c>
      <c r="H1509" s="69">
        <f t="shared" si="630"/>
        <v>0</v>
      </c>
      <c r="I1509" s="70">
        <f t="shared" si="631"/>
        <v>0</v>
      </c>
      <c r="J1509" s="73" t="str">
        <f t="shared" si="632"/>
        <v>--</v>
      </c>
      <c r="K1509" s="32"/>
      <c r="L1509" s="233"/>
      <c r="M1509" s="277"/>
      <c r="N1509" s="277"/>
      <c r="O1509" s="277"/>
      <c r="P1509" s="277"/>
      <c r="Q1509" s="277"/>
      <c r="R1509" s="277"/>
      <c r="S1509" s="277"/>
      <c r="T1509" s="277"/>
      <c r="U1509" s="278"/>
      <c r="V1509" s="103"/>
      <c r="W1509" s="84">
        <f t="shared" si="637"/>
        <v>1</v>
      </c>
      <c r="X1509" s="84"/>
      <c r="Y1509" s="78">
        <f>SUM(E1493:E1509)</f>
        <v>0</v>
      </c>
      <c r="Z1509" s="72" t="str">
        <f t="shared" si="635"/>
        <v/>
      </c>
      <c r="AA1509" s="72" t="str">
        <f t="shared" si="636"/>
        <v/>
      </c>
      <c r="AB1509" s="72"/>
      <c r="AC1509" s="72">
        <f t="shared" si="621"/>
        <v>1</v>
      </c>
      <c r="AD1509" s="72">
        <f t="shared" si="622"/>
        <v>1</v>
      </c>
      <c r="AE1509" s="109" t="str">
        <f t="shared" si="623"/>
        <v>0-0</v>
      </c>
      <c r="AF1509" s="109" t="str">
        <f t="shared" si="624"/>
        <v>Y</v>
      </c>
      <c r="AG1509" s="109" t="str">
        <f t="shared" si="625"/>
        <v>B</v>
      </c>
      <c r="AM1509" s="109">
        <f t="shared" si="626"/>
        <v>0</v>
      </c>
      <c r="AN1509" s="109">
        <f t="shared" si="627"/>
        <v>0</v>
      </c>
      <c r="AO1509" s="109" t="str">
        <f t="shared" si="628"/>
        <v/>
      </c>
      <c r="AQ1509" s="109" t="str">
        <f t="shared" si="629"/>
        <v/>
      </c>
      <c r="BA1509" s="229">
        <f>MOD(SUM(E1493:E1510),12)</f>
        <v>0</v>
      </c>
    </row>
    <row r="1510" spans="1:53" ht="15.75" thickBot="1" x14ac:dyDescent="0.3">
      <c r="A1510" s="88"/>
      <c r="B1510" s="66" t="s">
        <v>295</v>
      </c>
      <c r="C1510" s="67"/>
      <c r="D1510" s="102"/>
      <c r="E1510" s="32"/>
      <c r="F1510" s="32"/>
      <c r="G1510" s="68" t="s">
        <v>277</v>
      </c>
      <c r="H1510" s="69">
        <f t="shared" si="630"/>
        <v>0</v>
      </c>
      <c r="I1510" s="70">
        <f t="shared" si="631"/>
        <v>0</v>
      </c>
      <c r="J1510" s="73" t="str">
        <f t="shared" si="632"/>
        <v>--</v>
      </c>
      <c r="K1510" s="32"/>
      <c r="L1510" s="233"/>
      <c r="M1510" s="277"/>
      <c r="N1510" s="277"/>
      <c r="O1510" s="277"/>
      <c r="P1510" s="277"/>
      <c r="Q1510" s="277"/>
      <c r="R1510" s="277"/>
      <c r="S1510" s="277"/>
      <c r="T1510" s="277"/>
      <c r="U1510" s="278"/>
      <c r="V1510" s="103"/>
      <c r="W1510" s="84">
        <f t="shared" si="637"/>
        <v>1</v>
      </c>
      <c r="X1510" s="84"/>
      <c r="Y1510" s="78">
        <f>SUM(E1493:E1510)</f>
        <v>0</v>
      </c>
      <c r="Z1510" s="72" t="str">
        <f t="shared" si="635"/>
        <v/>
      </c>
      <c r="AA1510" s="72" t="str">
        <f t="shared" si="636"/>
        <v/>
      </c>
      <c r="AB1510" s="72"/>
      <c r="AC1510" s="72">
        <f t="shared" si="621"/>
        <v>1</v>
      </c>
      <c r="AD1510" s="72">
        <f t="shared" si="622"/>
        <v>1</v>
      </c>
      <c r="AE1510" s="109" t="str">
        <f t="shared" si="623"/>
        <v>0-0</v>
      </c>
      <c r="AF1510" s="109" t="str">
        <f t="shared" si="624"/>
        <v>Y</v>
      </c>
      <c r="AG1510" s="109" t="str">
        <f t="shared" si="625"/>
        <v>B</v>
      </c>
      <c r="AM1510" s="109">
        <f t="shared" si="626"/>
        <v>0</v>
      </c>
      <c r="AN1510" s="109">
        <f t="shared" si="627"/>
        <v>0</v>
      </c>
      <c r="AO1510" s="109" t="str">
        <f t="shared" si="628"/>
        <v/>
      </c>
      <c r="AQ1510" s="109" t="str">
        <f t="shared" si="629"/>
        <v/>
      </c>
      <c r="BA1510" s="229">
        <f>MOD(SUM(E1493:E1511),12)</f>
        <v>0</v>
      </c>
    </row>
    <row r="1511" spans="1:53" ht="15.75" thickBot="1" x14ac:dyDescent="0.3">
      <c r="A1511" s="88"/>
      <c r="B1511" s="66" t="s">
        <v>296</v>
      </c>
      <c r="C1511" s="67"/>
      <c r="D1511" s="102"/>
      <c r="E1511" s="32"/>
      <c r="F1511" s="32"/>
      <c r="G1511" s="68" t="s">
        <v>277</v>
      </c>
      <c r="H1511" s="69">
        <f t="shared" si="630"/>
        <v>0</v>
      </c>
      <c r="I1511" s="70">
        <f t="shared" si="631"/>
        <v>0</v>
      </c>
      <c r="J1511" s="73" t="str">
        <f t="shared" si="632"/>
        <v>--</v>
      </c>
      <c r="K1511" s="32"/>
      <c r="L1511" s="233"/>
      <c r="M1511" s="277"/>
      <c r="N1511" s="277"/>
      <c r="O1511" s="277"/>
      <c r="P1511" s="277"/>
      <c r="Q1511" s="277"/>
      <c r="R1511" s="277"/>
      <c r="S1511" s="277"/>
      <c r="T1511" s="277"/>
      <c r="U1511" s="278"/>
      <c r="V1511" s="103"/>
      <c r="W1511" s="84">
        <f t="shared" si="637"/>
        <v>1</v>
      </c>
      <c r="X1511" s="84"/>
      <c r="Y1511" s="78">
        <f>SUM(E1493:E1511)</f>
        <v>0</v>
      </c>
      <c r="Z1511" s="72" t="str">
        <f t="shared" si="635"/>
        <v/>
      </c>
      <c r="AA1511" s="72" t="str">
        <f t="shared" si="636"/>
        <v/>
      </c>
      <c r="AB1511" s="72"/>
      <c r="AC1511" s="72">
        <f t="shared" si="621"/>
        <v>1</v>
      </c>
      <c r="AD1511" s="72">
        <f t="shared" si="622"/>
        <v>1</v>
      </c>
      <c r="AE1511" s="109" t="str">
        <f t="shared" si="623"/>
        <v>0-0</v>
      </c>
      <c r="AF1511" s="109" t="str">
        <f t="shared" si="624"/>
        <v>Y</v>
      </c>
      <c r="AG1511" s="109" t="str">
        <f t="shared" si="625"/>
        <v>B</v>
      </c>
      <c r="AM1511" s="109">
        <f t="shared" si="626"/>
        <v>0</v>
      </c>
      <c r="AN1511" s="109">
        <f t="shared" si="627"/>
        <v>0</v>
      </c>
      <c r="AO1511" s="109" t="str">
        <f t="shared" si="628"/>
        <v/>
      </c>
      <c r="AQ1511" s="109" t="str">
        <f t="shared" si="629"/>
        <v/>
      </c>
      <c r="BA1511" s="229">
        <f>MOD(SUM(E1493:E1512),12)</f>
        <v>0</v>
      </c>
    </row>
    <row r="1512" spans="1:53" ht="15.75" thickBot="1" x14ac:dyDescent="0.3">
      <c r="A1512" s="88"/>
      <c r="B1512" s="66" t="s">
        <v>297</v>
      </c>
      <c r="C1512" s="67"/>
      <c r="D1512" s="102"/>
      <c r="E1512" s="32"/>
      <c r="F1512" s="32"/>
      <c r="G1512" s="68" t="s">
        <v>277</v>
      </c>
      <c r="H1512" s="69">
        <f t="shared" si="630"/>
        <v>0</v>
      </c>
      <c r="I1512" s="70">
        <f t="shared" si="631"/>
        <v>0</v>
      </c>
      <c r="J1512" s="73" t="str">
        <f t="shared" si="632"/>
        <v>--</v>
      </c>
      <c r="K1512" s="32"/>
      <c r="L1512" s="233"/>
      <c r="M1512" s="277"/>
      <c r="N1512" s="277"/>
      <c r="O1512" s="277"/>
      <c r="P1512" s="277"/>
      <c r="Q1512" s="277"/>
      <c r="R1512" s="277"/>
      <c r="S1512" s="277"/>
      <c r="T1512" s="277"/>
      <c r="U1512" s="278"/>
      <c r="V1512" s="103"/>
      <c r="W1512" s="84">
        <f t="shared" si="637"/>
        <v>1</v>
      </c>
      <c r="X1512" s="84"/>
      <c r="Y1512" s="78">
        <f>SUM(E1493:E1512)</f>
        <v>0</v>
      </c>
      <c r="Z1512" s="72" t="str">
        <f t="shared" si="635"/>
        <v/>
      </c>
      <c r="AA1512" s="72" t="str">
        <f t="shared" si="636"/>
        <v/>
      </c>
      <c r="AB1512" s="72"/>
      <c r="AC1512" s="72">
        <f t="shared" si="621"/>
        <v>1</v>
      </c>
      <c r="AD1512" s="72">
        <f t="shared" si="622"/>
        <v>1</v>
      </c>
      <c r="AE1512" s="109" t="str">
        <f t="shared" si="623"/>
        <v>0-0</v>
      </c>
      <c r="AF1512" s="109" t="str">
        <f t="shared" si="624"/>
        <v>Y</v>
      </c>
      <c r="AG1512" s="109" t="str">
        <f t="shared" si="625"/>
        <v>B</v>
      </c>
      <c r="AM1512" s="109">
        <f t="shared" si="626"/>
        <v>0</v>
      </c>
      <c r="AN1512" s="109">
        <f t="shared" si="627"/>
        <v>0</v>
      </c>
      <c r="AO1512" s="109" t="str">
        <f t="shared" si="628"/>
        <v/>
      </c>
      <c r="AQ1512" s="109" t="str">
        <f t="shared" si="629"/>
        <v/>
      </c>
      <c r="BA1512" s="229">
        <f>MOD(SUM(E1493:E1513),12)</f>
        <v>0</v>
      </c>
    </row>
    <row r="1513" spans="1:53" ht="15.75" thickBot="1" x14ac:dyDescent="0.3">
      <c r="A1513" s="88"/>
      <c r="B1513" s="66" t="s">
        <v>298</v>
      </c>
      <c r="C1513" s="67"/>
      <c r="D1513" s="102"/>
      <c r="E1513" s="32"/>
      <c r="F1513" s="32"/>
      <c r="G1513" s="68" t="s">
        <v>277</v>
      </c>
      <c r="H1513" s="69">
        <f t="shared" si="630"/>
        <v>0</v>
      </c>
      <c r="I1513" s="70">
        <f t="shared" si="631"/>
        <v>0</v>
      </c>
      <c r="J1513" s="73" t="str">
        <f t="shared" si="632"/>
        <v>--</v>
      </c>
      <c r="K1513" s="32"/>
      <c r="L1513" s="233"/>
      <c r="M1513" s="277"/>
      <c r="N1513" s="277"/>
      <c r="O1513" s="277"/>
      <c r="P1513" s="277"/>
      <c r="Q1513" s="277"/>
      <c r="R1513" s="277"/>
      <c r="S1513" s="277"/>
      <c r="T1513" s="277"/>
      <c r="U1513" s="278"/>
      <c r="V1513" s="103"/>
      <c r="W1513" s="84">
        <f t="shared" si="637"/>
        <v>1</v>
      </c>
      <c r="X1513" s="84"/>
      <c r="Y1513" s="78">
        <f>SUM(E1493:E1513)</f>
        <v>0</v>
      </c>
      <c r="Z1513" s="72" t="str">
        <f t="shared" si="635"/>
        <v/>
      </c>
      <c r="AA1513" s="72" t="str">
        <f t="shared" si="636"/>
        <v/>
      </c>
      <c r="AB1513" s="72"/>
      <c r="AC1513" s="72">
        <f t="shared" si="621"/>
        <v>1</v>
      </c>
      <c r="AD1513" s="72">
        <f t="shared" si="622"/>
        <v>1</v>
      </c>
      <c r="AE1513" s="109" t="str">
        <f t="shared" si="623"/>
        <v>0-0</v>
      </c>
      <c r="AF1513" s="109" t="str">
        <f t="shared" si="624"/>
        <v>Y</v>
      </c>
      <c r="AG1513" s="109" t="str">
        <f t="shared" si="625"/>
        <v>B</v>
      </c>
      <c r="AM1513" s="109">
        <f t="shared" si="626"/>
        <v>0</v>
      </c>
      <c r="AN1513" s="109">
        <f t="shared" si="627"/>
        <v>0</v>
      </c>
      <c r="AO1513" s="109" t="str">
        <f t="shared" si="628"/>
        <v/>
      </c>
      <c r="AQ1513" s="109" t="str">
        <f t="shared" si="629"/>
        <v/>
      </c>
      <c r="BA1513" s="229">
        <f>MOD(SUM(E1493:E1514),12)</f>
        <v>0</v>
      </c>
    </row>
    <row r="1514" spans="1:53" ht="15.75" thickBot="1" x14ac:dyDescent="0.3">
      <c r="A1514" s="88"/>
      <c r="B1514" s="66" t="s">
        <v>299</v>
      </c>
      <c r="C1514" s="67"/>
      <c r="D1514" s="102"/>
      <c r="E1514" s="32"/>
      <c r="F1514" s="32"/>
      <c r="G1514" s="68" t="s">
        <v>277</v>
      </c>
      <c r="H1514" s="69">
        <f t="shared" si="630"/>
        <v>0</v>
      </c>
      <c r="I1514" s="70">
        <f t="shared" si="631"/>
        <v>0</v>
      </c>
      <c r="J1514" s="73" t="str">
        <f t="shared" si="632"/>
        <v>--</v>
      </c>
      <c r="K1514" s="32"/>
      <c r="L1514" s="233"/>
      <c r="M1514" s="277"/>
      <c r="N1514" s="277"/>
      <c r="O1514" s="277"/>
      <c r="P1514" s="277"/>
      <c r="Q1514" s="277"/>
      <c r="R1514" s="277"/>
      <c r="S1514" s="277"/>
      <c r="T1514" s="277"/>
      <c r="U1514" s="278"/>
      <c r="V1514" s="103"/>
      <c r="W1514" s="84">
        <f t="shared" si="637"/>
        <v>1</v>
      </c>
      <c r="X1514" s="84"/>
      <c r="Y1514" s="78">
        <f>SUM(E1493:E1514)</f>
        <v>0</v>
      </c>
      <c r="Z1514" s="72" t="str">
        <f t="shared" si="635"/>
        <v/>
      </c>
      <c r="AA1514" s="72" t="str">
        <f t="shared" si="636"/>
        <v/>
      </c>
      <c r="AB1514" s="72"/>
      <c r="AC1514" s="72">
        <f t="shared" si="621"/>
        <v>1</v>
      </c>
      <c r="AD1514" s="72">
        <f t="shared" si="622"/>
        <v>1</v>
      </c>
      <c r="AE1514" s="109" t="str">
        <f t="shared" si="623"/>
        <v>0-0</v>
      </c>
      <c r="AF1514" s="109" t="str">
        <f t="shared" si="624"/>
        <v>Y</v>
      </c>
      <c r="AG1514" s="109" t="str">
        <f t="shared" si="625"/>
        <v>B</v>
      </c>
      <c r="AM1514" s="109">
        <f t="shared" si="626"/>
        <v>0</v>
      </c>
      <c r="AN1514" s="109">
        <f t="shared" si="627"/>
        <v>0</v>
      </c>
      <c r="AO1514" s="109" t="str">
        <f t="shared" si="628"/>
        <v/>
      </c>
      <c r="AQ1514" s="109" t="str">
        <f t="shared" si="629"/>
        <v/>
      </c>
      <c r="BA1514" s="229">
        <f>MOD(SUM(E1493:E1515),12)</f>
        <v>0</v>
      </c>
    </row>
    <row r="1515" spans="1:53" ht="15.75" thickBot="1" x14ac:dyDescent="0.3">
      <c r="A1515" s="88"/>
      <c r="B1515" s="66" t="s">
        <v>300</v>
      </c>
      <c r="C1515" s="67"/>
      <c r="D1515" s="102"/>
      <c r="E1515" s="32"/>
      <c r="F1515" s="32"/>
      <c r="G1515" s="68" t="s">
        <v>277</v>
      </c>
      <c r="H1515" s="69">
        <f t="shared" si="630"/>
        <v>0</v>
      </c>
      <c r="I1515" s="70">
        <f t="shared" si="631"/>
        <v>0</v>
      </c>
      <c r="J1515" s="73" t="str">
        <f t="shared" si="632"/>
        <v>--</v>
      </c>
      <c r="K1515" s="32"/>
      <c r="L1515" s="233"/>
      <c r="M1515" s="277"/>
      <c r="N1515" s="277"/>
      <c r="O1515" s="277"/>
      <c r="P1515" s="277"/>
      <c r="Q1515" s="277"/>
      <c r="R1515" s="277"/>
      <c r="S1515" s="277"/>
      <c r="T1515" s="277"/>
      <c r="U1515" s="278"/>
      <c r="V1515" s="103"/>
      <c r="W1515" s="84">
        <f t="shared" si="637"/>
        <v>1</v>
      </c>
      <c r="X1515" s="84"/>
      <c r="Y1515" s="78">
        <f>SUM(E1493:E1515)</f>
        <v>0</v>
      </c>
      <c r="Z1515" s="72" t="str">
        <f t="shared" si="635"/>
        <v/>
      </c>
      <c r="AA1515" s="72" t="str">
        <f t="shared" si="636"/>
        <v/>
      </c>
      <c r="AB1515" s="72"/>
      <c r="AC1515" s="72">
        <f t="shared" si="621"/>
        <v>1</v>
      </c>
      <c r="AD1515" s="72">
        <f t="shared" si="622"/>
        <v>1</v>
      </c>
      <c r="AE1515" s="109" t="str">
        <f t="shared" si="623"/>
        <v>0-0</v>
      </c>
      <c r="AF1515" s="109" t="str">
        <f t="shared" si="624"/>
        <v>Y</v>
      </c>
      <c r="AG1515" s="109" t="str">
        <f t="shared" si="625"/>
        <v>B</v>
      </c>
      <c r="AM1515" s="109">
        <f t="shared" si="626"/>
        <v>0</v>
      </c>
      <c r="AN1515" s="109">
        <f t="shared" si="627"/>
        <v>0</v>
      </c>
      <c r="AO1515" s="109" t="str">
        <f t="shared" si="628"/>
        <v/>
      </c>
      <c r="AQ1515" s="109" t="str">
        <f t="shared" si="629"/>
        <v/>
      </c>
      <c r="BA1515" s="229">
        <f>MOD(SUM(E1493:E1516),12)</f>
        <v>0</v>
      </c>
    </row>
    <row r="1516" spans="1:53" ht="15.75" thickBot="1" x14ac:dyDescent="0.3">
      <c r="A1516" s="88"/>
      <c r="B1516" s="66" t="s">
        <v>301</v>
      </c>
      <c r="C1516" s="67"/>
      <c r="D1516" s="102"/>
      <c r="E1516" s="32"/>
      <c r="F1516" s="32"/>
      <c r="G1516" s="68" t="s">
        <v>277</v>
      </c>
      <c r="H1516" s="69">
        <f t="shared" si="630"/>
        <v>0</v>
      </c>
      <c r="I1516" s="70">
        <f t="shared" si="631"/>
        <v>0</v>
      </c>
      <c r="J1516" s="73" t="str">
        <f t="shared" si="632"/>
        <v>--</v>
      </c>
      <c r="K1516" s="32"/>
      <c r="L1516" s="233"/>
      <c r="M1516" s="277"/>
      <c r="N1516" s="277"/>
      <c r="O1516" s="277"/>
      <c r="P1516" s="277"/>
      <c r="Q1516" s="277"/>
      <c r="R1516" s="277"/>
      <c r="S1516" s="277"/>
      <c r="T1516" s="277"/>
      <c r="U1516" s="278"/>
      <c r="V1516" s="103"/>
      <c r="W1516" s="84">
        <f t="shared" si="637"/>
        <v>1</v>
      </c>
      <c r="X1516" s="84"/>
      <c r="Y1516" s="78">
        <f>SUM(E1493:E1516)</f>
        <v>0</v>
      </c>
      <c r="Z1516" s="72" t="str">
        <f t="shared" si="635"/>
        <v/>
      </c>
      <c r="AA1516" s="72" t="str">
        <f t="shared" si="636"/>
        <v/>
      </c>
      <c r="AB1516" s="72"/>
      <c r="AC1516" s="72">
        <f t="shared" si="621"/>
        <v>1</v>
      </c>
      <c r="AD1516" s="72">
        <f t="shared" si="622"/>
        <v>1</v>
      </c>
      <c r="AE1516" s="109" t="str">
        <f t="shared" si="623"/>
        <v>0-0</v>
      </c>
      <c r="AF1516" s="109" t="str">
        <f t="shared" si="624"/>
        <v>Y</v>
      </c>
      <c r="AG1516" s="109" t="str">
        <f t="shared" si="625"/>
        <v>B</v>
      </c>
      <c r="AM1516" s="109">
        <f t="shared" si="626"/>
        <v>0</v>
      </c>
      <c r="AN1516" s="109">
        <f t="shared" si="627"/>
        <v>0</v>
      </c>
      <c r="AO1516" s="109" t="str">
        <f t="shared" si="628"/>
        <v/>
      </c>
      <c r="AQ1516" s="109" t="str">
        <f t="shared" si="629"/>
        <v/>
      </c>
      <c r="BA1516" s="229">
        <f>MOD(SUM(E1493:E1517),12)</f>
        <v>0</v>
      </c>
    </row>
    <row r="1517" spans="1:53" ht="15.75" thickBot="1" x14ac:dyDescent="0.3">
      <c r="A1517" s="88"/>
      <c r="B1517" s="66" t="s">
        <v>302</v>
      </c>
      <c r="C1517" s="67"/>
      <c r="D1517" s="102"/>
      <c r="E1517" s="32"/>
      <c r="F1517" s="32"/>
      <c r="G1517" s="68" t="s">
        <v>277</v>
      </c>
      <c r="H1517" s="69">
        <f t="shared" si="630"/>
        <v>0</v>
      </c>
      <c r="I1517" s="70">
        <f t="shared" si="631"/>
        <v>0</v>
      </c>
      <c r="J1517" s="73" t="str">
        <f t="shared" si="632"/>
        <v>--</v>
      </c>
      <c r="K1517" s="32"/>
      <c r="L1517" s="234"/>
      <c r="M1517" s="277"/>
      <c r="N1517" s="277"/>
      <c r="O1517" s="277"/>
      <c r="P1517" s="277"/>
      <c r="Q1517" s="277"/>
      <c r="R1517" s="277"/>
      <c r="S1517" s="277"/>
      <c r="T1517" s="277"/>
      <c r="U1517" s="278"/>
      <c r="V1517" s="103"/>
      <c r="W1517" s="72"/>
      <c r="X1517" s="72"/>
      <c r="Y1517" s="78">
        <f>SUM(E1493:E1517)</f>
        <v>0</v>
      </c>
      <c r="Z1517" s="72" t="str">
        <f t="shared" si="635"/>
        <v/>
      </c>
      <c r="AA1517" s="72" t="str">
        <f t="shared" si="636"/>
        <v/>
      </c>
      <c r="AB1517" s="72"/>
      <c r="AC1517" s="72">
        <f t="shared" si="621"/>
        <v>1</v>
      </c>
      <c r="AD1517" s="72">
        <f t="shared" si="622"/>
        <v>1</v>
      </c>
      <c r="AE1517" s="109" t="str">
        <f t="shared" si="623"/>
        <v>0-0</v>
      </c>
      <c r="AF1517" s="109" t="str">
        <f t="shared" si="624"/>
        <v>Y</v>
      </c>
      <c r="AG1517" s="109" t="str">
        <f t="shared" si="625"/>
        <v>B</v>
      </c>
      <c r="AM1517" s="109">
        <f t="shared" si="626"/>
        <v>0</v>
      </c>
      <c r="AN1517" s="109">
        <f t="shared" si="627"/>
        <v>0</v>
      </c>
      <c r="AO1517" s="109" t="str">
        <f t="shared" si="628"/>
        <v/>
      </c>
      <c r="AQ1517" s="109" t="str">
        <f t="shared" si="629"/>
        <v/>
      </c>
      <c r="BA1517" s="228"/>
    </row>
    <row r="1518" spans="1:53" ht="16.5" thickBot="1" x14ac:dyDescent="0.3">
      <c r="A1518" s="88"/>
      <c r="B1518" s="319" t="s">
        <v>377</v>
      </c>
      <c r="C1518" s="320"/>
      <c r="D1518" s="79"/>
      <c r="E1518" s="80"/>
      <c r="F1518" s="80"/>
      <c r="G1518" s="81"/>
      <c r="H1518" s="192"/>
      <c r="I1518" s="192"/>
      <c r="J1518" s="192"/>
      <c r="K1518" s="82"/>
      <c r="L1518" s="319" t="s">
        <v>306</v>
      </c>
      <c r="M1518" s="330"/>
      <c r="N1518" s="330"/>
      <c r="O1518" s="330"/>
      <c r="P1518" s="330"/>
      <c r="Q1518" s="330"/>
      <c r="R1518" s="330"/>
      <c r="S1518" s="330"/>
      <c r="T1518" s="330"/>
      <c r="U1518" s="320"/>
      <c r="V1518" s="104"/>
      <c r="W1518" s="72"/>
      <c r="X1518" s="72"/>
      <c r="Y1518" s="72"/>
      <c r="Z1518" s="72"/>
      <c r="AA1518" s="72" t="str">
        <f t="shared" si="636"/>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319" t="s">
        <v>307</v>
      </c>
      <c r="C1519" s="320"/>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36"/>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312" t="s">
        <v>222</v>
      </c>
      <c r="C1523" s="313"/>
      <c r="D1523" s="314" t="s">
        <v>223</v>
      </c>
      <c r="E1523" s="305"/>
      <c r="F1523" s="88"/>
      <c r="G1523" s="315" t="s">
        <v>224</v>
      </c>
      <c r="H1523" s="316"/>
      <c r="I1523" s="28">
        <f>SUM(E1534:E1558)</f>
        <v>0</v>
      </c>
      <c r="J1523" s="317" t="s">
        <v>225</v>
      </c>
      <c r="K1523" s="318"/>
      <c r="L1523" s="305"/>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5" t="s">
        <v>226</v>
      </c>
      <c r="AA1523" s="296"/>
      <c r="AB1523" s="297"/>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4" t="s">
        <v>230</v>
      </c>
      <c r="H1524" s="305"/>
      <c r="I1524" s="33">
        <f>E1525-I1523</f>
        <v>0</v>
      </c>
      <c r="J1524" s="289" t="s">
        <v>231</v>
      </c>
      <c r="K1524" s="290"/>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298" t="s">
        <v>232</v>
      </c>
      <c r="AA1524" s="300" t="s">
        <v>233</v>
      </c>
      <c r="AB1524" s="301"/>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291" t="s">
        <v>237</v>
      </c>
      <c r="H1525" s="292"/>
      <c r="I1525" s="35">
        <f>IF(E1525=0,0,12-(MOD(I1523,12)))</f>
        <v>0</v>
      </c>
      <c r="J1525" s="289" t="s">
        <v>238</v>
      </c>
      <c r="K1525" s="290"/>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299"/>
      <c r="AA1525" s="302"/>
      <c r="AB1525" s="303"/>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321" t="s">
        <v>242</v>
      </c>
      <c r="H1526" s="43" t="s">
        <v>243</v>
      </c>
      <c r="I1526" s="35">
        <f>IF(E1526&lt;&gt;0,1,0)</f>
        <v>0</v>
      </c>
      <c r="J1526" s="291" t="s">
        <v>244</v>
      </c>
      <c r="K1526" s="292"/>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322"/>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321" t="s">
        <v>251</v>
      </c>
      <c r="H1528" s="51" t="s">
        <v>252</v>
      </c>
      <c r="I1528" s="112">
        <f>E1527</f>
        <v>0</v>
      </c>
      <c r="J1528" s="323" t="s">
        <v>253</v>
      </c>
      <c r="K1528" s="324"/>
      <c r="L1528" s="325"/>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322"/>
      <c r="H1529" s="47" t="s">
        <v>257</v>
      </c>
      <c r="I1529" s="35" t="str">
        <f>IF(E1527="","0",IF(AND(E1524="EUC",E1525=432), I1528+(203-E1526),IF(E1527=0,0,(E1527+(E1525-E1526)-1))))</f>
        <v>0</v>
      </c>
      <c r="J1529" s="285" t="str">
        <f>IFERROR(IF(OR(E1524="EUC",E1524="SS"),"---",IF(OR(P1523,S1523),"NO 2F Tethers for RPX!",IF(OR(P1525,S1525),"NO 6F Tethers for RPX!","---"))),"---")</f>
        <v>---</v>
      </c>
      <c r="K1529" s="286"/>
      <c r="L1529" s="287"/>
      <c r="M1529" s="285" t="str">
        <f>IF(E1526&gt;60,"Dead Count &gt;60: Consider Downsize","---")</f>
        <v>---</v>
      </c>
      <c r="N1529" s="286"/>
      <c r="O1529" s="286"/>
      <c r="P1529" s="286"/>
      <c r="Q1529" s="286"/>
      <c r="R1529" s="286"/>
      <c r="S1529" s="286"/>
      <c r="T1529" s="286"/>
      <c r="U1529" s="287"/>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85"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86"/>
      <c r="L1530" s="287"/>
      <c r="M1530" s="285" t="str">
        <f>IF(AND(OR(E1524="SS",E1524="RPX",E1524="EUC",E1524="RPX-T"),(OR(C1534="",C1534="Field SPL"))),"Cannot have FlexNap cables without tethers","---")</f>
        <v>---</v>
      </c>
      <c r="N1530" s="286"/>
      <c r="O1530" s="286"/>
      <c r="P1530" s="286"/>
      <c r="Q1530" s="286"/>
      <c r="R1530" s="286"/>
      <c r="S1530" s="286"/>
      <c r="T1530" s="286"/>
      <c r="U1530" s="287"/>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85" t="str">
        <f>IF(AND(OR(E1524="RPX", E1524="RPX-T", E1524="SS"),E1525=216),"NO 216 For RPX, RPX-T, OR SS CABLE","---")</f>
        <v>---</v>
      </c>
      <c r="K1531" s="286"/>
      <c r="L1531" s="287"/>
      <c r="M1531" s="285" t="str" cm="1">
        <f t="array" ref="M1531">IF(AND(E1524="",OR(C1534:C1558="FST",C1534:C1558="REV T",C1534:C1558="DBL REV",C1534:C1558="TPL REV", C1534:C1558="QD REV")),"Non-FlexNap cables cannot have tethers","---")</f>
        <v>---</v>
      </c>
      <c r="N1531" s="286"/>
      <c r="O1531" s="286"/>
      <c r="P1531" s="286"/>
      <c r="Q1531" s="286"/>
      <c r="R1531" s="286"/>
      <c r="S1531" s="286"/>
      <c r="T1531" s="286"/>
      <c r="U1531" s="287"/>
      <c r="V1531" s="25"/>
      <c r="W1531" s="58"/>
      <c r="X1531" s="58"/>
      <c r="Y1531" s="25"/>
      <c r="Z1531" s="45">
        <v>6</v>
      </c>
      <c r="AA1531" s="65">
        <v>61</v>
      </c>
      <c r="AB1531" s="65">
        <v>72</v>
      </c>
      <c r="AC1531" s="25"/>
      <c r="AD1531" s="25"/>
      <c r="BA1531" s="226"/>
    </row>
    <row r="1532" spans="1:53" ht="15.75" customHeight="1" thickBot="1" x14ac:dyDescent="0.3">
      <c r="A1532" s="88"/>
      <c r="B1532" s="321" t="s">
        <v>260</v>
      </c>
      <c r="C1532" s="293" t="s">
        <v>261</v>
      </c>
      <c r="D1532" s="293" t="s">
        <v>262</v>
      </c>
      <c r="E1532" s="306" t="s">
        <v>263</v>
      </c>
      <c r="F1532" s="293" t="s">
        <v>264</v>
      </c>
      <c r="G1532" s="308" t="s">
        <v>265</v>
      </c>
      <c r="H1532" s="308" t="s">
        <v>266</v>
      </c>
      <c r="I1532" s="308" t="s">
        <v>267</v>
      </c>
      <c r="J1532" s="310" t="s">
        <v>268</v>
      </c>
      <c r="K1532" s="293" t="s">
        <v>269</v>
      </c>
      <c r="L1532" s="279" t="s">
        <v>270</v>
      </c>
      <c r="M1532" s="281" t="s">
        <v>271</v>
      </c>
      <c r="N1532" s="281"/>
      <c r="O1532" s="281"/>
      <c r="P1532" s="281"/>
      <c r="Q1532" s="281"/>
      <c r="R1532" s="281"/>
      <c r="S1532" s="281"/>
      <c r="T1532" s="281"/>
      <c r="U1532" s="282"/>
      <c r="V1532" s="107"/>
      <c r="W1532" s="72"/>
      <c r="X1532" s="72"/>
      <c r="Y1532" s="72"/>
      <c r="Z1532" s="45">
        <v>7</v>
      </c>
      <c r="AA1532" s="65">
        <v>73</v>
      </c>
      <c r="AB1532" s="65">
        <v>84</v>
      </c>
      <c r="AC1532" s="25"/>
      <c r="AD1532" s="25"/>
      <c r="BA1532" s="228"/>
    </row>
    <row r="1533" spans="1:53" ht="15.75" thickBot="1" x14ac:dyDescent="0.3">
      <c r="A1533" s="88"/>
      <c r="B1533" s="322"/>
      <c r="C1533" s="294"/>
      <c r="D1533" s="294"/>
      <c r="E1533" s="307"/>
      <c r="F1533" s="294"/>
      <c r="G1533" s="309"/>
      <c r="H1533" s="309"/>
      <c r="I1533" s="309"/>
      <c r="J1533" s="311"/>
      <c r="K1533" s="294"/>
      <c r="L1533" s="280"/>
      <c r="M1533" s="283"/>
      <c r="N1533" s="283"/>
      <c r="O1533" s="283"/>
      <c r="P1533" s="283"/>
      <c r="Q1533" s="283"/>
      <c r="R1533" s="283"/>
      <c r="S1533" s="283"/>
      <c r="T1533" s="283"/>
      <c r="U1533" s="284"/>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77"/>
      <c r="N1534" s="277"/>
      <c r="O1534" s="277"/>
      <c r="P1534" s="277"/>
      <c r="Q1534" s="277"/>
      <c r="R1534" s="277"/>
      <c r="S1534" s="277"/>
      <c r="T1534" s="277"/>
      <c r="U1534" s="278"/>
      <c r="V1534" s="103"/>
      <c r="W1534" s="72"/>
      <c r="X1534" s="72"/>
      <c r="Y1534" s="72"/>
      <c r="Z1534" s="45">
        <v>9</v>
      </c>
      <c r="AA1534" s="46">
        <v>97</v>
      </c>
      <c r="AB1534" s="46">
        <v>108</v>
      </c>
      <c r="AC1534" s="72">
        <f t="shared" ref="AC1534:AC1558" si="638">IF(B1534&lt;&gt;"FST",1,0)</f>
        <v>1</v>
      </c>
      <c r="AD1534" s="72">
        <f t="shared" ref="AD1534:AD1558" si="639">IF(C1534&lt;&gt;"FST",1,0)</f>
        <v>1</v>
      </c>
      <c r="AE1534" s="109" t="str">
        <f t="shared" ref="AE1534:AE1558" si="640">CONCATENATE(H1534,"-",I1534)</f>
        <v>0-0</v>
      </c>
      <c r="AF1534" s="109" t="str">
        <f t="shared" ref="AF1534:AF1558" si="641">IF(C1534="Field SPL","N","Y")</f>
        <v>Y</v>
      </c>
      <c r="AG1534" s="109" t="str">
        <f t="shared" ref="AG1534:AG1558" si="642">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43">VALUE(IF(C1534="FST","0",IF(C1534="REV T","1",IF(C1534="DBL REV",".5","0"))))</f>
        <v>0</v>
      </c>
      <c r="AN1534" s="109">
        <f t="shared" ref="AN1534:AN1558" si="644">VALUE(IF(C1534="FST","0",IF(C1534="REV T","0",IF(C1534="DBL REV",".5","0"))))</f>
        <v>0</v>
      </c>
      <c r="AO1534" s="109" t="str">
        <f t="shared" ref="AO1534:AO1558" si="645">IF(C1534="TPL REV","Y","")</f>
        <v/>
      </c>
      <c r="AQ1534" s="109" t="str">
        <f t="shared" ref="AQ1534:AQ1558" si="646">IF(C1534="QD REV","Y","")</f>
        <v/>
      </c>
      <c r="BA1534" s="229">
        <f>MOD(E1534,12)</f>
        <v>0</v>
      </c>
    </row>
    <row r="1535" spans="1:53" ht="15.75" thickBot="1" x14ac:dyDescent="0.3">
      <c r="A1535" s="88"/>
      <c r="B1535" s="66" t="s">
        <v>279</v>
      </c>
      <c r="C1535" s="67"/>
      <c r="D1535" s="102"/>
      <c r="E1535" s="32"/>
      <c r="F1535" s="32"/>
      <c r="G1535" s="68" t="s">
        <v>277</v>
      </c>
      <c r="H1535" s="69">
        <f t="shared" ref="H1535:H1558" si="647">IF(E1535=0,0,I1535-(E1535-1))</f>
        <v>0</v>
      </c>
      <c r="I1535" s="70">
        <f t="shared" ref="I1535:I1558" si="648">IF(E1535=0,0,H1534-1)</f>
        <v>0</v>
      </c>
      <c r="J1535" s="73" t="str">
        <f>IF(C1535="","--",IF(AND(C1535&lt;&gt;"FST",C1535&lt;&gt;"TCF",BA1534&lt;&gt;0),BA1534,"--"))</f>
        <v>--</v>
      </c>
      <c r="K1535" s="32"/>
      <c r="L1535" s="233"/>
      <c r="M1535" s="277"/>
      <c r="N1535" s="277"/>
      <c r="O1535" s="277"/>
      <c r="P1535" s="277"/>
      <c r="Q1535" s="277"/>
      <c r="R1535" s="277"/>
      <c r="S1535" s="277"/>
      <c r="T1535" s="277"/>
      <c r="U1535" s="278"/>
      <c r="V1535" s="103"/>
      <c r="W1535" s="72"/>
      <c r="X1535" s="72"/>
      <c r="Y1535" s="72"/>
      <c r="Z1535" s="45">
        <v>10</v>
      </c>
      <c r="AA1535" s="46">
        <v>109</v>
      </c>
      <c r="AB1535" s="46">
        <v>120</v>
      </c>
      <c r="AC1535" s="72">
        <f t="shared" si="638"/>
        <v>1</v>
      </c>
      <c r="AD1535" s="72">
        <f t="shared" si="639"/>
        <v>1</v>
      </c>
      <c r="AE1535" s="109" t="str">
        <f t="shared" si="640"/>
        <v>0-0</v>
      </c>
      <c r="AF1535" s="109" t="str">
        <f t="shared" si="641"/>
        <v>Y</v>
      </c>
      <c r="AG1535" s="109" t="str">
        <f t="shared" si="642"/>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43"/>
        <v>0</v>
      </c>
      <c r="AN1535" s="109">
        <f t="shared" si="644"/>
        <v>0</v>
      </c>
      <c r="AO1535" s="109" t="str">
        <f t="shared" si="645"/>
        <v/>
      </c>
      <c r="AQ1535" s="109" t="str">
        <f t="shared" si="646"/>
        <v/>
      </c>
      <c r="BA1535" s="229">
        <f>MOD(SUM(E1534:E1535),12)</f>
        <v>0</v>
      </c>
    </row>
    <row r="1536" spans="1:53" ht="15.75" thickBot="1" x14ac:dyDescent="0.3">
      <c r="A1536" s="88"/>
      <c r="B1536" s="74" t="s">
        <v>280</v>
      </c>
      <c r="C1536" s="67"/>
      <c r="D1536" s="102"/>
      <c r="E1536" s="32"/>
      <c r="F1536" s="32"/>
      <c r="G1536" s="75" t="s">
        <v>277</v>
      </c>
      <c r="H1536" s="69">
        <f t="shared" si="647"/>
        <v>0</v>
      </c>
      <c r="I1536" s="70">
        <f t="shared" si="648"/>
        <v>0</v>
      </c>
      <c r="J1536" s="73" t="str">
        <f t="shared" ref="J1536:J1558" si="649">IF(C1536="","--",IF(AND(C1536&lt;&gt;"FST",C1536&lt;&gt;"TCF",BA1535&lt;&gt;0),BA1535,"--"))</f>
        <v>--</v>
      </c>
      <c r="K1536" s="32"/>
      <c r="L1536" s="233"/>
      <c r="M1536" s="277"/>
      <c r="N1536" s="277"/>
      <c r="O1536" s="277"/>
      <c r="P1536" s="277"/>
      <c r="Q1536" s="277"/>
      <c r="R1536" s="277"/>
      <c r="S1536" s="277"/>
      <c r="T1536" s="277"/>
      <c r="U1536" s="278"/>
      <c r="V1536" s="103"/>
      <c r="W1536" s="72"/>
      <c r="X1536" s="72"/>
      <c r="Y1536" s="72"/>
      <c r="Z1536" s="45">
        <v>11</v>
      </c>
      <c r="AA1536" s="46">
        <v>121</v>
      </c>
      <c r="AB1536" s="46">
        <v>132</v>
      </c>
      <c r="AC1536" s="72">
        <f t="shared" si="638"/>
        <v>1</v>
      </c>
      <c r="AD1536" s="72">
        <f t="shared" si="639"/>
        <v>1</v>
      </c>
      <c r="AE1536" s="109" t="str">
        <f t="shared" si="640"/>
        <v>0-0</v>
      </c>
      <c r="AF1536" s="109" t="str">
        <f t="shared" si="641"/>
        <v>Y</v>
      </c>
      <c r="AG1536" s="109" t="str">
        <f t="shared" si="642"/>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43"/>
        <v>0</v>
      </c>
      <c r="AN1536" s="109">
        <f t="shared" si="644"/>
        <v>0</v>
      </c>
      <c r="AO1536" s="109" t="str">
        <f t="shared" si="645"/>
        <v/>
      </c>
      <c r="AQ1536" s="109" t="str">
        <f t="shared" si="646"/>
        <v/>
      </c>
      <c r="BA1536" s="229">
        <f>MOD(SUM(E1534:E1537),12)</f>
        <v>0</v>
      </c>
    </row>
    <row r="1537" spans="1:53" ht="15.75" thickBot="1" x14ac:dyDescent="0.3">
      <c r="A1537" s="88"/>
      <c r="B1537" s="66" t="s">
        <v>281</v>
      </c>
      <c r="C1537" s="67"/>
      <c r="D1537" s="102"/>
      <c r="E1537" s="32"/>
      <c r="F1537" s="32"/>
      <c r="G1537" s="68" t="s">
        <v>277</v>
      </c>
      <c r="H1537" s="69">
        <f t="shared" si="647"/>
        <v>0</v>
      </c>
      <c r="I1537" s="70">
        <f t="shared" si="648"/>
        <v>0</v>
      </c>
      <c r="J1537" s="73" t="str">
        <f t="shared" si="649"/>
        <v>--</v>
      </c>
      <c r="K1537" s="32"/>
      <c r="L1537" s="233"/>
      <c r="M1537" s="277"/>
      <c r="N1537" s="277"/>
      <c r="O1537" s="277"/>
      <c r="P1537" s="277"/>
      <c r="Q1537" s="277"/>
      <c r="R1537" s="277"/>
      <c r="S1537" s="277"/>
      <c r="T1537" s="277"/>
      <c r="U1537" s="278"/>
      <c r="V1537" s="103"/>
      <c r="W1537" s="72"/>
      <c r="X1537" s="72"/>
      <c r="Y1537" s="72"/>
      <c r="Z1537" s="45">
        <v>12</v>
      </c>
      <c r="AA1537" s="76">
        <v>133</v>
      </c>
      <c r="AB1537" s="76">
        <v>144</v>
      </c>
      <c r="AC1537" s="72">
        <f t="shared" si="638"/>
        <v>1</v>
      </c>
      <c r="AD1537" s="72">
        <f t="shared" si="639"/>
        <v>1</v>
      </c>
      <c r="AE1537" s="109" t="str">
        <f t="shared" si="640"/>
        <v>0-0</v>
      </c>
      <c r="AF1537" s="109" t="str">
        <f t="shared" si="641"/>
        <v>Y</v>
      </c>
      <c r="AG1537" s="109" t="str">
        <f t="shared" si="642"/>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43"/>
        <v>0</v>
      </c>
      <c r="AN1537" s="109">
        <f t="shared" si="644"/>
        <v>0</v>
      </c>
      <c r="AO1537" s="109" t="str">
        <f t="shared" si="645"/>
        <v/>
      </c>
      <c r="AQ1537" s="109" t="str">
        <f t="shared" si="646"/>
        <v/>
      </c>
      <c r="BA1537" s="229">
        <f>MOD(SUM(E1534:E1538),12)</f>
        <v>0</v>
      </c>
    </row>
    <row r="1538" spans="1:53" ht="15.75" thickBot="1" x14ac:dyDescent="0.3">
      <c r="A1538" s="88"/>
      <c r="B1538" s="66" t="s">
        <v>282</v>
      </c>
      <c r="C1538" s="67"/>
      <c r="D1538" s="102"/>
      <c r="E1538" s="32"/>
      <c r="F1538" s="32"/>
      <c r="G1538" s="68" t="s">
        <v>277</v>
      </c>
      <c r="H1538" s="69">
        <f t="shared" si="647"/>
        <v>0</v>
      </c>
      <c r="I1538" s="70">
        <f t="shared" si="648"/>
        <v>0</v>
      </c>
      <c r="J1538" s="73" t="str">
        <f t="shared" si="649"/>
        <v>--</v>
      </c>
      <c r="K1538" s="32"/>
      <c r="L1538" s="233"/>
      <c r="M1538" s="277"/>
      <c r="N1538" s="277"/>
      <c r="O1538" s="277"/>
      <c r="P1538" s="277"/>
      <c r="Q1538" s="277"/>
      <c r="R1538" s="277"/>
      <c r="S1538" s="277"/>
      <c r="T1538" s="277"/>
      <c r="U1538" s="278"/>
      <c r="V1538" s="103"/>
      <c r="W1538" s="72"/>
      <c r="X1538" s="72"/>
      <c r="Y1538" s="72"/>
      <c r="Z1538" s="45">
        <v>13</v>
      </c>
      <c r="AA1538" s="77">
        <f t="shared" ref="AA1538:AA1543" si="650">AB1537+1</f>
        <v>145</v>
      </c>
      <c r="AB1538" s="77">
        <f t="shared" ref="AB1538:AB1543" si="651">AB1537+12</f>
        <v>156</v>
      </c>
      <c r="AC1538" s="72">
        <f t="shared" si="638"/>
        <v>1</v>
      </c>
      <c r="AD1538" s="72">
        <f t="shared" si="639"/>
        <v>1</v>
      </c>
      <c r="AE1538" s="109" t="str">
        <f t="shared" si="640"/>
        <v>0-0</v>
      </c>
      <c r="AF1538" s="109" t="str">
        <f t="shared" si="641"/>
        <v>Y</v>
      </c>
      <c r="AG1538" s="109" t="str">
        <f t="shared" si="642"/>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43"/>
        <v>0</v>
      </c>
      <c r="AN1538" s="109">
        <f t="shared" si="644"/>
        <v>0</v>
      </c>
      <c r="AO1538" s="109" t="str">
        <f t="shared" si="645"/>
        <v/>
      </c>
      <c r="AQ1538" s="109" t="str">
        <f t="shared" si="646"/>
        <v/>
      </c>
      <c r="BA1538" s="229">
        <f>MOD(SUM(E1534:E1539),12)</f>
        <v>0</v>
      </c>
    </row>
    <row r="1539" spans="1:53" ht="15.75" thickBot="1" x14ac:dyDescent="0.3">
      <c r="A1539" s="88"/>
      <c r="B1539" s="66" t="s">
        <v>283</v>
      </c>
      <c r="C1539" s="67"/>
      <c r="D1539" s="102"/>
      <c r="E1539" s="32"/>
      <c r="F1539" s="32"/>
      <c r="G1539" s="68" t="s">
        <v>277</v>
      </c>
      <c r="H1539" s="69">
        <f t="shared" si="647"/>
        <v>0</v>
      </c>
      <c r="I1539" s="70">
        <f t="shared" si="648"/>
        <v>0</v>
      </c>
      <c r="J1539" s="73" t="str">
        <f t="shared" si="649"/>
        <v>--</v>
      </c>
      <c r="K1539" s="32"/>
      <c r="L1539" s="233"/>
      <c r="M1539" s="277"/>
      <c r="N1539" s="277"/>
      <c r="O1539" s="277"/>
      <c r="P1539" s="277"/>
      <c r="Q1539" s="277"/>
      <c r="R1539" s="277"/>
      <c r="S1539" s="277"/>
      <c r="T1539" s="277"/>
      <c r="U1539" s="278"/>
      <c r="V1539" s="103"/>
      <c r="W1539" s="72"/>
      <c r="X1539" s="72"/>
      <c r="Y1539" s="72"/>
      <c r="Z1539" s="45">
        <v>14</v>
      </c>
      <c r="AA1539" s="77">
        <f t="shared" si="650"/>
        <v>157</v>
      </c>
      <c r="AB1539" s="77">
        <f t="shared" si="651"/>
        <v>168</v>
      </c>
      <c r="AC1539" s="72">
        <f t="shared" si="638"/>
        <v>1</v>
      </c>
      <c r="AD1539" s="72">
        <f t="shared" si="639"/>
        <v>1</v>
      </c>
      <c r="AE1539" s="109" t="str">
        <f t="shared" si="640"/>
        <v>0-0</v>
      </c>
      <c r="AF1539" s="109" t="str">
        <f t="shared" si="641"/>
        <v>Y</v>
      </c>
      <c r="AG1539" s="109" t="str">
        <f t="shared" si="642"/>
        <v>B</v>
      </c>
      <c r="AM1539" s="109">
        <f t="shared" si="643"/>
        <v>0</v>
      </c>
      <c r="AN1539" s="109">
        <f t="shared" si="644"/>
        <v>0</v>
      </c>
      <c r="AO1539" s="109" t="str">
        <f t="shared" si="645"/>
        <v/>
      </c>
      <c r="AQ1539" s="109" t="str">
        <f t="shared" si="646"/>
        <v/>
      </c>
      <c r="BA1539" s="229">
        <f>MOD(SUM(E1534:E1540),12)</f>
        <v>0</v>
      </c>
    </row>
    <row r="1540" spans="1:53" ht="15.75" thickBot="1" x14ac:dyDescent="0.3">
      <c r="A1540" s="88"/>
      <c r="B1540" s="66" t="s">
        <v>284</v>
      </c>
      <c r="C1540" s="67"/>
      <c r="D1540" s="102"/>
      <c r="E1540" s="32"/>
      <c r="F1540" s="32"/>
      <c r="G1540" s="68" t="s">
        <v>277</v>
      </c>
      <c r="H1540" s="69">
        <f t="shared" si="647"/>
        <v>0</v>
      </c>
      <c r="I1540" s="70">
        <f t="shared" si="648"/>
        <v>0</v>
      </c>
      <c r="J1540" s="73" t="str">
        <f t="shared" si="649"/>
        <v>--</v>
      </c>
      <c r="K1540" s="32"/>
      <c r="L1540" s="233"/>
      <c r="M1540" s="277"/>
      <c r="N1540" s="277"/>
      <c r="O1540" s="277"/>
      <c r="P1540" s="277"/>
      <c r="Q1540" s="277"/>
      <c r="R1540" s="277"/>
      <c r="S1540" s="277"/>
      <c r="T1540" s="277"/>
      <c r="U1540" s="278"/>
      <c r="V1540" s="103"/>
      <c r="W1540" s="72"/>
      <c r="X1540" s="72"/>
      <c r="Y1540" s="72"/>
      <c r="Z1540" s="45">
        <v>15</v>
      </c>
      <c r="AA1540" s="77">
        <f t="shared" si="650"/>
        <v>169</v>
      </c>
      <c r="AB1540" s="77">
        <f t="shared" si="651"/>
        <v>180</v>
      </c>
      <c r="AC1540" s="72">
        <f t="shared" si="638"/>
        <v>1</v>
      </c>
      <c r="AD1540" s="72">
        <f t="shared" si="639"/>
        <v>1</v>
      </c>
      <c r="AE1540" s="109" t="str">
        <f t="shared" si="640"/>
        <v>0-0</v>
      </c>
      <c r="AF1540" s="109" t="str">
        <f t="shared" si="641"/>
        <v>Y</v>
      </c>
      <c r="AG1540" s="109" t="str">
        <f t="shared" si="642"/>
        <v>B</v>
      </c>
      <c r="AM1540" s="109">
        <f t="shared" si="643"/>
        <v>0</v>
      </c>
      <c r="AN1540" s="109">
        <f t="shared" si="644"/>
        <v>0</v>
      </c>
      <c r="AO1540" s="109" t="str">
        <f t="shared" si="645"/>
        <v/>
      </c>
      <c r="AQ1540" s="109" t="str">
        <f t="shared" si="646"/>
        <v/>
      </c>
      <c r="BA1540" s="229">
        <f>MOD(SUM(E1534:E1541),12)</f>
        <v>0</v>
      </c>
    </row>
    <row r="1541" spans="1:53" ht="15.75" thickBot="1" x14ac:dyDescent="0.3">
      <c r="A1541" s="88"/>
      <c r="B1541" s="66" t="s">
        <v>285</v>
      </c>
      <c r="C1541" s="67"/>
      <c r="D1541" s="102"/>
      <c r="E1541" s="32"/>
      <c r="F1541" s="32"/>
      <c r="G1541" s="68" t="s">
        <v>277</v>
      </c>
      <c r="H1541" s="69">
        <f t="shared" si="647"/>
        <v>0</v>
      </c>
      <c r="I1541" s="70">
        <f t="shared" si="648"/>
        <v>0</v>
      </c>
      <c r="J1541" s="73" t="str">
        <f t="shared" si="649"/>
        <v>--</v>
      </c>
      <c r="K1541" s="32"/>
      <c r="L1541" s="233"/>
      <c r="M1541" s="277"/>
      <c r="N1541" s="277"/>
      <c r="O1541" s="277"/>
      <c r="P1541" s="277"/>
      <c r="Q1541" s="277"/>
      <c r="R1541" s="277"/>
      <c r="S1541" s="277"/>
      <c r="T1541" s="277"/>
      <c r="U1541" s="278"/>
      <c r="V1541" s="103"/>
      <c r="W1541" s="72"/>
      <c r="X1541" s="72"/>
      <c r="Y1541" s="72"/>
      <c r="Z1541" s="45">
        <f>Z1540+1</f>
        <v>16</v>
      </c>
      <c r="AA1541" s="77">
        <f t="shared" si="650"/>
        <v>181</v>
      </c>
      <c r="AB1541" s="77">
        <f t="shared" si="651"/>
        <v>192</v>
      </c>
      <c r="AC1541" s="72">
        <f t="shared" si="638"/>
        <v>1</v>
      </c>
      <c r="AD1541" s="72">
        <f t="shared" si="639"/>
        <v>1</v>
      </c>
      <c r="AE1541" s="109" t="str">
        <f t="shared" si="640"/>
        <v>0-0</v>
      </c>
      <c r="AF1541" s="109" t="str">
        <f t="shared" si="641"/>
        <v>Y</v>
      </c>
      <c r="AG1541" s="109" t="str">
        <f t="shared" si="642"/>
        <v>B</v>
      </c>
      <c r="AM1541" s="109">
        <f t="shared" si="643"/>
        <v>0</v>
      </c>
      <c r="AN1541" s="109">
        <f t="shared" si="644"/>
        <v>0</v>
      </c>
      <c r="AO1541" s="109" t="str">
        <f t="shared" si="645"/>
        <v/>
      </c>
      <c r="AQ1541" s="109" t="str">
        <f t="shared" si="646"/>
        <v/>
      </c>
      <c r="BA1541" s="229">
        <f>MOD(SUM(E1534:E1542),12)</f>
        <v>0</v>
      </c>
    </row>
    <row r="1542" spans="1:53" ht="15.75" thickBot="1" x14ac:dyDescent="0.3">
      <c r="A1542" s="88"/>
      <c r="B1542" s="66" t="s">
        <v>286</v>
      </c>
      <c r="C1542" s="67"/>
      <c r="D1542" s="102"/>
      <c r="E1542" s="32"/>
      <c r="F1542" s="32"/>
      <c r="G1542" s="68" t="s">
        <v>277</v>
      </c>
      <c r="H1542" s="69">
        <f t="shared" si="647"/>
        <v>0</v>
      </c>
      <c r="I1542" s="70">
        <f t="shared" si="648"/>
        <v>0</v>
      </c>
      <c r="J1542" s="73" t="str">
        <f t="shared" si="649"/>
        <v>--</v>
      </c>
      <c r="K1542" s="32"/>
      <c r="L1542" s="233"/>
      <c r="M1542" s="277"/>
      <c r="N1542" s="277"/>
      <c r="O1542" s="277"/>
      <c r="P1542" s="277"/>
      <c r="Q1542" s="277"/>
      <c r="R1542" s="277"/>
      <c r="S1542" s="277"/>
      <c r="T1542" s="277"/>
      <c r="U1542" s="278"/>
      <c r="V1542" s="103"/>
      <c r="W1542" s="72"/>
      <c r="X1542" s="72"/>
      <c r="Y1542" s="72"/>
      <c r="Z1542" s="45">
        <f>Z1541+1</f>
        <v>17</v>
      </c>
      <c r="AA1542" s="77">
        <f t="shared" si="650"/>
        <v>193</v>
      </c>
      <c r="AB1542" s="77">
        <f t="shared" si="651"/>
        <v>204</v>
      </c>
      <c r="AC1542" s="72">
        <f t="shared" si="638"/>
        <v>1</v>
      </c>
      <c r="AD1542" s="72">
        <f t="shared" si="639"/>
        <v>1</v>
      </c>
      <c r="AE1542" s="109" t="str">
        <f t="shared" si="640"/>
        <v>0-0</v>
      </c>
      <c r="AF1542" s="109" t="str">
        <f t="shared" si="641"/>
        <v>Y</v>
      </c>
      <c r="AG1542" s="109" t="str">
        <f t="shared" si="642"/>
        <v>B</v>
      </c>
      <c r="AM1542" s="109">
        <f t="shared" si="643"/>
        <v>0</v>
      </c>
      <c r="AN1542" s="109">
        <f t="shared" si="644"/>
        <v>0</v>
      </c>
      <c r="AO1542" s="109" t="str">
        <f t="shared" si="645"/>
        <v/>
      </c>
      <c r="AQ1542" s="109" t="str">
        <f t="shared" si="646"/>
        <v/>
      </c>
      <c r="BA1542" s="229">
        <f>MOD(SUM(E1534:E1543),12)</f>
        <v>0</v>
      </c>
    </row>
    <row r="1543" spans="1:53" ht="15.75" thickBot="1" x14ac:dyDescent="0.3">
      <c r="A1543" s="88"/>
      <c r="B1543" s="66" t="s">
        <v>287</v>
      </c>
      <c r="C1543" s="67"/>
      <c r="D1543" s="102"/>
      <c r="E1543" s="32"/>
      <c r="F1543" s="32"/>
      <c r="G1543" s="68" t="s">
        <v>277</v>
      </c>
      <c r="H1543" s="69">
        <f t="shared" si="647"/>
        <v>0</v>
      </c>
      <c r="I1543" s="70">
        <f t="shared" si="648"/>
        <v>0</v>
      </c>
      <c r="J1543" s="73" t="str">
        <f t="shared" si="649"/>
        <v>--</v>
      </c>
      <c r="K1543" s="32"/>
      <c r="L1543" s="233"/>
      <c r="M1543" s="277"/>
      <c r="N1543" s="277"/>
      <c r="O1543" s="277"/>
      <c r="P1543" s="277"/>
      <c r="Q1543" s="277"/>
      <c r="R1543" s="277"/>
      <c r="S1543" s="277"/>
      <c r="T1543" s="277"/>
      <c r="U1543" s="278"/>
      <c r="V1543" s="103"/>
      <c r="W1543" s="72"/>
      <c r="X1543" s="72"/>
      <c r="Y1543" s="72"/>
      <c r="Z1543" s="45">
        <f>Z1542+1</f>
        <v>18</v>
      </c>
      <c r="AA1543" s="77">
        <f t="shared" si="650"/>
        <v>205</v>
      </c>
      <c r="AB1543" s="77">
        <f t="shared" si="651"/>
        <v>216</v>
      </c>
      <c r="AC1543" s="72">
        <f t="shared" si="638"/>
        <v>1</v>
      </c>
      <c r="AD1543" s="72">
        <f t="shared" si="639"/>
        <v>1</v>
      </c>
      <c r="AE1543" s="109" t="str">
        <f t="shared" si="640"/>
        <v>0-0</v>
      </c>
      <c r="AF1543" s="109" t="str">
        <f t="shared" si="641"/>
        <v>Y</v>
      </c>
      <c r="AG1543" s="109" t="str">
        <f t="shared" si="642"/>
        <v>B</v>
      </c>
      <c r="AM1543" s="109">
        <f t="shared" si="643"/>
        <v>0</v>
      </c>
      <c r="AN1543" s="109">
        <f t="shared" si="644"/>
        <v>0</v>
      </c>
      <c r="AO1543" s="109" t="str">
        <f t="shared" si="645"/>
        <v/>
      </c>
      <c r="AQ1543" s="109" t="str">
        <f t="shared" si="646"/>
        <v/>
      </c>
      <c r="BA1543" s="229">
        <f>MOD(SUM(E1534:E1544),12)</f>
        <v>0</v>
      </c>
    </row>
    <row r="1544" spans="1:53" ht="15.75" thickBot="1" x14ac:dyDescent="0.3">
      <c r="A1544" s="88"/>
      <c r="B1544" s="66" t="s">
        <v>288</v>
      </c>
      <c r="C1544" s="67"/>
      <c r="D1544" s="102"/>
      <c r="E1544" s="32"/>
      <c r="F1544" s="32"/>
      <c r="G1544" s="68" t="s">
        <v>277</v>
      </c>
      <c r="H1544" s="69">
        <f t="shared" si="647"/>
        <v>0</v>
      </c>
      <c r="I1544" s="70">
        <f t="shared" si="648"/>
        <v>0</v>
      </c>
      <c r="J1544" s="73" t="str">
        <f t="shared" si="649"/>
        <v>--</v>
      </c>
      <c r="K1544" s="32"/>
      <c r="L1544" s="233"/>
      <c r="M1544" s="277"/>
      <c r="N1544" s="277"/>
      <c r="O1544" s="277"/>
      <c r="P1544" s="277"/>
      <c r="Q1544" s="277"/>
      <c r="R1544" s="277"/>
      <c r="S1544" s="277"/>
      <c r="T1544" s="277"/>
      <c r="U1544" s="278"/>
      <c r="V1544" s="103"/>
      <c r="W1544" s="84"/>
      <c r="X1544" s="84"/>
      <c r="Y1544" s="72"/>
      <c r="Z1544" s="72"/>
      <c r="AA1544" s="72"/>
      <c r="AB1544" s="72"/>
      <c r="AC1544" s="72">
        <f t="shared" si="638"/>
        <v>1</v>
      </c>
      <c r="AD1544" s="72">
        <f t="shared" si="639"/>
        <v>1</v>
      </c>
      <c r="AE1544" s="109" t="str">
        <f t="shared" si="640"/>
        <v>0-0</v>
      </c>
      <c r="AF1544" s="109" t="str">
        <f t="shared" si="641"/>
        <v>Y</v>
      </c>
      <c r="AG1544" s="109" t="str">
        <f t="shared" si="642"/>
        <v>B</v>
      </c>
      <c r="AM1544" s="109">
        <f t="shared" si="643"/>
        <v>0</v>
      </c>
      <c r="AN1544" s="109">
        <f t="shared" si="644"/>
        <v>0</v>
      </c>
      <c r="AO1544" s="109" t="str">
        <f t="shared" si="645"/>
        <v/>
      </c>
      <c r="AQ1544" s="109" t="str">
        <f t="shared" si="646"/>
        <v/>
      </c>
      <c r="BA1544" s="229">
        <f>MOD(SUM(E1534:E1545),12)</f>
        <v>0</v>
      </c>
    </row>
    <row r="1545" spans="1:53" ht="15.75" thickBot="1" x14ac:dyDescent="0.3">
      <c r="A1545" s="88"/>
      <c r="B1545" s="66" t="s">
        <v>289</v>
      </c>
      <c r="C1545" s="67"/>
      <c r="D1545" s="102"/>
      <c r="E1545" s="32"/>
      <c r="F1545" s="32"/>
      <c r="G1545" s="68" t="s">
        <v>277</v>
      </c>
      <c r="H1545" s="69">
        <f t="shared" si="647"/>
        <v>0</v>
      </c>
      <c r="I1545" s="70">
        <f t="shared" si="648"/>
        <v>0</v>
      </c>
      <c r="J1545" s="73" t="str">
        <f t="shared" si="649"/>
        <v>--</v>
      </c>
      <c r="K1545" s="32"/>
      <c r="L1545" s="233"/>
      <c r="M1545" s="277"/>
      <c r="N1545" s="277"/>
      <c r="O1545" s="277"/>
      <c r="P1545" s="277"/>
      <c r="Q1545" s="277"/>
      <c r="R1545" s="277"/>
      <c r="S1545" s="277"/>
      <c r="T1545" s="277"/>
      <c r="U1545" s="278"/>
      <c r="V1545" s="103"/>
      <c r="W1545" s="84">
        <f>Y1545+1</f>
        <v>1</v>
      </c>
      <c r="X1545" s="84"/>
      <c r="Y1545" s="78">
        <f>SUM(E1534:E1545)</f>
        <v>0</v>
      </c>
      <c r="Z1545" s="72"/>
      <c r="AA1545" s="72"/>
      <c r="AB1545" s="72"/>
      <c r="AC1545" s="72">
        <f t="shared" si="638"/>
        <v>1</v>
      </c>
      <c r="AD1545" s="72">
        <f t="shared" si="639"/>
        <v>1</v>
      </c>
      <c r="AE1545" s="109" t="str">
        <f t="shared" si="640"/>
        <v>0-0</v>
      </c>
      <c r="AF1545" s="109" t="str">
        <f t="shared" si="641"/>
        <v>Y</v>
      </c>
      <c r="AG1545" s="109" t="str">
        <f t="shared" si="642"/>
        <v>B</v>
      </c>
      <c r="AM1545" s="109">
        <f t="shared" si="643"/>
        <v>0</v>
      </c>
      <c r="AN1545" s="109">
        <f t="shared" si="644"/>
        <v>0</v>
      </c>
      <c r="AO1545" s="109" t="str">
        <f t="shared" si="645"/>
        <v/>
      </c>
      <c r="AQ1545" s="109" t="str">
        <f t="shared" si="646"/>
        <v/>
      </c>
      <c r="BA1545" s="229">
        <f>MOD(SUM(E1534:E1546),12)</f>
        <v>0</v>
      </c>
    </row>
    <row r="1546" spans="1:53" ht="15.75" thickBot="1" x14ac:dyDescent="0.3">
      <c r="A1546" s="88"/>
      <c r="B1546" s="66" t="s">
        <v>290</v>
      </c>
      <c r="C1546" s="67"/>
      <c r="D1546" s="102"/>
      <c r="E1546" s="32"/>
      <c r="F1546" s="32"/>
      <c r="G1546" s="68" t="s">
        <v>277</v>
      </c>
      <c r="H1546" s="69">
        <f t="shared" si="647"/>
        <v>0</v>
      </c>
      <c r="I1546" s="70">
        <f t="shared" si="648"/>
        <v>0</v>
      </c>
      <c r="J1546" s="73" t="str">
        <f t="shared" si="649"/>
        <v>--</v>
      </c>
      <c r="K1546" s="32"/>
      <c r="L1546" s="233"/>
      <c r="M1546" s="277"/>
      <c r="N1546" s="277"/>
      <c r="O1546" s="277"/>
      <c r="P1546" s="277"/>
      <c r="Q1546" s="277"/>
      <c r="R1546" s="277"/>
      <c r="S1546" s="277"/>
      <c r="T1546" s="277"/>
      <c r="U1546" s="278"/>
      <c r="V1546" s="103"/>
      <c r="W1546" s="84">
        <f>Y1546+1</f>
        <v>1</v>
      </c>
      <c r="X1546" s="84"/>
      <c r="Y1546" s="78">
        <f>SUM(E1534:E1546)</f>
        <v>0</v>
      </c>
      <c r="Z1546" s="72" t="str">
        <f t="shared" ref="Z1546:Z1558" si="652">IF(OR(AND(E$8=216,C1545="DBL REV",C1546="DBL REV",Y1545&lt;=144,Y1546&gt;144),AND(E$8=216,C1545="TPL REV",C1546="TPL REV",Y1545&lt;=144,Y1546&gt;144),AND(E$8=216,C1545="QD REV",C1546="QD REV",Y1545&lt;=144,Y1546&gt;144)),"ERROR","")</f>
        <v/>
      </c>
      <c r="AA1546" s="72"/>
      <c r="AB1546" s="72"/>
      <c r="AC1546" s="72">
        <f t="shared" si="638"/>
        <v>1</v>
      </c>
      <c r="AD1546" s="72">
        <f t="shared" si="639"/>
        <v>1</v>
      </c>
      <c r="AE1546" s="109" t="str">
        <f t="shared" si="640"/>
        <v>0-0</v>
      </c>
      <c r="AF1546" s="109" t="str">
        <f t="shared" si="641"/>
        <v>Y</v>
      </c>
      <c r="AG1546" s="109" t="str">
        <f t="shared" si="642"/>
        <v>B</v>
      </c>
      <c r="AM1546" s="109">
        <f t="shared" si="643"/>
        <v>0</v>
      </c>
      <c r="AN1546" s="109">
        <f t="shared" si="644"/>
        <v>0</v>
      </c>
      <c r="AO1546" s="109" t="str">
        <f t="shared" si="645"/>
        <v/>
      </c>
      <c r="AQ1546" s="109" t="str">
        <f t="shared" si="646"/>
        <v/>
      </c>
      <c r="BA1546" s="229">
        <f>MOD(SUM(E1534:E1547),12)</f>
        <v>0</v>
      </c>
    </row>
    <row r="1547" spans="1:53" ht="15.75" thickBot="1" x14ac:dyDescent="0.3">
      <c r="A1547" s="88"/>
      <c r="B1547" s="66" t="s">
        <v>291</v>
      </c>
      <c r="C1547" s="67"/>
      <c r="D1547" s="102"/>
      <c r="E1547" s="32"/>
      <c r="F1547" s="32"/>
      <c r="G1547" s="68" t="s">
        <v>277</v>
      </c>
      <c r="H1547" s="69">
        <f t="shared" si="647"/>
        <v>0</v>
      </c>
      <c r="I1547" s="70">
        <f t="shared" si="648"/>
        <v>0</v>
      </c>
      <c r="J1547" s="73" t="str">
        <f t="shared" si="649"/>
        <v>--</v>
      </c>
      <c r="K1547" s="32"/>
      <c r="L1547" s="233"/>
      <c r="M1547" s="277"/>
      <c r="N1547" s="277"/>
      <c r="O1547" s="277"/>
      <c r="P1547" s="277"/>
      <c r="Q1547" s="277"/>
      <c r="R1547" s="277"/>
      <c r="S1547" s="277"/>
      <c r="T1547" s="277"/>
      <c r="U1547" s="278"/>
      <c r="V1547" s="103"/>
      <c r="W1547" s="84">
        <f>Y1547+1</f>
        <v>1</v>
      </c>
      <c r="X1547" s="84"/>
      <c r="Y1547" s="78">
        <f>SUM(E1534:E1547)</f>
        <v>0</v>
      </c>
      <c r="Z1547" s="72" t="str">
        <f t="shared" si="652"/>
        <v/>
      </c>
      <c r="AA1547" s="72"/>
      <c r="AB1547" s="72"/>
      <c r="AC1547" s="72">
        <f t="shared" si="638"/>
        <v>1</v>
      </c>
      <c r="AD1547" s="72">
        <f t="shared" si="639"/>
        <v>1</v>
      </c>
      <c r="AE1547" s="109" t="str">
        <f t="shared" si="640"/>
        <v>0-0</v>
      </c>
      <c r="AF1547" s="109" t="str">
        <f t="shared" si="641"/>
        <v>Y</v>
      </c>
      <c r="AG1547" s="109" t="str">
        <f t="shared" si="642"/>
        <v>B</v>
      </c>
      <c r="AM1547" s="109">
        <f t="shared" si="643"/>
        <v>0</v>
      </c>
      <c r="AN1547" s="109">
        <f t="shared" si="644"/>
        <v>0</v>
      </c>
      <c r="AO1547" s="109" t="str">
        <f t="shared" si="645"/>
        <v/>
      </c>
      <c r="AQ1547" s="109" t="str">
        <f t="shared" si="646"/>
        <v/>
      </c>
      <c r="BA1547" s="229">
        <f>MOD(SUM(E1534:E1548),12)</f>
        <v>0</v>
      </c>
    </row>
    <row r="1548" spans="1:53" ht="15.75" thickBot="1" x14ac:dyDescent="0.3">
      <c r="A1548" s="88"/>
      <c r="B1548" s="66" t="s">
        <v>292</v>
      </c>
      <c r="C1548" s="67"/>
      <c r="D1548" s="102"/>
      <c r="E1548" s="32"/>
      <c r="F1548" s="32"/>
      <c r="G1548" s="68" t="s">
        <v>277</v>
      </c>
      <c r="H1548" s="69">
        <f t="shared" si="647"/>
        <v>0</v>
      </c>
      <c r="I1548" s="70">
        <f t="shared" si="648"/>
        <v>0</v>
      </c>
      <c r="J1548" s="73" t="str">
        <f t="shared" si="649"/>
        <v>--</v>
      </c>
      <c r="K1548" s="32"/>
      <c r="L1548" s="233"/>
      <c r="M1548" s="277"/>
      <c r="N1548" s="277"/>
      <c r="O1548" s="277"/>
      <c r="P1548" s="277"/>
      <c r="Q1548" s="277"/>
      <c r="R1548" s="277"/>
      <c r="S1548" s="277"/>
      <c r="T1548" s="277"/>
      <c r="U1548" s="278"/>
      <c r="V1548" s="103"/>
      <c r="W1548" s="84">
        <f>Y1548+1</f>
        <v>1</v>
      </c>
      <c r="X1548" s="84"/>
      <c r="Y1548" s="78">
        <f>SUM(E1534:E1548)</f>
        <v>0</v>
      </c>
      <c r="Z1548" s="72" t="str">
        <f t="shared" si="652"/>
        <v/>
      </c>
      <c r="AA1548" s="72" t="str">
        <f t="shared" ref="AA1548:AA1560" si="653">IF(AND(C1546&lt;&gt;"Field SPL",W1545&lt;=144,Y1546&gt;144),"ERROR","")</f>
        <v/>
      </c>
      <c r="AB1548" s="72"/>
      <c r="AC1548" s="72">
        <f t="shared" si="638"/>
        <v>1</v>
      </c>
      <c r="AD1548" s="72">
        <f t="shared" si="639"/>
        <v>1</v>
      </c>
      <c r="AE1548" s="109" t="str">
        <f t="shared" si="640"/>
        <v>0-0</v>
      </c>
      <c r="AF1548" s="109" t="str">
        <f t="shared" si="641"/>
        <v>Y</v>
      </c>
      <c r="AG1548" s="109" t="str">
        <f t="shared" si="642"/>
        <v>B</v>
      </c>
      <c r="AM1548" s="109">
        <f t="shared" si="643"/>
        <v>0</v>
      </c>
      <c r="AN1548" s="109">
        <f t="shared" si="644"/>
        <v>0</v>
      </c>
      <c r="AO1548" s="109" t="str">
        <f t="shared" si="645"/>
        <v/>
      </c>
      <c r="AQ1548" s="109" t="str">
        <f t="shared" si="646"/>
        <v/>
      </c>
      <c r="BA1548" s="229">
        <f>MOD(SUM(E1534:E1549),12)</f>
        <v>0</v>
      </c>
    </row>
    <row r="1549" spans="1:53" ht="15.75" thickBot="1" x14ac:dyDescent="0.3">
      <c r="A1549" s="88"/>
      <c r="B1549" s="66" t="s">
        <v>293</v>
      </c>
      <c r="C1549" s="67"/>
      <c r="D1549" s="102"/>
      <c r="E1549" s="32"/>
      <c r="F1549" s="32"/>
      <c r="G1549" s="68" t="s">
        <v>277</v>
      </c>
      <c r="H1549" s="69">
        <f t="shared" si="647"/>
        <v>0</v>
      </c>
      <c r="I1549" s="70">
        <f t="shared" si="648"/>
        <v>0</v>
      </c>
      <c r="J1549" s="73" t="str">
        <f t="shared" si="649"/>
        <v>--</v>
      </c>
      <c r="K1549" s="32"/>
      <c r="L1549" s="233"/>
      <c r="M1549" s="277"/>
      <c r="N1549" s="277"/>
      <c r="O1549" s="277"/>
      <c r="P1549" s="277"/>
      <c r="Q1549" s="277"/>
      <c r="R1549" s="277"/>
      <c r="S1549" s="277"/>
      <c r="T1549" s="277"/>
      <c r="U1549" s="278"/>
      <c r="V1549" s="103"/>
      <c r="W1549" s="84">
        <f t="shared" ref="W1549:W1557" si="654">Y1549+1</f>
        <v>1</v>
      </c>
      <c r="X1549" s="84"/>
      <c r="Y1549" s="78">
        <f>SUM(E1534:E1549)</f>
        <v>0</v>
      </c>
      <c r="Z1549" s="72" t="str">
        <f t="shared" si="652"/>
        <v/>
      </c>
      <c r="AA1549" s="72" t="str">
        <f t="shared" si="653"/>
        <v/>
      </c>
      <c r="AB1549" s="72"/>
      <c r="AC1549" s="72">
        <f t="shared" si="638"/>
        <v>1</v>
      </c>
      <c r="AD1549" s="72">
        <f t="shared" si="639"/>
        <v>1</v>
      </c>
      <c r="AE1549" s="109" t="str">
        <f t="shared" si="640"/>
        <v>0-0</v>
      </c>
      <c r="AF1549" s="109" t="str">
        <f t="shared" si="641"/>
        <v>Y</v>
      </c>
      <c r="AG1549" s="109" t="str">
        <f t="shared" si="642"/>
        <v>B</v>
      </c>
      <c r="AM1549" s="109">
        <f t="shared" si="643"/>
        <v>0</v>
      </c>
      <c r="AN1549" s="109">
        <f t="shared" si="644"/>
        <v>0</v>
      </c>
      <c r="AO1549" s="109" t="str">
        <f t="shared" si="645"/>
        <v/>
      </c>
      <c r="AQ1549" s="109" t="str">
        <f t="shared" si="646"/>
        <v/>
      </c>
      <c r="BA1549" s="229">
        <f>MOD(SUM(E1534:E1550),12)</f>
        <v>0</v>
      </c>
    </row>
    <row r="1550" spans="1:53" ht="15.75" thickBot="1" x14ac:dyDescent="0.3">
      <c r="A1550" s="88"/>
      <c r="B1550" s="66" t="s">
        <v>294</v>
      </c>
      <c r="C1550" s="67"/>
      <c r="D1550" s="102"/>
      <c r="E1550" s="32"/>
      <c r="F1550" s="32"/>
      <c r="G1550" s="68" t="s">
        <v>277</v>
      </c>
      <c r="H1550" s="69">
        <f t="shared" si="647"/>
        <v>0</v>
      </c>
      <c r="I1550" s="70">
        <f t="shared" si="648"/>
        <v>0</v>
      </c>
      <c r="J1550" s="73" t="str">
        <f t="shared" si="649"/>
        <v>--</v>
      </c>
      <c r="K1550" s="32"/>
      <c r="L1550" s="233"/>
      <c r="M1550" s="277"/>
      <c r="N1550" s="277"/>
      <c r="O1550" s="277"/>
      <c r="P1550" s="277"/>
      <c r="Q1550" s="277"/>
      <c r="R1550" s="277"/>
      <c r="S1550" s="277"/>
      <c r="T1550" s="277"/>
      <c r="U1550" s="278"/>
      <c r="V1550" s="103"/>
      <c r="W1550" s="84">
        <f t="shared" si="654"/>
        <v>1</v>
      </c>
      <c r="X1550" s="84"/>
      <c r="Y1550" s="78">
        <f>SUM(E1534:E1550)</f>
        <v>0</v>
      </c>
      <c r="Z1550" s="72" t="str">
        <f t="shared" si="652"/>
        <v/>
      </c>
      <c r="AA1550" s="72" t="str">
        <f t="shared" si="653"/>
        <v/>
      </c>
      <c r="AB1550" s="72"/>
      <c r="AC1550" s="72">
        <f t="shared" si="638"/>
        <v>1</v>
      </c>
      <c r="AD1550" s="72">
        <f t="shared" si="639"/>
        <v>1</v>
      </c>
      <c r="AE1550" s="109" t="str">
        <f t="shared" si="640"/>
        <v>0-0</v>
      </c>
      <c r="AF1550" s="109" t="str">
        <f t="shared" si="641"/>
        <v>Y</v>
      </c>
      <c r="AG1550" s="109" t="str">
        <f t="shared" si="642"/>
        <v>B</v>
      </c>
      <c r="AM1550" s="109">
        <f t="shared" si="643"/>
        <v>0</v>
      </c>
      <c r="AN1550" s="109">
        <f t="shared" si="644"/>
        <v>0</v>
      </c>
      <c r="AO1550" s="109" t="str">
        <f t="shared" si="645"/>
        <v/>
      </c>
      <c r="AQ1550" s="109" t="str">
        <f t="shared" si="646"/>
        <v/>
      </c>
      <c r="BA1550" s="229">
        <f>MOD(SUM(E1534:E1551),12)</f>
        <v>0</v>
      </c>
    </row>
    <row r="1551" spans="1:53" ht="15.75" thickBot="1" x14ac:dyDescent="0.3">
      <c r="A1551" s="88"/>
      <c r="B1551" s="66" t="s">
        <v>295</v>
      </c>
      <c r="C1551" s="67"/>
      <c r="D1551" s="102"/>
      <c r="E1551" s="32"/>
      <c r="F1551" s="32"/>
      <c r="G1551" s="68" t="s">
        <v>277</v>
      </c>
      <c r="H1551" s="69">
        <f t="shared" si="647"/>
        <v>0</v>
      </c>
      <c r="I1551" s="70">
        <f t="shared" si="648"/>
        <v>0</v>
      </c>
      <c r="J1551" s="73" t="str">
        <f t="shared" si="649"/>
        <v>--</v>
      </c>
      <c r="K1551" s="32"/>
      <c r="L1551" s="233"/>
      <c r="M1551" s="277"/>
      <c r="N1551" s="277"/>
      <c r="O1551" s="277"/>
      <c r="P1551" s="277"/>
      <c r="Q1551" s="277"/>
      <c r="R1551" s="277"/>
      <c r="S1551" s="277"/>
      <c r="T1551" s="277"/>
      <c r="U1551" s="278"/>
      <c r="V1551" s="103"/>
      <c r="W1551" s="84">
        <f t="shared" si="654"/>
        <v>1</v>
      </c>
      <c r="X1551" s="84"/>
      <c r="Y1551" s="78">
        <f>SUM(E1534:E1551)</f>
        <v>0</v>
      </c>
      <c r="Z1551" s="72" t="str">
        <f t="shared" si="652"/>
        <v/>
      </c>
      <c r="AA1551" s="72" t="str">
        <f t="shared" si="653"/>
        <v/>
      </c>
      <c r="AB1551" s="72"/>
      <c r="AC1551" s="72">
        <f t="shared" si="638"/>
        <v>1</v>
      </c>
      <c r="AD1551" s="72">
        <f t="shared" si="639"/>
        <v>1</v>
      </c>
      <c r="AE1551" s="109" t="str">
        <f t="shared" si="640"/>
        <v>0-0</v>
      </c>
      <c r="AF1551" s="109" t="str">
        <f t="shared" si="641"/>
        <v>Y</v>
      </c>
      <c r="AG1551" s="109" t="str">
        <f t="shared" si="642"/>
        <v>B</v>
      </c>
      <c r="AM1551" s="109">
        <f t="shared" si="643"/>
        <v>0</v>
      </c>
      <c r="AN1551" s="109">
        <f t="shared" si="644"/>
        <v>0</v>
      </c>
      <c r="AO1551" s="109" t="str">
        <f t="shared" si="645"/>
        <v/>
      </c>
      <c r="AQ1551" s="109" t="str">
        <f t="shared" si="646"/>
        <v/>
      </c>
      <c r="BA1551" s="229">
        <f>MOD(SUM(E1534:E1552),12)</f>
        <v>0</v>
      </c>
    </row>
    <row r="1552" spans="1:53" ht="15.75" thickBot="1" x14ac:dyDescent="0.3">
      <c r="A1552" s="88"/>
      <c r="B1552" s="66" t="s">
        <v>296</v>
      </c>
      <c r="C1552" s="67"/>
      <c r="D1552" s="102"/>
      <c r="E1552" s="32"/>
      <c r="F1552" s="32"/>
      <c r="G1552" s="68" t="s">
        <v>277</v>
      </c>
      <c r="H1552" s="69">
        <f t="shared" si="647"/>
        <v>0</v>
      </c>
      <c r="I1552" s="70">
        <f t="shared" si="648"/>
        <v>0</v>
      </c>
      <c r="J1552" s="73" t="str">
        <f t="shared" si="649"/>
        <v>--</v>
      </c>
      <c r="K1552" s="32"/>
      <c r="L1552" s="233"/>
      <c r="M1552" s="277"/>
      <c r="N1552" s="277"/>
      <c r="O1552" s="277"/>
      <c r="P1552" s="277"/>
      <c r="Q1552" s="277"/>
      <c r="R1552" s="277"/>
      <c r="S1552" s="277"/>
      <c r="T1552" s="277"/>
      <c r="U1552" s="278"/>
      <c r="V1552" s="103"/>
      <c r="W1552" s="84">
        <f t="shared" si="654"/>
        <v>1</v>
      </c>
      <c r="X1552" s="84"/>
      <c r="Y1552" s="78">
        <f>SUM(E1534:E1552)</f>
        <v>0</v>
      </c>
      <c r="Z1552" s="72" t="str">
        <f t="shared" si="652"/>
        <v/>
      </c>
      <c r="AA1552" s="72" t="str">
        <f t="shared" si="653"/>
        <v/>
      </c>
      <c r="AB1552" s="72"/>
      <c r="AC1552" s="72">
        <f t="shared" si="638"/>
        <v>1</v>
      </c>
      <c r="AD1552" s="72">
        <f t="shared" si="639"/>
        <v>1</v>
      </c>
      <c r="AE1552" s="109" t="str">
        <f t="shared" si="640"/>
        <v>0-0</v>
      </c>
      <c r="AF1552" s="109" t="str">
        <f t="shared" si="641"/>
        <v>Y</v>
      </c>
      <c r="AG1552" s="109" t="str">
        <f t="shared" si="642"/>
        <v>B</v>
      </c>
      <c r="AM1552" s="109">
        <f t="shared" si="643"/>
        <v>0</v>
      </c>
      <c r="AN1552" s="109">
        <f t="shared" si="644"/>
        <v>0</v>
      </c>
      <c r="AO1552" s="109" t="str">
        <f t="shared" si="645"/>
        <v/>
      </c>
      <c r="AQ1552" s="109" t="str">
        <f t="shared" si="646"/>
        <v/>
      </c>
      <c r="BA1552" s="229">
        <f>MOD(SUM(E1534:E1553),12)</f>
        <v>0</v>
      </c>
    </row>
    <row r="1553" spans="1:53" ht="15.75" thickBot="1" x14ac:dyDescent="0.3">
      <c r="A1553" s="88"/>
      <c r="B1553" s="66" t="s">
        <v>297</v>
      </c>
      <c r="C1553" s="67"/>
      <c r="D1553" s="102"/>
      <c r="E1553" s="32"/>
      <c r="F1553" s="32"/>
      <c r="G1553" s="68" t="s">
        <v>277</v>
      </c>
      <c r="H1553" s="69">
        <f t="shared" si="647"/>
        <v>0</v>
      </c>
      <c r="I1553" s="70">
        <f t="shared" si="648"/>
        <v>0</v>
      </c>
      <c r="J1553" s="73" t="str">
        <f t="shared" si="649"/>
        <v>--</v>
      </c>
      <c r="K1553" s="32"/>
      <c r="L1553" s="233"/>
      <c r="M1553" s="277"/>
      <c r="N1553" s="277"/>
      <c r="O1553" s="277"/>
      <c r="P1553" s="277"/>
      <c r="Q1553" s="277"/>
      <c r="R1553" s="277"/>
      <c r="S1553" s="277"/>
      <c r="T1553" s="277"/>
      <c r="U1553" s="278"/>
      <c r="V1553" s="103"/>
      <c r="W1553" s="84">
        <f t="shared" si="654"/>
        <v>1</v>
      </c>
      <c r="X1553" s="84"/>
      <c r="Y1553" s="78">
        <f>SUM(E1534:E1553)</f>
        <v>0</v>
      </c>
      <c r="Z1553" s="72" t="str">
        <f t="shared" si="652"/>
        <v/>
      </c>
      <c r="AA1553" s="72" t="str">
        <f t="shared" si="653"/>
        <v/>
      </c>
      <c r="AB1553" s="72"/>
      <c r="AC1553" s="72">
        <f t="shared" si="638"/>
        <v>1</v>
      </c>
      <c r="AD1553" s="72">
        <f t="shared" si="639"/>
        <v>1</v>
      </c>
      <c r="AE1553" s="109" t="str">
        <f t="shared" si="640"/>
        <v>0-0</v>
      </c>
      <c r="AF1553" s="109" t="str">
        <f t="shared" si="641"/>
        <v>Y</v>
      </c>
      <c r="AG1553" s="109" t="str">
        <f t="shared" si="642"/>
        <v>B</v>
      </c>
      <c r="AM1553" s="109">
        <f t="shared" si="643"/>
        <v>0</v>
      </c>
      <c r="AN1553" s="109">
        <f t="shared" si="644"/>
        <v>0</v>
      </c>
      <c r="AO1553" s="109" t="str">
        <f t="shared" si="645"/>
        <v/>
      </c>
      <c r="AQ1553" s="109" t="str">
        <f t="shared" si="646"/>
        <v/>
      </c>
      <c r="BA1553" s="229">
        <f>MOD(SUM(E1534:E1554),12)</f>
        <v>0</v>
      </c>
    </row>
    <row r="1554" spans="1:53" ht="15.75" thickBot="1" x14ac:dyDescent="0.3">
      <c r="A1554" s="88"/>
      <c r="B1554" s="66" t="s">
        <v>298</v>
      </c>
      <c r="C1554" s="67"/>
      <c r="D1554" s="102"/>
      <c r="E1554" s="32"/>
      <c r="F1554" s="32"/>
      <c r="G1554" s="68" t="s">
        <v>277</v>
      </c>
      <c r="H1554" s="69">
        <f t="shared" si="647"/>
        <v>0</v>
      </c>
      <c r="I1554" s="70">
        <f t="shared" si="648"/>
        <v>0</v>
      </c>
      <c r="J1554" s="73" t="str">
        <f t="shared" si="649"/>
        <v>--</v>
      </c>
      <c r="K1554" s="32"/>
      <c r="L1554" s="233"/>
      <c r="M1554" s="277"/>
      <c r="N1554" s="277"/>
      <c r="O1554" s="277"/>
      <c r="P1554" s="277"/>
      <c r="Q1554" s="277"/>
      <c r="R1554" s="277"/>
      <c r="S1554" s="277"/>
      <c r="T1554" s="277"/>
      <c r="U1554" s="278"/>
      <c r="V1554" s="103"/>
      <c r="W1554" s="84">
        <f t="shared" si="654"/>
        <v>1</v>
      </c>
      <c r="X1554" s="84"/>
      <c r="Y1554" s="78">
        <f>SUM(E1534:E1554)</f>
        <v>0</v>
      </c>
      <c r="Z1554" s="72" t="str">
        <f t="shared" si="652"/>
        <v/>
      </c>
      <c r="AA1554" s="72" t="str">
        <f t="shared" si="653"/>
        <v/>
      </c>
      <c r="AB1554" s="72"/>
      <c r="AC1554" s="72">
        <f t="shared" si="638"/>
        <v>1</v>
      </c>
      <c r="AD1554" s="72">
        <f t="shared" si="639"/>
        <v>1</v>
      </c>
      <c r="AE1554" s="109" t="str">
        <f t="shared" si="640"/>
        <v>0-0</v>
      </c>
      <c r="AF1554" s="109" t="str">
        <f t="shared" si="641"/>
        <v>Y</v>
      </c>
      <c r="AG1554" s="109" t="str">
        <f t="shared" si="642"/>
        <v>B</v>
      </c>
      <c r="AM1554" s="109">
        <f t="shared" si="643"/>
        <v>0</v>
      </c>
      <c r="AN1554" s="109">
        <f t="shared" si="644"/>
        <v>0</v>
      </c>
      <c r="AO1554" s="109" t="str">
        <f t="shared" si="645"/>
        <v/>
      </c>
      <c r="AQ1554" s="109" t="str">
        <f t="shared" si="646"/>
        <v/>
      </c>
      <c r="BA1554" s="229">
        <f>MOD(SUM(E1534:E1555),12)</f>
        <v>0</v>
      </c>
    </row>
    <row r="1555" spans="1:53" ht="15.75" thickBot="1" x14ac:dyDescent="0.3">
      <c r="A1555" s="88"/>
      <c r="B1555" s="66" t="s">
        <v>299</v>
      </c>
      <c r="C1555" s="67"/>
      <c r="D1555" s="102"/>
      <c r="E1555" s="32"/>
      <c r="F1555" s="32"/>
      <c r="G1555" s="68" t="s">
        <v>277</v>
      </c>
      <c r="H1555" s="69">
        <f t="shared" si="647"/>
        <v>0</v>
      </c>
      <c r="I1555" s="70">
        <f t="shared" si="648"/>
        <v>0</v>
      </c>
      <c r="J1555" s="73" t="str">
        <f t="shared" si="649"/>
        <v>--</v>
      </c>
      <c r="K1555" s="32"/>
      <c r="L1555" s="233"/>
      <c r="M1555" s="277"/>
      <c r="N1555" s="277"/>
      <c r="O1555" s="277"/>
      <c r="P1555" s="277"/>
      <c r="Q1555" s="277"/>
      <c r="R1555" s="277"/>
      <c r="S1555" s="277"/>
      <c r="T1555" s="277"/>
      <c r="U1555" s="278"/>
      <c r="V1555" s="103"/>
      <c r="W1555" s="84">
        <f t="shared" si="654"/>
        <v>1</v>
      </c>
      <c r="X1555" s="84"/>
      <c r="Y1555" s="78">
        <f>SUM(E1534:E1555)</f>
        <v>0</v>
      </c>
      <c r="Z1555" s="72" t="str">
        <f t="shared" si="652"/>
        <v/>
      </c>
      <c r="AA1555" s="72" t="str">
        <f t="shared" si="653"/>
        <v/>
      </c>
      <c r="AB1555" s="72"/>
      <c r="AC1555" s="72">
        <f t="shared" si="638"/>
        <v>1</v>
      </c>
      <c r="AD1555" s="72">
        <f t="shared" si="639"/>
        <v>1</v>
      </c>
      <c r="AE1555" s="109" t="str">
        <f t="shared" si="640"/>
        <v>0-0</v>
      </c>
      <c r="AF1555" s="109" t="str">
        <f t="shared" si="641"/>
        <v>Y</v>
      </c>
      <c r="AG1555" s="109" t="str">
        <f t="shared" si="642"/>
        <v>B</v>
      </c>
      <c r="AM1555" s="109">
        <f t="shared" si="643"/>
        <v>0</v>
      </c>
      <c r="AN1555" s="109">
        <f t="shared" si="644"/>
        <v>0</v>
      </c>
      <c r="AO1555" s="109" t="str">
        <f t="shared" si="645"/>
        <v/>
      </c>
      <c r="AQ1555" s="109" t="str">
        <f t="shared" si="646"/>
        <v/>
      </c>
      <c r="BA1555" s="229">
        <f>MOD(SUM(E1534:E1556),12)</f>
        <v>0</v>
      </c>
    </row>
    <row r="1556" spans="1:53" ht="15.75" thickBot="1" x14ac:dyDescent="0.3">
      <c r="A1556" s="88"/>
      <c r="B1556" s="66" t="s">
        <v>300</v>
      </c>
      <c r="C1556" s="67"/>
      <c r="D1556" s="102"/>
      <c r="E1556" s="32"/>
      <c r="F1556" s="32"/>
      <c r="G1556" s="68" t="s">
        <v>277</v>
      </c>
      <c r="H1556" s="69">
        <f t="shared" si="647"/>
        <v>0</v>
      </c>
      <c r="I1556" s="70">
        <f t="shared" si="648"/>
        <v>0</v>
      </c>
      <c r="J1556" s="73" t="str">
        <f t="shared" si="649"/>
        <v>--</v>
      </c>
      <c r="K1556" s="32"/>
      <c r="L1556" s="233"/>
      <c r="M1556" s="277"/>
      <c r="N1556" s="277"/>
      <c r="O1556" s="277"/>
      <c r="P1556" s="277"/>
      <c r="Q1556" s="277"/>
      <c r="R1556" s="277"/>
      <c r="S1556" s="277"/>
      <c r="T1556" s="277"/>
      <c r="U1556" s="278"/>
      <c r="V1556" s="103"/>
      <c r="W1556" s="84">
        <f t="shared" si="654"/>
        <v>1</v>
      </c>
      <c r="X1556" s="84"/>
      <c r="Y1556" s="78">
        <f>SUM(E1534:E1556)</f>
        <v>0</v>
      </c>
      <c r="Z1556" s="72" t="str">
        <f t="shared" si="652"/>
        <v/>
      </c>
      <c r="AA1556" s="72" t="str">
        <f t="shared" si="653"/>
        <v/>
      </c>
      <c r="AB1556" s="72"/>
      <c r="AC1556" s="72">
        <f t="shared" si="638"/>
        <v>1</v>
      </c>
      <c r="AD1556" s="72">
        <f t="shared" si="639"/>
        <v>1</v>
      </c>
      <c r="AE1556" s="109" t="str">
        <f t="shared" si="640"/>
        <v>0-0</v>
      </c>
      <c r="AF1556" s="109" t="str">
        <f t="shared" si="641"/>
        <v>Y</v>
      </c>
      <c r="AG1556" s="109" t="str">
        <f t="shared" si="642"/>
        <v>B</v>
      </c>
      <c r="AM1556" s="109">
        <f t="shared" si="643"/>
        <v>0</v>
      </c>
      <c r="AN1556" s="109">
        <f t="shared" si="644"/>
        <v>0</v>
      </c>
      <c r="AO1556" s="109" t="str">
        <f t="shared" si="645"/>
        <v/>
      </c>
      <c r="AQ1556" s="109" t="str">
        <f t="shared" si="646"/>
        <v/>
      </c>
      <c r="BA1556" s="229">
        <f>MOD(SUM(E1534:E1557),12)</f>
        <v>0</v>
      </c>
    </row>
    <row r="1557" spans="1:53" ht="15.75" thickBot="1" x14ac:dyDescent="0.3">
      <c r="A1557" s="88"/>
      <c r="B1557" s="66" t="s">
        <v>301</v>
      </c>
      <c r="C1557" s="67"/>
      <c r="D1557" s="102"/>
      <c r="E1557" s="32"/>
      <c r="F1557" s="32"/>
      <c r="G1557" s="68" t="s">
        <v>277</v>
      </c>
      <c r="H1557" s="69">
        <f t="shared" si="647"/>
        <v>0</v>
      </c>
      <c r="I1557" s="70">
        <f t="shared" si="648"/>
        <v>0</v>
      </c>
      <c r="J1557" s="73" t="str">
        <f t="shared" si="649"/>
        <v>--</v>
      </c>
      <c r="K1557" s="32"/>
      <c r="L1557" s="233"/>
      <c r="M1557" s="277"/>
      <c r="N1557" s="277"/>
      <c r="O1557" s="277"/>
      <c r="P1557" s="277"/>
      <c r="Q1557" s="277"/>
      <c r="R1557" s="277"/>
      <c r="S1557" s="277"/>
      <c r="T1557" s="277"/>
      <c r="U1557" s="278"/>
      <c r="V1557" s="103"/>
      <c r="W1557" s="84">
        <f t="shared" si="654"/>
        <v>1</v>
      </c>
      <c r="X1557" s="84"/>
      <c r="Y1557" s="78">
        <f>SUM(E1534:E1557)</f>
        <v>0</v>
      </c>
      <c r="Z1557" s="72" t="str">
        <f t="shared" si="652"/>
        <v/>
      </c>
      <c r="AA1557" s="72" t="str">
        <f t="shared" si="653"/>
        <v/>
      </c>
      <c r="AB1557" s="72"/>
      <c r="AC1557" s="72">
        <f t="shared" si="638"/>
        <v>1</v>
      </c>
      <c r="AD1557" s="72">
        <f t="shared" si="639"/>
        <v>1</v>
      </c>
      <c r="AE1557" s="109" t="str">
        <f t="shared" si="640"/>
        <v>0-0</v>
      </c>
      <c r="AF1557" s="109" t="str">
        <f t="shared" si="641"/>
        <v>Y</v>
      </c>
      <c r="AG1557" s="109" t="str">
        <f t="shared" si="642"/>
        <v>B</v>
      </c>
      <c r="AM1557" s="109">
        <f t="shared" si="643"/>
        <v>0</v>
      </c>
      <c r="AN1557" s="109">
        <f t="shared" si="644"/>
        <v>0</v>
      </c>
      <c r="AO1557" s="109" t="str">
        <f t="shared" si="645"/>
        <v/>
      </c>
      <c r="AQ1557" s="109" t="str">
        <f t="shared" si="646"/>
        <v/>
      </c>
      <c r="BA1557" s="229">
        <f>MOD(SUM(E1534:E1558),12)</f>
        <v>0</v>
      </c>
    </row>
    <row r="1558" spans="1:53" ht="15.75" thickBot="1" x14ac:dyDescent="0.3">
      <c r="A1558" s="88"/>
      <c r="B1558" s="66" t="s">
        <v>302</v>
      </c>
      <c r="C1558" s="67"/>
      <c r="D1558" s="102"/>
      <c r="E1558" s="32"/>
      <c r="F1558" s="32"/>
      <c r="G1558" s="68" t="s">
        <v>277</v>
      </c>
      <c r="H1558" s="69">
        <f t="shared" si="647"/>
        <v>0</v>
      </c>
      <c r="I1558" s="70">
        <f t="shared" si="648"/>
        <v>0</v>
      </c>
      <c r="J1558" s="73" t="str">
        <f t="shared" si="649"/>
        <v>--</v>
      </c>
      <c r="K1558" s="32"/>
      <c r="L1558" s="234"/>
      <c r="M1558" s="277"/>
      <c r="N1558" s="277"/>
      <c r="O1558" s="277"/>
      <c r="P1558" s="277"/>
      <c r="Q1558" s="277"/>
      <c r="R1558" s="277"/>
      <c r="S1558" s="277"/>
      <c r="T1558" s="277"/>
      <c r="U1558" s="278"/>
      <c r="V1558" s="103"/>
      <c r="W1558" s="72"/>
      <c r="X1558" s="72"/>
      <c r="Y1558" s="78">
        <f>SUM(E1534:E1558)</f>
        <v>0</v>
      </c>
      <c r="Z1558" s="72" t="str">
        <f t="shared" si="652"/>
        <v/>
      </c>
      <c r="AA1558" s="72" t="str">
        <f t="shared" si="653"/>
        <v/>
      </c>
      <c r="AB1558" s="72"/>
      <c r="AC1558" s="72">
        <f t="shared" si="638"/>
        <v>1</v>
      </c>
      <c r="AD1558" s="72">
        <f t="shared" si="639"/>
        <v>1</v>
      </c>
      <c r="AE1558" s="109" t="str">
        <f t="shared" si="640"/>
        <v>0-0</v>
      </c>
      <c r="AF1558" s="109" t="str">
        <f t="shared" si="641"/>
        <v>Y</v>
      </c>
      <c r="AG1558" s="109" t="str">
        <f t="shared" si="642"/>
        <v>B</v>
      </c>
      <c r="AM1558" s="109">
        <f t="shared" si="643"/>
        <v>0</v>
      </c>
      <c r="AN1558" s="109">
        <f t="shared" si="644"/>
        <v>0</v>
      </c>
      <c r="AO1558" s="109" t="str">
        <f t="shared" si="645"/>
        <v/>
      </c>
      <c r="AQ1558" s="109" t="str">
        <f t="shared" si="646"/>
        <v/>
      </c>
      <c r="BA1558" s="228"/>
    </row>
    <row r="1559" spans="1:53" ht="16.5" thickBot="1" x14ac:dyDescent="0.3">
      <c r="A1559" s="88"/>
      <c r="B1559" s="319" t="s">
        <v>379</v>
      </c>
      <c r="C1559" s="320"/>
      <c r="D1559" s="79"/>
      <c r="E1559" s="80"/>
      <c r="F1559" s="80"/>
      <c r="G1559" s="81"/>
      <c r="H1559" s="192"/>
      <c r="I1559" s="192"/>
      <c r="J1559" s="192"/>
      <c r="K1559" s="82"/>
      <c r="L1559" s="319" t="s">
        <v>306</v>
      </c>
      <c r="M1559" s="330"/>
      <c r="N1559" s="330"/>
      <c r="O1559" s="330"/>
      <c r="P1559" s="330"/>
      <c r="Q1559" s="330"/>
      <c r="R1559" s="330"/>
      <c r="S1559" s="330"/>
      <c r="T1559" s="330"/>
      <c r="U1559" s="320"/>
      <c r="V1559" s="104"/>
      <c r="W1559" s="72"/>
      <c r="X1559" s="72"/>
      <c r="Y1559" s="72"/>
      <c r="Z1559" s="72"/>
      <c r="AA1559" s="72" t="str">
        <f t="shared" si="653"/>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319" t="s">
        <v>307</v>
      </c>
      <c r="C1560" s="320"/>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53"/>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312" t="s">
        <v>222</v>
      </c>
      <c r="C1564" s="313"/>
      <c r="D1564" s="314" t="s">
        <v>223</v>
      </c>
      <c r="E1564" s="305"/>
      <c r="F1564" s="88"/>
      <c r="G1564" s="315" t="s">
        <v>224</v>
      </c>
      <c r="H1564" s="316"/>
      <c r="I1564" s="28">
        <f>SUM(E1575:E1599)</f>
        <v>0</v>
      </c>
      <c r="J1564" s="317" t="s">
        <v>225</v>
      </c>
      <c r="K1564" s="318"/>
      <c r="L1564" s="305"/>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5" t="s">
        <v>226</v>
      </c>
      <c r="AA1564" s="296"/>
      <c r="AB1564" s="297"/>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4" t="s">
        <v>230</v>
      </c>
      <c r="H1565" s="305"/>
      <c r="I1565" s="33">
        <f>E1566-I1564</f>
        <v>0</v>
      </c>
      <c r="J1565" s="289" t="s">
        <v>231</v>
      </c>
      <c r="K1565" s="290"/>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298" t="s">
        <v>232</v>
      </c>
      <c r="AA1565" s="300" t="s">
        <v>233</v>
      </c>
      <c r="AB1565" s="301"/>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291" t="s">
        <v>237</v>
      </c>
      <c r="H1566" s="292"/>
      <c r="I1566" s="35">
        <f>IF(E1566=0,0,12-(MOD(I1564,12)))</f>
        <v>0</v>
      </c>
      <c r="J1566" s="289" t="s">
        <v>238</v>
      </c>
      <c r="K1566" s="290"/>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299"/>
      <c r="AA1566" s="302"/>
      <c r="AB1566" s="303"/>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321" t="s">
        <v>242</v>
      </c>
      <c r="H1567" s="43" t="s">
        <v>243</v>
      </c>
      <c r="I1567" s="35">
        <f>IF(E1567&lt;&gt;0,1,0)</f>
        <v>0</v>
      </c>
      <c r="J1567" s="291" t="s">
        <v>244</v>
      </c>
      <c r="K1567" s="292"/>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322"/>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321" t="s">
        <v>251</v>
      </c>
      <c r="H1569" s="51" t="s">
        <v>252</v>
      </c>
      <c r="I1569" s="112">
        <f>E1568</f>
        <v>0</v>
      </c>
      <c r="J1569" s="323" t="s">
        <v>253</v>
      </c>
      <c r="K1569" s="324"/>
      <c r="L1569" s="325"/>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322"/>
      <c r="H1570" s="47" t="s">
        <v>257</v>
      </c>
      <c r="I1570" s="35" t="str">
        <f>IF(E1568="","0",IF(AND(E1565="EUC",E1566=432), I1569+(203-E1567),IF(E1568=0,0,(E1568+(E1566-E1567)-1))))</f>
        <v>0</v>
      </c>
      <c r="J1570" s="285" t="str">
        <f>IFERROR(IF(OR(E1565="EUC",E1565="SS"),"---",IF(OR(P1564,S1564),"NO 2F Tethers for RPX!",IF(OR(P1566,S1566),"NO 6F Tethers for RPX!","---"))),"---")</f>
        <v>---</v>
      </c>
      <c r="K1570" s="286"/>
      <c r="L1570" s="287"/>
      <c r="M1570" s="285" t="str">
        <f>IF(E1567&gt;60,"Dead Count &gt;60: Consider Downsize","---")</f>
        <v>---</v>
      </c>
      <c r="N1570" s="286"/>
      <c r="O1570" s="286"/>
      <c r="P1570" s="286"/>
      <c r="Q1570" s="286"/>
      <c r="R1570" s="286"/>
      <c r="S1570" s="286"/>
      <c r="T1570" s="286"/>
      <c r="U1570" s="287"/>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85"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86"/>
      <c r="L1571" s="287"/>
      <c r="M1571" s="285" t="str">
        <f>IF(AND(OR(E1565="SS",E1565="RPX",E1565="EUC",E1565="RPX-T"),(OR(C1575="",C1575="Field SPL"))),"Cannot have FlexNap cables without tethers","---")</f>
        <v>---</v>
      </c>
      <c r="N1571" s="286"/>
      <c r="O1571" s="286"/>
      <c r="P1571" s="286"/>
      <c r="Q1571" s="286"/>
      <c r="R1571" s="286"/>
      <c r="S1571" s="286"/>
      <c r="T1571" s="286"/>
      <c r="U1571" s="287"/>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85" t="str">
        <f>IF(AND(OR(E1565="RPX", E1565="RPX-T", E1565="SS"),E1566=216),"NO 216 For RPX, RPX-T, OR SS CABLE","---")</f>
        <v>---</v>
      </c>
      <c r="K1572" s="286"/>
      <c r="L1572" s="287"/>
      <c r="M1572" s="285" t="str" cm="1">
        <f t="array" ref="M1572">IF(AND(E1565="",OR(C1575:C1599="FST",C1575:C1599="REV T",C1575:C1599="DBL REV",C1575:C1599="TPL REV", C1575:C1599="QD REV")),"Non-FlexNap cables cannot have tethers","---")</f>
        <v>---</v>
      </c>
      <c r="N1572" s="286"/>
      <c r="O1572" s="286"/>
      <c r="P1572" s="286"/>
      <c r="Q1572" s="286"/>
      <c r="R1572" s="286"/>
      <c r="S1572" s="286"/>
      <c r="T1572" s="286"/>
      <c r="U1572" s="287"/>
      <c r="V1572" s="25"/>
      <c r="W1572" s="58"/>
      <c r="X1572" s="58"/>
      <c r="Y1572" s="25"/>
      <c r="Z1572" s="45">
        <v>6</v>
      </c>
      <c r="AA1572" s="65">
        <v>61</v>
      </c>
      <c r="AB1572" s="65">
        <v>72</v>
      </c>
      <c r="AC1572" s="25"/>
      <c r="AD1572" s="25"/>
      <c r="BA1572" s="226"/>
    </row>
    <row r="1573" spans="1:53" ht="15.75" customHeight="1" thickBot="1" x14ac:dyDescent="0.3">
      <c r="A1573" s="88"/>
      <c r="B1573" s="321" t="s">
        <v>260</v>
      </c>
      <c r="C1573" s="293" t="s">
        <v>261</v>
      </c>
      <c r="D1573" s="293" t="s">
        <v>262</v>
      </c>
      <c r="E1573" s="306" t="s">
        <v>263</v>
      </c>
      <c r="F1573" s="293" t="s">
        <v>264</v>
      </c>
      <c r="G1573" s="308" t="s">
        <v>265</v>
      </c>
      <c r="H1573" s="308" t="s">
        <v>266</v>
      </c>
      <c r="I1573" s="308" t="s">
        <v>267</v>
      </c>
      <c r="J1573" s="310" t="s">
        <v>268</v>
      </c>
      <c r="K1573" s="293" t="s">
        <v>269</v>
      </c>
      <c r="L1573" s="279" t="s">
        <v>270</v>
      </c>
      <c r="M1573" s="281" t="s">
        <v>271</v>
      </c>
      <c r="N1573" s="281"/>
      <c r="O1573" s="281"/>
      <c r="P1573" s="281"/>
      <c r="Q1573" s="281"/>
      <c r="R1573" s="281"/>
      <c r="S1573" s="281"/>
      <c r="T1573" s="281"/>
      <c r="U1573" s="282"/>
      <c r="V1573" s="107"/>
      <c r="W1573" s="72"/>
      <c r="X1573" s="72"/>
      <c r="Y1573" s="72"/>
      <c r="Z1573" s="45">
        <v>7</v>
      </c>
      <c r="AA1573" s="65">
        <v>73</v>
      </c>
      <c r="AB1573" s="65">
        <v>84</v>
      </c>
      <c r="AC1573" s="25"/>
      <c r="AD1573" s="25"/>
      <c r="BA1573" s="228"/>
    </row>
    <row r="1574" spans="1:53" ht="15.75" thickBot="1" x14ac:dyDescent="0.3">
      <c r="A1574" s="88"/>
      <c r="B1574" s="322"/>
      <c r="C1574" s="294"/>
      <c r="D1574" s="294"/>
      <c r="E1574" s="307"/>
      <c r="F1574" s="294"/>
      <c r="G1574" s="309"/>
      <c r="H1574" s="309"/>
      <c r="I1574" s="309"/>
      <c r="J1574" s="311"/>
      <c r="K1574" s="294"/>
      <c r="L1574" s="280"/>
      <c r="M1574" s="283"/>
      <c r="N1574" s="283"/>
      <c r="O1574" s="283"/>
      <c r="P1574" s="283"/>
      <c r="Q1574" s="283"/>
      <c r="R1574" s="283"/>
      <c r="S1574" s="283"/>
      <c r="T1574" s="283"/>
      <c r="U1574" s="284"/>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77"/>
      <c r="N1575" s="277"/>
      <c r="O1575" s="277"/>
      <c r="P1575" s="277"/>
      <c r="Q1575" s="277"/>
      <c r="R1575" s="277"/>
      <c r="S1575" s="277"/>
      <c r="T1575" s="277"/>
      <c r="U1575" s="278"/>
      <c r="V1575" s="103"/>
      <c r="W1575" s="72"/>
      <c r="X1575" s="72"/>
      <c r="Y1575" s="72"/>
      <c r="Z1575" s="45">
        <v>9</v>
      </c>
      <c r="AA1575" s="46">
        <v>97</v>
      </c>
      <c r="AB1575" s="46">
        <v>108</v>
      </c>
      <c r="AC1575" s="72">
        <f t="shared" ref="AC1575:AC1599" si="655">IF(B1575&lt;&gt;"FST",1,0)</f>
        <v>1</v>
      </c>
      <c r="AD1575" s="72">
        <f t="shared" ref="AD1575:AD1599" si="656">IF(C1575&lt;&gt;"FST",1,0)</f>
        <v>1</v>
      </c>
      <c r="AE1575" s="109" t="str">
        <f t="shared" ref="AE1575:AE1599" si="657">CONCATENATE(H1575,"-",I1575)</f>
        <v>0-0</v>
      </c>
      <c r="AF1575" s="109" t="str">
        <f t="shared" ref="AF1575:AF1599" si="658">IF(C1575="Field SPL","N","Y")</f>
        <v>Y</v>
      </c>
      <c r="AG1575" s="109" t="str">
        <f t="shared" ref="AG1575:AG1599" si="659">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60">VALUE(IF(C1575="FST","0",IF(C1575="REV T","1",IF(C1575="DBL REV",".5","0"))))</f>
        <v>0</v>
      </c>
      <c r="AN1575" s="109">
        <f t="shared" ref="AN1575:AN1599" si="661">VALUE(IF(C1575="FST","0",IF(C1575="REV T","0",IF(C1575="DBL REV",".5","0"))))</f>
        <v>0</v>
      </c>
      <c r="AO1575" s="109" t="str">
        <f t="shared" ref="AO1575:AO1599" si="662">IF(C1575="TPL REV","Y","")</f>
        <v/>
      </c>
      <c r="AQ1575" s="109" t="str">
        <f t="shared" ref="AQ1575:AQ1599" si="663">IF(C1575="QD REV","Y","")</f>
        <v/>
      </c>
      <c r="BA1575" s="229">
        <f>MOD(E1575,12)</f>
        <v>0</v>
      </c>
    </row>
    <row r="1576" spans="1:53" ht="15.75" thickBot="1" x14ac:dyDescent="0.3">
      <c r="A1576" s="88"/>
      <c r="B1576" s="66" t="s">
        <v>279</v>
      </c>
      <c r="C1576" s="67"/>
      <c r="D1576" s="102"/>
      <c r="E1576" s="32"/>
      <c r="F1576" s="32"/>
      <c r="G1576" s="68" t="s">
        <v>277</v>
      </c>
      <c r="H1576" s="69">
        <f t="shared" ref="H1576:H1599" si="664">IF(E1576=0,0,I1576-(E1576-1))</f>
        <v>0</v>
      </c>
      <c r="I1576" s="70">
        <f t="shared" ref="I1576:I1599" si="665">IF(E1576=0,0,H1575-1)</f>
        <v>0</v>
      </c>
      <c r="J1576" s="73" t="str">
        <f>IF(C1576="","--",IF(AND(C1576&lt;&gt;"FST",C1576&lt;&gt;"TCF",BA1575&lt;&gt;0),BA1575,"--"))</f>
        <v>--</v>
      </c>
      <c r="K1576" s="32"/>
      <c r="L1576" s="233"/>
      <c r="M1576" s="277"/>
      <c r="N1576" s="277"/>
      <c r="O1576" s="277"/>
      <c r="P1576" s="277"/>
      <c r="Q1576" s="277"/>
      <c r="R1576" s="277"/>
      <c r="S1576" s="277"/>
      <c r="T1576" s="277"/>
      <c r="U1576" s="278"/>
      <c r="V1576" s="103"/>
      <c r="W1576" s="72"/>
      <c r="X1576" s="72"/>
      <c r="Y1576" s="72"/>
      <c r="Z1576" s="45">
        <v>10</v>
      </c>
      <c r="AA1576" s="46">
        <v>109</v>
      </c>
      <c r="AB1576" s="46">
        <v>120</v>
      </c>
      <c r="AC1576" s="72">
        <f t="shared" si="655"/>
        <v>1</v>
      </c>
      <c r="AD1576" s="72">
        <f t="shared" si="656"/>
        <v>1</v>
      </c>
      <c r="AE1576" s="109" t="str">
        <f t="shared" si="657"/>
        <v>0-0</v>
      </c>
      <c r="AF1576" s="109" t="str">
        <f t="shared" si="658"/>
        <v>Y</v>
      </c>
      <c r="AG1576" s="109" t="str">
        <f t="shared" si="659"/>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60"/>
        <v>0</v>
      </c>
      <c r="AN1576" s="109">
        <f t="shared" si="661"/>
        <v>0</v>
      </c>
      <c r="AO1576" s="109" t="str">
        <f t="shared" si="662"/>
        <v/>
      </c>
      <c r="AQ1576" s="109" t="str">
        <f t="shared" si="663"/>
        <v/>
      </c>
      <c r="BA1576" s="229">
        <f>MOD(SUM(E1575:E1576),12)</f>
        <v>0</v>
      </c>
    </row>
    <row r="1577" spans="1:53" ht="15.75" thickBot="1" x14ac:dyDescent="0.3">
      <c r="A1577" s="88"/>
      <c r="B1577" s="74" t="s">
        <v>280</v>
      </c>
      <c r="C1577" s="67"/>
      <c r="D1577" s="102"/>
      <c r="E1577" s="32"/>
      <c r="F1577" s="32"/>
      <c r="G1577" s="75" t="s">
        <v>277</v>
      </c>
      <c r="H1577" s="69">
        <f t="shared" si="664"/>
        <v>0</v>
      </c>
      <c r="I1577" s="70">
        <f t="shared" si="665"/>
        <v>0</v>
      </c>
      <c r="J1577" s="73" t="str">
        <f t="shared" ref="J1577:J1599" si="666">IF(C1577="","--",IF(AND(C1577&lt;&gt;"FST",C1577&lt;&gt;"TCF",BA1576&lt;&gt;0),BA1576,"--"))</f>
        <v>--</v>
      </c>
      <c r="K1577" s="32"/>
      <c r="L1577" s="233"/>
      <c r="M1577" s="277"/>
      <c r="N1577" s="277"/>
      <c r="O1577" s="277"/>
      <c r="P1577" s="277"/>
      <c r="Q1577" s="277"/>
      <c r="R1577" s="277"/>
      <c r="S1577" s="277"/>
      <c r="T1577" s="277"/>
      <c r="U1577" s="278"/>
      <c r="V1577" s="103"/>
      <c r="W1577" s="72"/>
      <c r="X1577" s="72"/>
      <c r="Y1577" s="72"/>
      <c r="Z1577" s="45">
        <v>11</v>
      </c>
      <c r="AA1577" s="46">
        <v>121</v>
      </c>
      <c r="AB1577" s="46">
        <v>132</v>
      </c>
      <c r="AC1577" s="72">
        <f t="shared" si="655"/>
        <v>1</v>
      </c>
      <c r="AD1577" s="72">
        <f t="shared" si="656"/>
        <v>1</v>
      </c>
      <c r="AE1577" s="109" t="str">
        <f t="shared" si="657"/>
        <v>0-0</v>
      </c>
      <c r="AF1577" s="109" t="str">
        <f t="shared" si="658"/>
        <v>Y</v>
      </c>
      <c r="AG1577" s="109" t="str">
        <f t="shared" si="659"/>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60"/>
        <v>0</v>
      </c>
      <c r="AN1577" s="109">
        <f t="shared" si="661"/>
        <v>0</v>
      </c>
      <c r="AO1577" s="109" t="str">
        <f t="shared" si="662"/>
        <v/>
      </c>
      <c r="AQ1577" s="109" t="str">
        <f t="shared" si="663"/>
        <v/>
      </c>
      <c r="BA1577" s="229">
        <f>MOD(SUM(E1575:E1578),12)</f>
        <v>0</v>
      </c>
    </row>
    <row r="1578" spans="1:53" ht="15.75" thickBot="1" x14ac:dyDescent="0.3">
      <c r="A1578" s="88"/>
      <c r="B1578" s="66" t="s">
        <v>281</v>
      </c>
      <c r="C1578" s="67"/>
      <c r="D1578" s="102"/>
      <c r="E1578" s="32"/>
      <c r="F1578" s="32"/>
      <c r="G1578" s="68" t="s">
        <v>277</v>
      </c>
      <c r="H1578" s="69">
        <f t="shared" si="664"/>
        <v>0</v>
      </c>
      <c r="I1578" s="70">
        <f t="shared" si="665"/>
        <v>0</v>
      </c>
      <c r="J1578" s="73" t="str">
        <f t="shared" si="666"/>
        <v>--</v>
      </c>
      <c r="K1578" s="32"/>
      <c r="L1578" s="233"/>
      <c r="M1578" s="277"/>
      <c r="N1578" s="277"/>
      <c r="O1578" s="277"/>
      <c r="P1578" s="277"/>
      <c r="Q1578" s="277"/>
      <c r="R1578" s="277"/>
      <c r="S1578" s="277"/>
      <c r="T1578" s="277"/>
      <c r="U1578" s="278"/>
      <c r="V1578" s="103"/>
      <c r="W1578" s="72"/>
      <c r="X1578" s="72"/>
      <c r="Y1578" s="72"/>
      <c r="Z1578" s="45">
        <v>12</v>
      </c>
      <c r="AA1578" s="76">
        <v>133</v>
      </c>
      <c r="AB1578" s="76">
        <v>144</v>
      </c>
      <c r="AC1578" s="72">
        <f t="shared" si="655"/>
        <v>1</v>
      </c>
      <c r="AD1578" s="72">
        <f t="shared" si="656"/>
        <v>1</v>
      </c>
      <c r="AE1578" s="109" t="str">
        <f t="shared" si="657"/>
        <v>0-0</v>
      </c>
      <c r="AF1578" s="109" t="str">
        <f t="shared" si="658"/>
        <v>Y</v>
      </c>
      <c r="AG1578" s="109" t="str">
        <f t="shared" si="659"/>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60"/>
        <v>0</v>
      </c>
      <c r="AN1578" s="109">
        <f t="shared" si="661"/>
        <v>0</v>
      </c>
      <c r="AO1578" s="109" t="str">
        <f t="shared" si="662"/>
        <v/>
      </c>
      <c r="AQ1578" s="109" t="str">
        <f t="shared" si="663"/>
        <v/>
      </c>
      <c r="BA1578" s="229">
        <f>MOD(SUM(E1575:E1579),12)</f>
        <v>0</v>
      </c>
    </row>
    <row r="1579" spans="1:53" ht="15.75" thickBot="1" x14ac:dyDescent="0.3">
      <c r="A1579" s="88"/>
      <c r="B1579" s="66" t="s">
        <v>282</v>
      </c>
      <c r="C1579" s="67"/>
      <c r="D1579" s="102"/>
      <c r="E1579" s="32"/>
      <c r="F1579" s="32"/>
      <c r="G1579" s="68" t="s">
        <v>277</v>
      </c>
      <c r="H1579" s="69">
        <f t="shared" si="664"/>
        <v>0</v>
      </c>
      <c r="I1579" s="70">
        <f t="shared" si="665"/>
        <v>0</v>
      </c>
      <c r="J1579" s="73" t="str">
        <f t="shared" si="666"/>
        <v>--</v>
      </c>
      <c r="K1579" s="32"/>
      <c r="L1579" s="233"/>
      <c r="M1579" s="277"/>
      <c r="N1579" s="277"/>
      <c r="O1579" s="277"/>
      <c r="P1579" s="277"/>
      <c r="Q1579" s="277"/>
      <c r="R1579" s="277"/>
      <c r="S1579" s="277"/>
      <c r="T1579" s="277"/>
      <c r="U1579" s="278"/>
      <c r="V1579" s="103"/>
      <c r="W1579" s="72"/>
      <c r="X1579" s="72"/>
      <c r="Y1579" s="72"/>
      <c r="Z1579" s="45">
        <v>13</v>
      </c>
      <c r="AA1579" s="77">
        <f t="shared" ref="AA1579:AA1584" si="667">AB1578+1</f>
        <v>145</v>
      </c>
      <c r="AB1579" s="77">
        <f t="shared" ref="AB1579:AB1584" si="668">AB1578+12</f>
        <v>156</v>
      </c>
      <c r="AC1579" s="72">
        <f t="shared" si="655"/>
        <v>1</v>
      </c>
      <c r="AD1579" s="72">
        <f t="shared" si="656"/>
        <v>1</v>
      </c>
      <c r="AE1579" s="109" t="str">
        <f t="shared" si="657"/>
        <v>0-0</v>
      </c>
      <c r="AF1579" s="109" t="str">
        <f t="shared" si="658"/>
        <v>Y</v>
      </c>
      <c r="AG1579" s="109" t="str">
        <f t="shared" si="659"/>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60"/>
        <v>0</v>
      </c>
      <c r="AN1579" s="109">
        <f t="shared" si="661"/>
        <v>0</v>
      </c>
      <c r="AO1579" s="109" t="str">
        <f t="shared" si="662"/>
        <v/>
      </c>
      <c r="AQ1579" s="109" t="str">
        <f t="shared" si="663"/>
        <v/>
      </c>
      <c r="BA1579" s="229">
        <f>MOD(SUM(E1575:E1580),12)</f>
        <v>0</v>
      </c>
    </row>
    <row r="1580" spans="1:53" ht="15.75" thickBot="1" x14ac:dyDescent="0.3">
      <c r="A1580" s="88"/>
      <c r="B1580" s="66" t="s">
        <v>283</v>
      </c>
      <c r="C1580" s="67"/>
      <c r="D1580" s="102"/>
      <c r="E1580" s="32"/>
      <c r="F1580" s="32"/>
      <c r="G1580" s="68" t="s">
        <v>277</v>
      </c>
      <c r="H1580" s="69">
        <f t="shared" si="664"/>
        <v>0</v>
      </c>
      <c r="I1580" s="70">
        <f t="shared" si="665"/>
        <v>0</v>
      </c>
      <c r="J1580" s="73" t="str">
        <f t="shared" si="666"/>
        <v>--</v>
      </c>
      <c r="K1580" s="32"/>
      <c r="L1580" s="233"/>
      <c r="M1580" s="277"/>
      <c r="N1580" s="277"/>
      <c r="O1580" s="277"/>
      <c r="P1580" s="277"/>
      <c r="Q1580" s="277"/>
      <c r="R1580" s="277"/>
      <c r="S1580" s="277"/>
      <c r="T1580" s="277"/>
      <c r="U1580" s="278"/>
      <c r="V1580" s="103"/>
      <c r="W1580" s="72"/>
      <c r="X1580" s="72"/>
      <c r="Y1580" s="72"/>
      <c r="Z1580" s="45">
        <v>14</v>
      </c>
      <c r="AA1580" s="77">
        <f t="shared" si="667"/>
        <v>157</v>
      </c>
      <c r="AB1580" s="77">
        <f t="shared" si="668"/>
        <v>168</v>
      </c>
      <c r="AC1580" s="72">
        <f t="shared" si="655"/>
        <v>1</v>
      </c>
      <c r="AD1580" s="72">
        <f t="shared" si="656"/>
        <v>1</v>
      </c>
      <c r="AE1580" s="109" t="str">
        <f t="shared" si="657"/>
        <v>0-0</v>
      </c>
      <c r="AF1580" s="109" t="str">
        <f t="shared" si="658"/>
        <v>Y</v>
      </c>
      <c r="AG1580" s="109" t="str">
        <f t="shared" si="659"/>
        <v>B</v>
      </c>
      <c r="AM1580" s="109">
        <f t="shared" si="660"/>
        <v>0</v>
      </c>
      <c r="AN1580" s="109">
        <f t="shared" si="661"/>
        <v>0</v>
      </c>
      <c r="AO1580" s="109" t="str">
        <f t="shared" si="662"/>
        <v/>
      </c>
      <c r="AQ1580" s="109" t="str">
        <f t="shared" si="663"/>
        <v/>
      </c>
      <c r="BA1580" s="229">
        <f>MOD(SUM(E1575:E1581),12)</f>
        <v>0</v>
      </c>
    </row>
    <row r="1581" spans="1:53" ht="15.75" thickBot="1" x14ac:dyDescent="0.3">
      <c r="A1581" s="88"/>
      <c r="B1581" s="66" t="s">
        <v>284</v>
      </c>
      <c r="C1581" s="67"/>
      <c r="D1581" s="102"/>
      <c r="E1581" s="32"/>
      <c r="F1581" s="32"/>
      <c r="G1581" s="68" t="s">
        <v>277</v>
      </c>
      <c r="H1581" s="69">
        <f t="shared" si="664"/>
        <v>0</v>
      </c>
      <c r="I1581" s="70">
        <f t="shared" si="665"/>
        <v>0</v>
      </c>
      <c r="J1581" s="73" t="str">
        <f t="shared" si="666"/>
        <v>--</v>
      </c>
      <c r="K1581" s="32"/>
      <c r="L1581" s="233"/>
      <c r="M1581" s="277"/>
      <c r="N1581" s="277"/>
      <c r="O1581" s="277"/>
      <c r="P1581" s="277"/>
      <c r="Q1581" s="277"/>
      <c r="R1581" s="277"/>
      <c r="S1581" s="277"/>
      <c r="T1581" s="277"/>
      <c r="U1581" s="278"/>
      <c r="V1581" s="103"/>
      <c r="W1581" s="72"/>
      <c r="X1581" s="72"/>
      <c r="Y1581" s="72"/>
      <c r="Z1581" s="45">
        <v>15</v>
      </c>
      <c r="AA1581" s="77">
        <f t="shared" si="667"/>
        <v>169</v>
      </c>
      <c r="AB1581" s="77">
        <f t="shared" si="668"/>
        <v>180</v>
      </c>
      <c r="AC1581" s="72">
        <f t="shared" si="655"/>
        <v>1</v>
      </c>
      <c r="AD1581" s="72">
        <f t="shared" si="656"/>
        <v>1</v>
      </c>
      <c r="AE1581" s="109" t="str">
        <f t="shared" si="657"/>
        <v>0-0</v>
      </c>
      <c r="AF1581" s="109" t="str">
        <f t="shared" si="658"/>
        <v>Y</v>
      </c>
      <c r="AG1581" s="109" t="str">
        <f t="shared" si="659"/>
        <v>B</v>
      </c>
      <c r="AM1581" s="109">
        <f t="shared" si="660"/>
        <v>0</v>
      </c>
      <c r="AN1581" s="109">
        <f t="shared" si="661"/>
        <v>0</v>
      </c>
      <c r="AO1581" s="109" t="str">
        <f t="shared" si="662"/>
        <v/>
      </c>
      <c r="AQ1581" s="109" t="str">
        <f t="shared" si="663"/>
        <v/>
      </c>
      <c r="BA1581" s="229">
        <f>MOD(SUM(E1575:E1582),12)</f>
        <v>0</v>
      </c>
    </row>
    <row r="1582" spans="1:53" ht="15.75" thickBot="1" x14ac:dyDescent="0.3">
      <c r="A1582" s="88"/>
      <c r="B1582" s="66" t="s">
        <v>285</v>
      </c>
      <c r="C1582" s="67"/>
      <c r="D1582" s="102"/>
      <c r="E1582" s="32"/>
      <c r="F1582" s="32"/>
      <c r="G1582" s="68" t="s">
        <v>277</v>
      </c>
      <c r="H1582" s="69">
        <f t="shared" si="664"/>
        <v>0</v>
      </c>
      <c r="I1582" s="70">
        <f t="shared" si="665"/>
        <v>0</v>
      </c>
      <c r="J1582" s="73" t="str">
        <f t="shared" si="666"/>
        <v>--</v>
      </c>
      <c r="K1582" s="32"/>
      <c r="L1582" s="233"/>
      <c r="M1582" s="277"/>
      <c r="N1582" s="277"/>
      <c r="O1582" s="277"/>
      <c r="P1582" s="277"/>
      <c r="Q1582" s="277"/>
      <c r="R1582" s="277"/>
      <c r="S1582" s="277"/>
      <c r="T1582" s="277"/>
      <c r="U1582" s="278"/>
      <c r="V1582" s="103"/>
      <c r="W1582" s="72"/>
      <c r="X1582" s="72"/>
      <c r="Y1582" s="72"/>
      <c r="Z1582" s="45">
        <f>Z1581+1</f>
        <v>16</v>
      </c>
      <c r="AA1582" s="77">
        <f t="shared" si="667"/>
        <v>181</v>
      </c>
      <c r="AB1582" s="77">
        <f t="shared" si="668"/>
        <v>192</v>
      </c>
      <c r="AC1582" s="72">
        <f t="shared" si="655"/>
        <v>1</v>
      </c>
      <c r="AD1582" s="72">
        <f t="shared" si="656"/>
        <v>1</v>
      </c>
      <c r="AE1582" s="109" t="str">
        <f t="shared" si="657"/>
        <v>0-0</v>
      </c>
      <c r="AF1582" s="109" t="str">
        <f t="shared" si="658"/>
        <v>Y</v>
      </c>
      <c r="AG1582" s="109" t="str">
        <f t="shared" si="659"/>
        <v>B</v>
      </c>
      <c r="AM1582" s="109">
        <f t="shared" si="660"/>
        <v>0</v>
      </c>
      <c r="AN1582" s="109">
        <f t="shared" si="661"/>
        <v>0</v>
      </c>
      <c r="AO1582" s="109" t="str">
        <f t="shared" si="662"/>
        <v/>
      </c>
      <c r="AQ1582" s="109" t="str">
        <f t="shared" si="663"/>
        <v/>
      </c>
      <c r="BA1582" s="229">
        <f>MOD(SUM(E1575:E1583),12)</f>
        <v>0</v>
      </c>
    </row>
    <row r="1583" spans="1:53" ht="15.75" thickBot="1" x14ac:dyDescent="0.3">
      <c r="A1583" s="88"/>
      <c r="B1583" s="66" t="s">
        <v>286</v>
      </c>
      <c r="C1583" s="67"/>
      <c r="D1583" s="102"/>
      <c r="E1583" s="32"/>
      <c r="F1583" s="32"/>
      <c r="G1583" s="68" t="s">
        <v>277</v>
      </c>
      <c r="H1583" s="69">
        <f t="shared" si="664"/>
        <v>0</v>
      </c>
      <c r="I1583" s="70">
        <f t="shared" si="665"/>
        <v>0</v>
      </c>
      <c r="J1583" s="73" t="str">
        <f t="shared" si="666"/>
        <v>--</v>
      </c>
      <c r="K1583" s="32"/>
      <c r="L1583" s="233"/>
      <c r="M1583" s="277"/>
      <c r="N1583" s="277"/>
      <c r="O1583" s="277"/>
      <c r="P1583" s="277"/>
      <c r="Q1583" s="277"/>
      <c r="R1583" s="277"/>
      <c r="S1583" s="277"/>
      <c r="T1583" s="277"/>
      <c r="U1583" s="278"/>
      <c r="V1583" s="103"/>
      <c r="W1583" s="72"/>
      <c r="X1583" s="72"/>
      <c r="Y1583" s="72"/>
      <c r="Z1583" s="45">
        <f>Z1582+1</f>
        <v>17</v>
      </c>
      <c r="AA1583" s="77">
        <f t="shared" si="667"/>
        <v>193</v>
      </c>
      <c r="AB1583" s="77">
        <f t="shared" si="668"/>
        <v>204</v>
      </c>
      <c r="AC1583" s="72">
        <f t="shared" si="655"/>
        <v>1</v>
      </c>
      <c r="AD1583" s="72">
        <f t="shared" si="656"/>
        <v>1</v>
      </c>
      <c r="AE1583" s="109" t="str">
        <f t="shared" si="657"/>
        <v>0-0</v>
      </c>
      <c r="AF1583" s="109" t="str">
        <f t="shared" si="658"/>
        <v>Y</v>
      </c>
      <c r="AG1583" s="109" t="str">
        <f t="shared" si="659"/>
        <v>B</v>
      </c>
      <c r="AM1583" s="109">
        <f t="shared" si="660"/>
        <v>0</v>
      </c>
      <c r="AN1583" s="109">
        <f t="shared" si="661"/>
        <v>0</v>
      </c>
      <c r="AO1583" s="109" t="str">
        <f t="shared" si="662"/>
        <v/>
      </c>
      <c r="AQ1583" s="109" t="str">
        <f t="shared" si="663"/>
        <v/>
      </c>
      <c r="BA1583" s="229">
        <f>MOD(SUM(E1575:E1584),12)</f>
        <v>0</v>
      </c>
    </row>
    <row r="1584" spans="1:53" ht="15.75" thickBot="1" x14ac:dyDescent="0.3">
      <c r="A1584" s="88"/>
      <c r="B1584" s="66" t="s">
        <v>287</v>
      </c>
      <c r="C1584" s="67"/>
      <c r="D1584" s="102"/>
      <c r="E1584" s="32"/>
      <c r="F1584" s="32"/>
      <c r="G1584" s="68" t="s">
        <v>277</v>
      </c>
      <c r="H1584" s="69">
        <f t="shared" si="664"/>
        <v>0</v>
      </c>
      <c r="I1584" s="70">
        <f t="shared" si="665"/>
        <v>0</v>
      </c>
      <c r="J1584" s="73" t="str">
        <f t="shared" si="666"/>
        <v>--</v>
      </c>
      <c r="K1584" s="32"/>
      <c r="L1584" s="233"/>
      <c r="M1584" s="277"/>
      <c r="N1584" s="277"/>
      <c r="O1584" s="277"/>
      <c r="P1584" s="277"/>
      <c r="Q1584" s="277"/>
      <c r="R1584" s="277"/>
      <c r="S1584" s="277"/>
      <c r="T1584" s="277"/>
      <c r="U1584" s="278"/>
      <c r="V1584" s="103"/>
      <c r="W1584" s="72"/>
      <c r="X1584" s="72"/>
      <c r="Y1584" s="72"/>
      <c r="Z1584" s="45">
        <f>Z1583+1</f>
        <v>18</v>
      </c>
      <c r="AA1584" s="77">
        <f t="shared" si="667"/>
        <v>205</v>
      </c>
      <c r="AB1584" s="77">
        <f t="shared" si="668"/>
        <v>216</v>
      </c>
      <c r="AC1584" s="72">
        <f t="shared" si="655"/>
        <v>1</v>
      </c>
      <c r="AD1584" s="72">
        <f t="shared" si="656"/>
        <v>1</v>
      </c>
      <c r="AE1584" s="109" t="str">
        <f t="shared" si="657"/>
        <v>0-0</v>
      </c>
      <c r="AF1584" s="109" t="str">
        <f t="shared" si="658"/>
        <v>Y</v>
      </c>
      <c r="AG1584" s="109" t="str">
        <f t="shared" si="659"/>
        <v>B</v>
      </c>
      <c r="AM1584" s="109">
        <f t="shared" si="660"/>
        <v>0</v>
      </c>
      <c r="AN1584" s="109">
        <f t="shared" si="661"/>
        <v>0</v>
      </c>
      <c r="AO1584" s="109" t="str">
        <f t="shared" si="662"/>
        <v/>
      </c>
      <c r="AQ1584" s="109" t="str">
        <f t="shared" si="663"/>
        <v/>
      </c>
      <c r="BA1584" s="229">
        <f>MOD(SUM(E1575:E1585),12)</f>
        <v>0</v>
      </c>
    </row>
    <row r="1585" spans="1:53" ht="15.75" thickBot="1" x14ac:dyDescent="0.3">
      <c r="A1585" s="88"/>
      <c r="B1585" s="66" t="s">
        <v>288</v>
      </c>
      <c r="C1585" s="67"/>
      <c r="D1585" s="102"/>
      <c r="E1585" s="32"/>
      <c r="F1585" s="32"/>
      <c r="G1585" s="68" t="s">
        <v>277</v>
      </c>
      <c r="H1585" s="69">
        <f t="shared" si="664"/>
        <v>0</v>
      </c>
      <c r="I1585" s="70">
        <f t="shared" si="665"/>
        <v>0</v>
      </c>
      <c r="J1585" s="73" t="str">
        <f t="shared" si="666"/>
        <v>--</v>
      </c>
      <c r="K1585" s="32"/>
      <c r="L1585" s="233"/>
      <c r="M1585" s="277"/>
      <c r="N1585" s="277"/>
      <c r="O1585" s="277"/>
      <c r="P1585" s="277"/>
      <c r="Q1585" s="277"/>
      <c r="R1585" s="277"/>
      <c r="S1585" s="277"/>
      <c r="T1585" s="277"/>
      <c r="U1585" s="278"/>
      <c r="V1585" s="103"/>
      <c r="W1585" s="84"/>
      <c r="X1585" s="84"/>
      <c r="Y1585" s="72"/>
      <c r="Z1585" s="72"/>
      <c r="AA1585" s="72"/>
      <c r="AB1585" s="72"/>
      <c r="AC1585" s="72">
        <f t="shared" si="655"/>
        <v>1</v>
      </c>
      <c r="AD1585" s="72">
        <f t="shared" si="656"/>
        <v>1</v>
      </c>
      <c r="AE1585" s="109" t="str">
        <f t="shared" si="657"/>
        <v>0-0</v>
      </c>
      <c r="AF1585" s="109" t="str">
        <f t="shared" si="658"/>
        <v>Y</v>
      </c>
      <c r="AG1585" s="109" t="str">
        <f t="shared" si="659"/>
        <v>B</v>
      </c>
      <c r="AM1585" s="109">
        <f t="shared" si="660"/>
        <v>0</v>
      </c>
      <c r="AN1585" s="109">
        <f t="shared" si="661"/>
        <v>0</v>
      </c>
      <c r="AO1585" s="109" t="str">
        <f t="shared" si="662"/>
        <v/>
      </c>
      <c r="AQ1585" s="109" t="str">
        <f t="shared" si="663"/>
        <v/>
      </c>
      <c r="BA1585" s="229">
        <f>MOD(SUM(E1575:E1586),12)</f>
        <v>0</v>
      </c>
    </row>
    <row r="1586" spans="1:53" ht="15.75" thickBot="1" x14ac:dyDescent="0.3">
      <c r="A1586" s="88"/>
      <c r="B1586" s="66" t="s">
        <v>289</v>
      </c>
      <c r="C1586" s="67"/>
      <c r="D1586" s="102"/>
      <c r="E1586" s="32"/>
      <c r="F1586" s="32"/>
      <c r="G1586" s="68" t="s">
        <v>277</v>
      </c>
      <c r="H1586" s="69">
        <f t="shared" si="664"/>
        <v>0</v>
      </c>
      <c r="I1586" s="70">
        <f t="shared" si="665"/>
        <v>0</v>
      </c>
      <c r="J1586" s="73" t="str">
        <f t="shared" si="666"/>
        <v>--</v>
      </c>
      <c r="K1586" s="32"/>
      <c r="L1586" s="233"/>
      <c r="M1586" s="277"/>
      <c r="N1586" s="277"/>
      <c r="O1586" s="277"/>
      <c r="P1586" s="277"/>
      <c r="Q1586" s="277"/>
      <c r="R1586" s="277"/>
      <c r="S1586" s="277"/>
      <c r="T1586" s="277"/>
      <c r="U1586" s="278"/>
      <c r="V1586" s="103"/>
      <c r="W1586" s="84">
        <f>Y1586+1</f>
        <v>1</v>
      </c>
      <c r="X1586" s="84"/>
      <c r="Y1586" s="78">
        <f>SUM(E1575:E1586)</f>
        <v>0</v>
      </c>
      <c r="Z1586" s="72"/>
      <c r="AA1586" s="72"/>
      <c r="AB1586" s="72"/>
      <c r="AC1586" s="72">
        <f t="shared" si="655"/>
        <v>1</v>
      </c>
      <c r="AD1586" s="72">
        <f t="shared" si="656"/>
        <v>1</v>
      </c>
      <c r="AE1586" s="109" t="str">
        <f t="shared" si="657"/>
        <v>0-0</v>
      </c>
      <c r="AF1586" s="109" t="str">
        <f t="shared" si="658"/>
        <v>Y</v>
      </c>
      <c r="AG1586" s="109" t="str">
        <f t="shared" si="659"/>
        <v>B</v>
      </c>
      <c r="AM1586" s="109">
        <f t="shared" si="660"/>
        <v>0</v>
      </c>
      <c r="AN1586" s="109">
        <f t="shared" si="661"/>
        <v>0</v>
      </c>
      <c r="AO1586" s="109" t="str">
        <f t="shared" si="662"/>
        <v/>
      </c>
      <c r="AQ1586" s="109" t="str">
        <f t="shared" si="663"/>
        <v/>
      </c>
      <c r="BA1586" s="229">
        <f>MOD(SUM(E1575:E1587),12)</f>
        <v>0</v>
      </c>
    </row>
    <row r="1587" spans="1:53" ht="15.75" thickBot="1" x14ac:dyDescent="0.3">
      <c r="A1587" s="88"/>
      <c r="B1587" s="66" t="s">
        <v>290</v>
      </c>
      <c r="C1587" s="67"/>
      <c r="D1587" s="102"/>
      <c r="E1587" s="32"/>
      <c r="F1587" s="32"/>
      <c r="G1587" s="68" t="s">
        <v>277</v>
      </c>
      <c r="H1587" s="69">
        <f t="shared" si="664"/>
        <v>0</v>
      </c>
      <c r="I1587" s="70">
        <f t="shared" si="665"/>
        <v>0</v>
      </c>
      <c r="J1587" s="73" t="str">
        <f t="shared" si="666"/>
        <v>--</v>
      </c>
      <c r="K1587" s="32"/>
      <c r="L1587" s="233"/>
      <c r="M1587" s="277"/>
      <c r="N1587" s="277"/>
      <c r="O1587" s="277"/>
      <c r="P1587" s="277"/>
      <c r="Q1587" s="277"/>
      <c r="R1587" s="277"/>
      <c r="S1587" s="277"/>
      <c r="T1587" s="277"/>
      <c r="U1587" s="278"/>
      <c r="V1587" s="103"/>
      <c r="W1587" s="84">
        <f>Y1587+1</f>
        <v>1</v>
      </c>
      <c r="X1587" s="84"/>
      <c r="Y1587" s="78">
        <f>SUM(E1575:E1587)</f>
        <v>0</v>
      </c>
      <c r="Z1587" s="72" t="str">
        <f t="shared" ref="Z1587:Z1599" si="669">IF(OR(AND(E$8=216,C1586="DBL REV",C1587="DBL REV",Y1586&lt;=144,Y1587&gt;144),AND(E$8=216,C1586="TPL REV",C1587="TPL REV",Y1586&lt;=144,Y1587&gt;144),AND(E$8=216,C1586="QD REV",C1587="QD REV",Y1586&lt;=144,Y1587&gt;144)),"ERROR","")</f>
        <v/>
      </c>
      <c r="AA1587" s="72"/>
      <c r="AB1587" s="72"/>
      <c r="AC1587" s="72">
        <f t="shared" si="655"/>
        <v>1</v>
      </c>
      <c r="AD1587" s="72">
        <f t="shared" si="656"/>
        <v>1</v>
      </c>
      <c r="AE1587" s="109" t="str">
        <f t="shared" si="657"/>
        <v>0-0</v>
      </c>
      <c r="AF1587" s="109" t="str">
        <f t="shared" si="658"/>
        <v>Y</v>
      </c>
      <c r="AG1587" s="109" t="str">
        <f t="shared" si="659"/>
        <v>B</v>
      </c>
      <c r="AM1587" s="109">
        <f t="shared" si="660"/>
        <v>0</v>
      </c>
      <c r="AN1587" s="109">
        <f t="shared" si="661"/>
        <v>0</v>
      </c>
      <c r="AO1587" s="109" t="str">
        <f t="shared" si="662"/>
        <v/>
      </c>
      <c r="AQ1587" s="109" t="str">
        <f t="shared" si="663"/>
        <v/>
      </c>
      <c r="BA1587" s="229">
        <f>MOD(SUM(E1575:E1588),12)</f>
        <v>0</v>
      </c>
    </row>
    <row r="1588" spans="1:53" ht="15.75" thickBot="1" x14ac:dyDescent="0.3">
      <c r="A1588" s="88"/>
      <c r="B1588" s="66" t="s">
        <v>291</v>
      </c>
      <c r="C1588" s="67"/>
      <c r="D1588" s="102"/>
      <c r="E1588" s="32"/>
      <c r="F1588" s="32"/>
      <c r="G1588" s="68" t="s">
        <v>277</v>
      </c>
      <c r="H1588" s="69">
        <f t="shared" si="664"/>
        <v>0</v>
      </c>
      <c r="I1588" s="70">
        <f t="shared" si="665"/>
        <v>0</v>
      </c>
      <c r="J1588" s="73" t="str">
        <f t="shared" si="666"/>
        <v>--</v>
      </c>
      <c r="K1588" s="32"/>
      <c r="L1588" s="233"/>
      <c r="M1588" s="277"/>
      <c r="N1588" s="277"/>
      <c r="O1588" s="277"/>
      <c r="P1588" s="277"/>
      <c r="Q1588" s="277"/>
      <c r="R1588" s="277"/>
      <c r="S1588" s="277"/>
      <c r="T1588" s="277"/>
      <c r="U1588" s="278"/>
      <c r="V1588" s="103"/>
      <c r="W1588" s="84">
        <f>Y1588+1</f>
        <v>1</v>
      </c>
      <c r="X1588" s="84"/>
      <c r="Y1588" s="78">
        <f>SUM(E1575:E1588)</f>
        <v>0</v>
      </c>
      <c r="Z1588" s="72" t="str">
        <f t="shared" si="669"/>
        <v/>
      </c>
      <c r="AA1588" s="72"/>
      <c r="AB1588" s="72"/>
      <c r="AC1588" s="72">
        <f t="shared" si="655"/>
        <v>1</v>
      </c>
      <c r="AD1588" s="72">
        <f t="shared" si="656"/>
        <v>1</v>
      </c>
      <c r="AE1588" s="109" t="str">
        <f t="shared" si="657"/>
        <v>0-0</v>
      </c>
      <c r="AF1588" s="109" t="str">
        <f t="shared" si="658"/>
        <v>Y</v>
      </c>
      <c r="AG1588" s="109" t="str">
        <f t="shared" si="659"/>
        <v>B</v>
      </c>
      <c r="AM1588" s="109">
        <f t="shared" si="660"/>
        <v>0</v>
      </c>
      <c r="AN1588" s="109">
        <f t="shared" si="661"/>
        <v>0</v>
      </c>
      <c r="AO1588" s="109" t="str">
        <f t="shared" si="662"/>
        <v/>
      </c>
      <c r="AQ1588" s="109" t="str">
        <f t="shared" si="663"/>
        <v/>
      </c>
      <c r="BA1588" s="229">
        <f>MOD(SUM(E1575:E1589),12)</f>
        <v>0</v>
      </c>
    </row>
    <row r="1589" spans="1:53" ht="15.75" thickBot="1" x14ac:dyDescent="0.3">
      <c r="A1589" s="88"/>
      <c r="B1589" s="66" t="s">
        <v>292</v>
      </c>
      <c r="C1589" s="67"/>
      <c r="D1589" s="102"/>
      <c r="E1589" s="32"/>
      <c r="F1589" s="32"/>
      <c r="G1589" s="68" t="s">
        <v>277</v>
      </c>
      <c r="H1589" s="69">
        <f t="shared" si="664"/>
        <v>0</v>
      </c>
      <c r="I1589" s="70">
        <f t="shared" si="665"/>
        <v>0</v>
      </c>
      <c r="J1589" s="73" t="str">
        <f t="shared" si="666"/>
        <v>--</v>
      </c>
      <c r="K1589" s="32"/>
      <c r="L1589" s="233"/>
      <c r="M1589" s="277"/>
      <c r="N1589" s="277"/>
      <c r="O1589" s="277"/>
      <c r="P1589" s="277"/>
      <c r="Q1589" s="277"/>
      <c r="R1589" s="277"/>
      <c r="S1589" s="277"/>
      <c r="T1589" s="277"/>
      <c r="U1589" s="278"/>
      <c r="V1589" s="103"/>
      <c r="W1589" s="84">
        <f>Y1589+1</f>
        <v>1</v>
      </c>
      <c r="X1589" s="84"/>
      <c r="Y1589" s="78">
        <f>SUM(E1575:E1589)</f>
        <v>0</v>
      </c>
      <c r="Z1589" s="72" t="str">
        <f t="shared" si="669"/>
        <v/>
      </c>
      <c r="AA1589" s="72" t="str">
        <f t="shared" ref="AA1589:AA1601" si="670">IF(AND(C1587&lt;&gt;"Field SPL",W1586&lt;=144,Y1587&gt;144),"ERROR","")</f>
        <v/>
      </c>
      <c r="AB1589" s="72"/>
      <c r="AC1589" s="72">
        <f t="shared" si="655"/>
        <v>1</v>
      </c>
      <c r="AD1589" s="72">
        <f t="shared" si="656"/>
        <v>1</v>
      </c>
      <c r="AE1589" s="109" t="str">
        <f t="shared" si="657"/>
        <v>0-0</v>
      </c>
      <c r="AF1589" s="109" t="str">
        <f t="shared" si="658"/>
        <v>Y</v>
      </c>
      <c r="AG1589" s="109" t="str">
        <f t="shared" si="659"/>
        <v>B</v>
      </c>
      <c r="AM1589" s="109">
        <f t="shared" si="660"/>
        <v>0</v>
      </c>
      <c r="AN1589" s="109">
        <f t="shared" si="661"/>
        <v>0</v>
      </c>
      <c r="AO1589" s="109" t="str">
        <f t="shared" si="662"/>
        <v/>
      </c>
      <c r="AQ1589" s="109" t="str">
        <f t="shared" si="663"/>
        <v/>
      </c>
      <c r="BA1589" s="229">
        <f>MOD(SUM(E1575:E1590),12)</f>
        <v>0</v>
      </c>
    </row>
    <row r="1590" spans="1:53" ht="15.75" thickBot="1" x14ac:dyDescent="0.3">
      <c r="A1590" s="88"/>
      <c r="B1590" s="66" t="s">
        <v>293</v>
      </c>
      <c r="C1590" s="67"/>
      <c r="D1590" s="102"/>
      <c r="E1590" s="32"/>
      <c r="F1590" s="32"/>
      <c r="G1590" s="68" t="s">
        <v>277</v>
      </c>
      <c r="H1590" s="69">
        <f t="shared" si="664"/>
        <v>0</v>
      </c>
      <c r="I1590" s="70">
        <f t="shared" si="665"/>
        <v>0</v>
      </c>
      <c r="J1590" s="73" t="str">
        <f t="shared" si="666"/>
        <v>--</v>
      </c>
      <c r="K1590" s="32"/>
      <c r="L1590" s="233"/>
      <c r="M1590" s="277"/>
      <c r="N1590" s="277"/>
      <c r="O1590" s="277"/>
      <c r="P1590" s="277"/>
      <c r="Q1590" s="277"/>
      <c r="R1590" s="277"/>
      <c r="S1590" s="277"/>
      <c r="T1590" s="277"/>
      <c r="U1590" s="278"/>
      <c r="V1590" s="103"/>
      <c r="W1590" s="84">
        <f t="shared" ref="W1590:W1598" si="671">Y1590+1</f>
        <v>1</v>
      </c>
      <c r="X1590" s="84"/>
      <c r="Y1590" s="78">
        <f>SUM(E1575:E1590)</f>
        <v>0</v>
      </c>
      <c r="Z1590" s="72" t="str">
        <f t="shared" si="669"/>
        <v/>
      </c>
      <c r="AA1590" s="72" t="str">
        <f t="shared" si="670"/>
        <v/>
      </c>
      <c r="AB1590" s="72"/>
      <c r="AC1590" s="72">
        <f t="shared" si="655"/>
        <v>1</v>
      </c>
      <c r="AD1590" s="72">
        <f t="shared" si="656"/>
        <v>1</v>
      </c>
      <c r="AE1590" s="109" t="str">
        <f t="shared" si="657"/>
        <v>0-0</v>
      </c>
      <c r="AF1590" s="109" t="str">
        <f t="shared" si="658"/>
        <v>Y</v>
      </c>
      <c r="AG1590" s="109" t="str">
        <f t="shared" si="659"/>
        <v>B</v>
      </c>
      <c r="AM1590" s="109">
        <f t="shared" si="660"/>
        <v>0</v>
      </c>
      <c r="AN1590" s="109">
        <f t="shared" si="661"/>
        <v>0</v>
      </c>
      <c r="AO1590" s="109" t="str">
        <f t="shared" si="662"/>
        <v/>
      </c>
      <c r="AQ1590" s="109" t="str">
        <f t="shared" si="663"/>
        <v/>
      </c>
      <c r="BA1590" s="229">
        <f>MOD(SUM(E1575:E1591),12)</f>
        <v>0</v>
      </c>
    </row>
    <row r="1591" spans="1:53" ht="15.75" thickBot="1" x14ac:dyDescent="0.3">
      <c r="A1591" s="88"/>
      <c r="B1591" s="66" t="s">
        <v>294</v>
      </c>
      <c r="C1591" s="67"/>
      <c r="D1591" s="102"/>
      <c r="E1591" s="32"/>
      <c r="F1591" s="32"/>
      <c r="G1591" s="68" t="s">
        <v>277</v>
      </c>
      <c r="H1591" s="69">
        <f t="shared" si="664"/>
        <v>0</v>
      </c>
      <c r="I1591" s="70">
        <f t="shared" si="665"/>
        <v>0</v>
      </c>
      <c r="J1591" s="73" t="str">
        <f t="shared" si="666"/>
        <v>--</v>
      </c>
      <c r="K1591" s="32"/>
      <c r="L1591" s="233"/>
      <c r="M1591" s="277"/>
      <c r="N1591" s="277"/>
      <c r="O1591" s="277"/>
      <c r="P1591" s="277"/>
      <c r="Q1591" s="277"/>
      <c r="R1591" s="277"/>
      <c r="S1591" s="277"/>
      <c r="T1591" s="277"/>
      <c r="U1591" s="278"/>
      <c r="V1591" s="103"/>
      <c r="W1591" s="84">
        <f t="shared" si="671"/>
        <v>1</v>
      </c>
      <c r="X1591" s="84"/>
      <c r="Y1591" s="78">
        <f>SUM(E1575:E1591)</f>
        <v>0</v>
      </c>
      <c r="Z1591" s="72" t="str">
        <f t="shared" si="669"/>
        <v/>
      </c>
      <c r="AA1591" s="72" t="str">
        <f t="shared" si="670"/>
        <v/>
      </c>
      <c r="AB1591" s="72"/>
      <c r="AC1591" s="72">
        <f t="shared" si="655"/>
        <v>1</v>
      </c>
      <c r="AD1591" s="72">
        <f t="shared" si="656"/>
        <v>1</v>
      </c>
      <c r="AE1591" s="109" t="str">
        <f t="shared" si="657"/>
        <v>0-0</v>
      </c>
      <c r="AF1591" s="109" t="str">
        <f t="shared" si="658"/>
        <v>Y</v>
      </c>
      <c r="AG1591" s="109" t="str">
        <f t="shared" si="659"/>
        <v>B</v>
      </c>
      <c r="AM1591" s="109">
        <f t="shared" si="660"/>
        <v>0</v>
      </c>
      <c r="AN1591" s="109">
        <f t="shared" si="661"/>
        <v>0</v>
      </c>
      <c r="AO1591" s="109" t="str">
        <f t="shared" si="662"/>
        <v/>
      </c>
      <c r="AQ1591" s="109" t="str">
        <f t="shared" si="663"/>
        <v/>
      </c>
      <c r="BA1591" s="229">
        <f>MOD(SUM(E1575:E1592),12)</f>
        <v>0</v>
      </c>
    </row>
    <row r="1592" spans="1:53" ht="15.75" thickBot="1" x14ac:dyDescent="0.3">
      <c r="A1592" s="88"/>
      <c r="B1592" s="66" t="s">
        <v>295</v>
      </c>
      <c r="C1592" s="67"/>
      <c r="D1592" s="102"/>
      <c r="E1592" s="32"/>
      <c r="F1592" s="32"/>
      <c r="G1592" s="68" t="s">
        <v>277</v>
      </c>
      <c r="H1592" s="69">
        <f t="shared" si="664"/>
        <v>0</v>
      </c>
      <c r="I1592" s="70">
        <f t="shared" si="665"/>
        <v>0</v>
      </c>
      <c r="J1592" s="73" t="str">
        <f t="shared" si="666"/>
        <v>--</v>
      </c>
      <c r="K1592" s="32"/>
      <c r="L1592" s="233"/>
      <c r="M1592" s="277"/>
      <c r="N1592" s="277"/>
      <c r="O1592" s="277"/>
      <c r="P1592" s="277"/>
      <c r="Q1592" s="277"/>
      <c r="R1592" s="277"/>
      <c r="S1592" s="277"/>
      <c r="T1592" s="277"/>
      <c r="U1592" s="278"/>
      <c r="V1592" s="103"/>
      <c r="W1592" s="84">
        <f t="shared" si="671"/>
        <v>1</v>
      </c>
      <c r="X1592" s="84"/>
      <c r="Y1592" s="78">
        <f>SUM(E1575:E1592)</f>
        <v>0</v>
      </c>
      <c r="Z1592" s="72" t="str">
        <f t="shared" si="669"/>
        <v/>
      </c>
      <c r="AA1592" s="72" t="str">
        <f t="shared" si="670"/>
        <v/>
      </c>
      <c r="AB1592" s="72"/>
      <c r="AC1592" s="72">
        <f t="shared" si="655"/>
        <v>1</v>
      </c>
      <c r="AD1592" s="72">
        <f t="shared" si="656"/>
        <v>1</v>
      </c>
      <c r="AE1592" s="109" t="str">
        <f t="shared" si="657"/>
        <v>0-0</v>
      </c>
      <c r="AF1592" s="109" t="str">
        <f t="shared" si="658"/>
        <v>Y</v>
      </c>
      <c r="AG1592" s="109" t="str">
        <f t="shared" si="659"/>
        <v>B</v>
      </c>
      <c r="AM1592" s="109">
        <f t="shared" si="660"/>
        <v>0</v>
      </c>
      <c r="AN1592" s="109">
        <f t="shared" si="661"/>
        <v>0</v>
      </c>
      <c r="AO1592" s="109" t="str">
        <f t="shared" si="662"/>
        <v/>
      </c>
      <c r="AQ1592" s="109" t="str">
        <f t="shared" si="663"/>
        <v/>
      </c>
      <c r="BA1592" s="229">
        <f>MOD(SUM(E1575:E1593),12)</f>
        <v>0</v>
      </c>
    </row>
    <row r="1593" spans="1:53" ht="15.75" thickBot="1" x14ac:dyDescent="0.3">
      <c r="A1593" s="88"/>
      <c r="B1593" s="66" t="s">
        <v>296</v>
      </c>
      <c r="C1593" s="67"/>
      <c r="D1593" s="102"/>
      <c r="E1593" s="32"/>
      <c r="F1593" s="32"/>
      <c r="G1593" s="68" t="s">
        <v>277</v>
      </c>
      <c r="H1593" s="69">
        <f t="shared" si="664"/>
        <v>0</v>
      </c>
      <c r="I1593" s="70">
        <f t="shared" si="665"/>
        <v>0</v>
      </c>
      <c r="J1593" s="73" t="str">
        <f t="shared" si="666"/>
        <v>--</v>
      </c>
      <c r="K1593" s="32"/>
      <c r="L1593" s="233"/>
      <c r="M1593" s="277"/>
      <c r="N1593" s="277"/>
      <c r="O1593" s="277"/>
      <c r="P1593" s="277"/>
      <c r="Q1593" s="277"/>
      <c r="R1593" s="277"/>
      <c r="S1593" s="277"/>
      <c r="T1593" s="277"/>
      <c r="U1593" s="278"/>
      <c r="V1593" s="103"/>
      <c r="W1593" s="84">
        <f t="shared" si="671"/>
        <v>1</v>
      </c>
      <c r="X1593" s="84"/>
      <c r="Y1593" s="78">
        <f>SUM(E1575:E1593)</f>
        <v>0</v>
      </c>
      <c r="Z1593" s="72" t="str">
        <f t="shared" si="669"/>
        <v/>
      </c>
      <c r="AA1593" s="72" t="str">
        <f t="shared" si="670"/>
        <v/>
      </c>
      <c r="AB1593" s="72"/>
      <c r="AC1593" s="72">
        <f t="shared" si="655"/>
        <v>1</v>
      </c>
      <c r="AD1593" s="72">
        <f t="shared" si="656"/>
        <v>1</v>
      </c>
      <c r="AE1593" s="109" t="str">
        <f t="shared" si="657"/>
        <v>0-0</v>
      </c>
      <c r="AF1593" s="109" t="str">
        <f t="shared" si="658"/>
        <v>Y</v>
      </c>
      <c r="AG1593" s="109" t="str">
        <f t="shared" si="659"/>
        <v>B</v>
      </c>
      <c r="AM1593" s="109">
        <f t="shared" si="660"/>
        <v>0</v>
      </c>
      <c r="AN1593" s="109">
        <f t="shared" si="661"/>
        <v>0</v>
      </c>
      <c r="AO1593" s="109" t="str">
        <f t="shared" si="662"/>
        <v/>
      </c>
      <c r="AQ1593" s="109" t="str">
        <f t="shared" si="663"/>
        <v/>
      </c>
      <c r="BA1593" s="229">
        <f>MOD(SUM(E1575:E1594),12)</f>
        <v>0</v>
      </c>
    </row>
    <row r="1594" spans="1:53" ht="15.75" thickBot="1" x14ac:dyDescent="0.3">
      <c r="A1594" s="88"/>
      <c r="B1594" s="66" t="s">
        <v>297</v>
      </c>
      <c r="C1594" s="67"/>
      <c r="D1594" s="102"/>
      <c r="E1594" s="32"/>
      <c r="F1594" s="32"/>
      <c r="G1594" s="68" t="s">
        <v>277</v>
      </c>
      <c r="H1594" s="69">
        <f t="shared" si="664"/>
        <v>0</v>
      </c>
      <c r="I1594" s="70">
        <f t="shared" si="665"/>
        <v>0</v>
      </c>
      <c r="J1594" s="73" t="str">
        <f t="shared" si="666"/>
        <v>--</v>
      </c>
      <c r="K1594" s="32"/>
      <c r="L1594" s="233"/>
      <c r="M1594" s="277"/>
      <c r="N1594" s="277"/>
      <c r="O1594" s="277"/>
      <c r="P1594" s="277"/>
      <c r="Q1594" s="277"/>
      <c r="R1594" s="277"/>
      <c r="S1594" s="277"/>
      <c r="T1594" s="277"/>
      <c r="U1594" s="278"/>
      <c r="V1594" s="103"/>
      <c r="W1594" s="84">
        <f t="shared" si="671"/>
        <v>1</v>
      </c>
      <c r="X1594" s="84"/>
      <c r="Y1594" s="78">
        <f>SUM(E1575:E1594)</f>
        <v>0</v>
      </c>
      <c r="Z1594" s="72" t="str">
        <f t="shared" si="669"/>
        <v/>
      </c>
      <c r="AA1594" s="72" t="str">
        <f t="shared" si="670"/>
        <v/>
      </c>
      <c r="AB1594" s="72"/>
      <c r="AC1594" s="72">
        <f t="shared" si="655"/>
        <v>1</v>
      </c>
      <c r="AD1594" s="72">
        <f t="shared" si="656"/>
        <v>1</v>
      </c>
      <c r="AE1594" s="109" t="str">
        <f t="shared" si="657"/>
        <v>0-0</v>
      </c>
      <c r="AF1594" s="109" t="str">
        <f t="shared" si="658"/>
        <v>Y</v>
      </c>
      <c r="AG1594" s="109" t="str">
        <f t="shared" si="659"/>
        <v>B</v>
      </c>
      <c r="AM1594" s="109">
        <f t="shared" si="660"/>
        <v>0</v>
      </c>
      <c r="AN1594" s="109">
        <f t="shared" si="661"/>
        <v>0</v>
      </c>
      <c r="AO1594" s="109" t="str">
        <f t="shared" si="662"/>
        <v/>
      </c>
      <c r="AQ1594" s="109" t="str">
        <f t="shared" si="663"/>
        <v/>
      </c>
      <c r="BA1594" s="229">
        <f>MOD(SUM(E1575:E1595),12)</f>
        <v>0</v>
      </c>
    </row>
    <row r="1595" spans="1:53" ht="15.75" thickBot="1" x14ac:dyDescent="0.3">
      <c r="A1595" s="88"/>
      <c r="B1595" s="66" t="s">
        <v>298</v>
      </c>
      <c r="C1595" s="67"/>
      <c r="D1595" s="102"/>
      <c r="E1595" s="32"/>
      <c r="F1595" s="32"/>
      <c r="G1595" s="68" t="s">
        <v>277</v>
      </c>
      <c r="H1595" s="69">
        <f t="shared" si="664"/>
        <v>0</v>
      </c>
      <c r="I1595" s="70">
        <f t="shared" si="665"/>
        <v>0</v>
      </c>
      <c r="J1595" s="73" t="str">
        <f t="shared" si="666"/>
        <v>--</v>
      </c>
      <c r="K1595" s="32"/>
      <c r="L1595" s="233"/>
      <c r="M1595" s="277"/>
      <c r="N1595" s="277"/>
      <c r="O1595" s="277"/>
      <c r="P1595" s="277"/>
      <c r="Q1595" s="277"/>
      <c r="R1595" s="277"/>
      <c r="S1595" s="277"/>
      <c r="T1595" s="277"/>
      <c r="U1595" s="278"/>
      <c r="V1595" s="103"/>
      <c r="W1595" s="84">
        <f t="shared" si="671"/>
        <v>1</v>
      </c>
      <c r="X1595" s="84"/>
      <c r="Y1595" s="78">
        <f>SUM(E1575:E1595)</f>
        <v>0</v>
      </c>
      <c r="Z1595" s="72" t="str">
        <f t="shared" si="669"/>
        <v/>
      </c>
      <c r="AA1595" s="72" t="str">
        <f t="shared" si="670"/>
        <v/>
      </c>
      <c r="AB1595" s="72"/>
      <c r="AC1595" s="72">
        <f t="shared" si="655"/>
        <v>1</v>
      </c>
      <c r="AD1595" s="72">
        <f t="shared" si="656"/>
        <v>1</v>
      </c>
      <c r="AE1595" s="109" t="str">
        <f t="shared" si="657"/>
        <v>0-0</v>
      </c>
      <c r="AF1595" s="109" t="str">
        <f t="shared" si="658"/>
        <v>Y</v>
      </c>
      <c r="AG1595" s="109" t="str">
        <f t="shared" si="659"/>
        <v>B</v>
      </c>
      <c r="AM1595" s="109">
        <f t="shared" si="660"/>
        <v>0</v>
      </c>
      <c r="AN1595" s="109">
        <f t="shared" si="661"/>
        <v>0</v>
      </c>
      <c r="AO1595" s="109" t="str">
        <f t="shared" si="662"/>
        <v/>
      </c>
      <c r="AQ1595" s="109" t="str">
        <f t="shared" si="663"/>
        <v/>
      </c>
      <c r="BA1595" s="229">
        <f>MOD(SUM(E1575:E1596),12)</f>
        <v>0</v>
      </c>
    </row>
    <row r="1596" spans="1:53" ht="15.75" thickBot="1" x14ac:dyDescent="0.3">
      <c r="A1596" s="88"/>
      <c r="B1596" s="66" t="s">
        <v>299</v>
      </c>
      <c r="C1596" s="67"/>
      <c r="D1596" s="102"/>
      <c r="E1596" s="32"/>
      <c r="F1596" s="32"/>
      <c r="G1596" s="68" t="s">
        <v>277</v>
      </c>
      <c r="H1596" s="69">
        <f t="shared" si="664"/>
        <v>0</v>
      </c>
      <c r="I1596" s="70">
        <f t="shared" si="665"/>
        <v>0</v>
      </c>
      <c r="J1596" s="73" t="str">
        <f t="shared" si="666"/>
        <v>--</v>
      </c>
      <c r="K1596" s="32"/>
      <c r="L1596" s="233"/>
      <c r="M1596" s="277"/>
      <c r="N1596" s="277"/>
      <c r="O1596" s="277"/>
      <c r="P1596" s="277"/>
      <c r="Q1596" s="277"/>
      <c r="R1596" s="277"/>
      <c r="S1596" s="277"/>
      <c r="T1596" s="277"/>
      <c r="U1596" s="278"/>
      <c r="V1596" s="103"/>
      <c r="W1596" s="84">
        <f t="shared" si="671"/>
        <v>1</v>
      </c>
      <c r="X1596" s="84"/>
      <c r="Y1596" s="78">
        <f>SUM(E1575:E1596)</f>
        <v>0</v>
      </c>
      <c r="Z1596" s="72" t="str">
        <f t="shared" si="669"/>
        <v/>
      </c>
      <c r="AA1596" s="72" t="str">
        <f t="shared" si="670"/>
        <v/>
      </c>
      <c r="AB1596" s="72"/>
      <c r="AC1596" s="72">
        <f t="shared" si="655"/>
        <v>1</v>
      </c>
      <c r="AD1596" s="72">
        <f t="shared" si="656"/>
        <v>1</v>
      </c>
      <c r="AE1596" s="109" t="str">
        <f t="shared" si="657"/>
        <v>0-0</v>
      </c>
      <c r="AF1596" s="109" t="str">
        <f t="shared" si="658"/>
        <v>Y</v>
      </c>
      <c r="AG1596" s="109" t="str">
        <f t="shared" si="659"/>
        <v>B</v>
      </c>
      <c r="AM1596" s="109">
        <f t="shared" si="660"/>
        <v>0</v>
      </c>
      <c r="AN1596" s="109">
        <f t="shared" si="661"/>
        <v>0</v>
      </c>
      <c r="AO1596" s="109" t="str">
        <f t="shared" si="662"/>
        <v/>
      </c>
      <c r="AQ1596" s="109" t="str">
        <f t="shared" si="663"/>
        <v/>
      </c>
      <c r="BA1596" s="229">
        <f>MOD(SUM(E1575:E1597),12)</f>
        <v>0</v>
      </c>
    </row>
    <row r="1597" spans="1:53" ht="15.75" thickBot="1" x14ac:dyDescent="0.3">
      <c r="A1597" s="88"/>
      <c r="B1597" s="66" t="s">
        <v>300</v>
      </c>
      <c r="C1597" s="67"/>
      <c r="D1597" s="102"/>
      <c r="E1597" s="32"/>
      <c r="F1597" s="32"/>
      <c r="G1597" s="68" t="s">
        <v>277</v>
      </c>
      <c r="H1597" s="69">
        <f t="shared" si="664"/>
        <v>0</v>
      </c>
      <c r="I1597" s="70">
        <f t="shared" si="665"/>
        <v>0</v>
      </c>
      <c r="J1597" s="73" t="str">
        <f t="shared" si="666"/>
        <v>--</v>
      </c>
      <c r="K1597" s="32"/>
      <c r="L1597" s="233"/>
      <c r="M1597" s="277"/>
      <c r="N1597" s="277"/>
      <c r="O1597" s="277"/>
      <c r="P1597" s="277"/>
      <c r="Q1597" s="277"/>
      <c r="R1597" s="277"/>
      <c r="S1597" s="277"/>
      <c r="T1597" s="277"/>
      <c r="U1597" s="278"/>
      <c r="V1597" s="103"/>
      <c r="W1597" s="84">
        <f t="shared" si="671"/>
        <v>1</v>
      </c>
      <c r="X1597" s="84"/>
      <c r="Y1597" s="78">
        <f>SUM(E1575:E1597)</f>
        <v>0</v>
      </c>
      <c r="Z1597" s="72" t="str">
        <f t="shared" si="669"/>
        <v/>
      </c>
      <c r="AA1597" s="72" t="str">
        <f t="shared" si="670"/>
        <v/>
      </c>
      <c r="AB1597" s="72"/>
      <c r="AC1597" s="72">
        <f t="shared" si="655"/>
        <v>1</v>
      </c>
      <c r="AD1597" s="72">
        <f t="shared" si="656"/>
        <v>1</v>
      </c>
      <c r="AE1597" s="109" t="str">
        <f t="shared" si="657"/>
        <v>0-0</v>
      </c>
      <c r="AF1597" s="109" t="str">
        <f t="shared" si="658"/>
        <v>Y</v>
      </c>
      <c r="AG1597" s="109" t="str">
        <f t="shared" si="659"/>
        <v>B</v>
      </c>
      <c r="AM1597" s="109">
        <f t="shared" si="660"/>
        <v>0</v>
      </c>
      <c r="AN1597" s="109">
        <f t="shared" si="661"/>
        <v>0</v>
      </c>
      <c r="AO1597" s="109" t="str">
        <f t="shared" si="662"/>
        <v/>
      </c>
      <c r="AQ1597" s="109" t="str">
        <f t="shared" si="663"/>
        <v/>
      </c>
      <c r="BA1597" s="229">
        <f>MOD(SUM(E1575:E1598),12)</f>
        <v>0</v>
      </c>
    </row>
    <row r="1598" spans="1:53" ht="15.75" thickBot="1" x14ac:dyDescent="0.3">
      <c r="A1598" s="88"/>
      <c r="B1598" s="66" t="s">
        <v>301</v>
      </c>
      <c r="C1598" s="67"/>
      <c r="D1598" s="102"/>
      <c r="E1598" s="32"/>
      <c r="F1598" s="32"/>
      <c r="G1598" s="68" t="s">
        <v>277</v>
      </c>
      <c r="H1598" s="69">
        <f t="shared" si="664"/>
        <v>0</v>
      </c>
      <c r="I1598" s="70">
        <f t="shared" si="665"/>
        <v>0</v>
      </c>
      <c r="J1598" s="73" t="str">
        <f t="shared" si="666"/>
        <v>--</v>
      </c>
      <c r="K1598" s="32"/>
      <c r="L1598" s="233"/>
      <c r="M1598" s="277"/>
      <c r="N1598" s="277"/>
      <c r="O1598" s="277"/>
      <c r="P1598" s="277"/>
      <c r="Q1598" s="277"/>
      <c r="R1598" s="277"/>
      <c r="S1598" s="277"/>
      <c r="T1598" s="277"/>
      <c r="U1598" s="278"/>
      <c r="V1598" s="103"/>
      <c r="W1598" s="84">
        <f t="shared" si="671"/>
        <v>1</v>
      </c>
      <c r="X1598" s="84"/>
      <c r="Y1598" s="78">
        <f>SUM(E1575:E1598)</f>
        <v>0</v>
      </c>
      <c r="Z1598" s="72" t="str">
        <f t="shared" si="669"/>
        <v/>
      </c>
      <c r="AA1598" s="72" t="str">
        <f t="shared" si="670"/>
        <v/>
      </c>
      <c r="AB1598" s="72"/>
      <c r="AC1598" s="72">
        <f t="shared" si="655"/>
        <v>1</v>
      </c>
      <c r="AD1598" s="72">
        <f t="shared" si="656"/>
        <v>1</v>
      </c>
      <c r="AE1598" s="109" t="str">
        <f t="shared" si="657"/>
        <v>0-0</v>
      </c>
      <c r="AF1598" s="109" t="str">
        <f t="shared" si="658"/>
        <v>Y</v>
      </c>
      <c r="AG1598" s="109" t="str">
        <f t="shared" si="659"/>
        <v>B</v>
      </c>
      <c r="AM1598" s="109">
        <f t="shared" si="660"/>
        <v>0</v>
      </c>
      <c r="AN1598" s="109">
        <f t="shared" si="661"/>
        <v>0</v>
      </c>
      <c r="AO1598" s="109" t="str">
        <f t="shared" si="662"/>
        <v/>
      </c>
      <c r="AQ1598" s="109" t="str">
        <f t="shared" si="663"/>
        <v/>
      </c>
      <c r="BA1598" s="229">
        <f>MOD(SUM(E1575:E1599),12)</f>
        <v>0</v>
      </c>
    </row>
    <row r="1599" spans="1:53" ht="15.75" thickBot="1" x14ac:dyDescent="0.3">
      <c r="A1599" s="88"/>
      <c r="B1599" s="66" t="s">
        <v>302</v>
      </c>
      <c r="C1599" s="67"/>
      <c r="D1599" s="102"/>
      <c r="E1599" s="32"/>
      <c r="F1599" s="32"/>
      <c r="G1599" s="68" t="s">
        <v>277</v>
      </c>
      <c r="H1599" s="69">
        <f t="shared" si="664"/>
        <v>0</v>
      </c>
      <c r="I1599" s="70">
        <f t="shared" si="665"/>
        <v>0</v>
      </c>
      <c r="J1599" s="73" t="str">
        <f t="shared" si="666"/>
        <v>--</v>
      </c>
      <c r="K1599" s="32"/>
      <c r="L1599" s="234"/>
      <c r="M1599" s="277"/>
      <c r="N1599" s="277"/>
      <c r="O1599" s="277"/>
      <c r="P1599" s="277"/>
      <c r="Q1599" s="277"/>
      <c r="R1599" s="277"/>
      <c r="S1599" s="277"/>
      <c r="T1599" s="277"/>
      <c r="U1599" s="278"/>
      <c r="V1599" s="103"/>
      <c r="W1599" s="72"/>
      <c r="X1599" s="72"/>
      <c r="Y1599" s="78">
        <f>SUM(E1575:E1599)</f>
        <v>0</v>
      </c>
      <c r="Z1599" s="72" t="str">
        <f t="shared" si="669"/>
        <v/>
      </c>
      <c r="AA1599" s="72" t="str">
        <f t="shared" si="670"/>
        <v/>
      </c>
      <c r="AB1599" s="72"/>
      <c r="AC1599" s="72">
        <f t="shared" si="655"/>
        <v>1</v>
      </c>
      <c r="AD1599" s="72">
        <f t="shared" si="656"/>
        <v>1</v>
      </c>
      <c r="AE1599" s="109" t="str">
        <f t="shared" si="657"/>
        <v>0-0</v>
      </c>
      <c r="AF1599" s="109" t="str">
        <f t="shared" si="658"/>
        <v>Y</v>
      </c>
      <c r="AG1599" s="109" t="str">
        <f t="shared" si="659"/>
        <v>B</v>
      </c>
      <c r="AM1599" s="109">
        <f t="shared" si="660"/>
        <v>0</v>
      </c>
      <c r="AN1599" s="109">
        <f t="shared" si="661"/>
        <v>0</v>
      </c>
      <c r="AO1599" s="109" t="str">
        <f t="shared" si="662"/>
        <v/>
      </c>
      <c r="AQ1599" s="109" t="str">
        <f t="shared" si="663"/>
        <v/>
      </c>
      <c r="BA1599" s="228"/>
    </row>
    <row r="1600" spans="1:53" ht="16.5" thickBot="1" x14ac:dyDescent="0.3">
      <c r="A1600" s="88"/>
      <c r="B1600" s="319" t="s">
        <v>381</v>
      </c>
      <c r="C1600" s="320"/>
      <c r="D1600" s="79"/>
      <c r="E1600" s="80"/>
      <c r="F1600" s="80"/>
      <c r="G1600" s="81"/>
      <c r="H1600" s="192"/>
      <c r="I1600" s="192"/>
      <c r="J1600" s="192"/>
      <c r="K1600" s="82"/>
      <c r="L1600" s="319" t="s">
        <v>306</v>
      </c>
      <c r="M1600" s="330"/>
      <c r="N1600" s="330"/>
      <c r="O1600" s="330"/>
      <c r="P1600" s="330"/>
      <c r="Q1600" s="330"/>
      <c r="R1600" s="330"/>
      <c r="S1600" s="330"/>
      <c r="T1600" s="330"/>
      <c r="U1600" s="320"/>
      <c r="V1600" s="104"/>
      <c r="W1600" s="72"/>
      <c r="X1600" s="72"/>
      <c r="Y1600" s="72"/>
      <c r="Z1600" s="72"/>
      <c r="AA1600" s="72" t="str">
        <f t="shared" si="670"/>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319" t="s">
        <v>307</v>
      </c>
      <c r="C1601" s="320"/>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70"/>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312" t="s">
        <v>222</v>
      </c>
      <c r="C1605" s="313"/>
      <c r="D1605" s="314" t="s">
        <v>223</v>
      </c>
      <c r="E1605" s="305"/>
      <c r="F1605" s="88"/>
      <c r="G1605" s="315" t="s">
        <v>224</v>
      </c>
      <c r="H1605" s="316"/>
      <c r="I1605" s="28">
        <f>SUM(E1616:E1640)</f>
        <v>0</v>
      </c>
      <c r="J1605" s="317" t="s">
        <v>225</v>
      </c>
      <c r="K1605" s="318"/>
      <c r="L1605" s="305"/>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5" t="s">
        <v>226</v>
      </c>
      <c r="AA1605" s="296"/>
      <c r="AB1605" s="297"/>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4" t="s">
        <v>230</v>
      </c>
      <c r="H1606" s="305"/>
      <c r="I1606" s="33">
        <f>E1607-I1605</f>
        <v>0</v>
      </c>
      <c r="J1606" s="289" t="s">
        <v>231</v>
      </c>
      <c r="K1606" s="290"/>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298" t="s">
        <v>232</v>
      </c>
      <c r="AA1606" s="300" t="s">
        <v>233</v>
      </c>
      <c r="AB1606" s="301"/>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291" t="s">
        <v>237</v>
      </c>
      <c r="H1607" s="292"/>
      <c r="I1607" s="35">
        <f>IF(E1607=0,0,12-(MOD(I1605,12)))</f>
        <v>0</v>
      </c>
      <c r="J1607" s="289" t="s">
        <v>238</v>
      </c>
      <c r="K1607" s="290"/>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299"/>
      <c r="AA1607" s="302"/>
      <c r="AB1607" s="303"/>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321" t="s">
        <v>242</v>
      </c>
      <c r="H1608" s="43" t="s">
        <v>243</v>
      </c>
      <c r="I1608" s="35">
        <f>IF(E1608&lt;&gt;0,1,0)</f>
        <v>0</v>
      </c>
      <c r="J1608" s="291" t="s">
        <v>244</v>
      </c>
      <c r="K1608" s="292"/>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322"/>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321" t="s">
        <v>251</v>
      </c>
      <c r="H1610" s="51" t="s">
        <v>252</v>
      </c>
      <c r="I1610" s="112">
        <f>E1609</f>
        <v>0</v>
      </c>
      <c r="J1610" s="323" t="s">
        <v>253</v>
      </c>
      <c r="K1610" s="324"/>
      <c r="L1610" s="325"/>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322"/>
      <c r="H1611" s="47" t="s">
        <v>257</v>
      </c>
      <c r="I1611" s="35" t="str">
        <f>IF(E1609="","0",IF(AND(E1606="EUC",E1607=432), I1610+(203-E1608),IF(E1609=0,0,(E1609+(E1607-E1608)-1))))</f>
        <v>0</v>
      </c>
      <c r="J1611" s="285" t="str">
        <f>IFERROR(IF(OR(E1606="EUC",E1606="SS"),"---",IF(OR(P1605,S1605),"NO 2F Tethers for RPX!",IF(OR(P1607,S1607),"NO 6F Tethers for RPX!","---"))),"---")</f>
        <v>---</v>
      </c>
      <c r="K1611" s="286"/>
      <c r="L1611" s="287"/>
      <c r="M1611" s="285" t="str">
        <f>IF(E1608&gt;60,"Dead Count &gt;60: Consider Downsize","---")</f>
        <v>---</v>
      </c>
      <c r="N1611" s="286"/>
      <c r="O1611" s="286"/>
      <c r="P1611" s="286"/>
      <c r="Q1611" s="286"/>
      <c r="R1611" s="286"/>
      <c r="S1611" s="286"/>
      <c r="T1611" s="286"/>
      <c r="U1611" s="287"/>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85"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86"/>
      <c r="L1612" s="287"/>
      <c r="M1612" s="285" t="str">
        <f>IF(AND(OR(E1606="SS",E1606="RPX",E1606="EUC",E1606="RPX-T"),(OR(C1616="",C1616="Field SPL"))),"Cannot have FlexNap cables without tethers","---")</f>
        <v>---</v>
      </c>
      <c r="N1612" s="286"/>
      <c r="O1612" s="286"/>
      <c r="P1612" s="286"/>
      <c r="Q1612" s="286"/>
      <c r="R1612" s="286"/>
      <c r="S1612" s="286"/>
      <c r="T1612" s="286"/>
      <c r="U1612" s="287"/>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85" t="str">
        <f>IF(AND(OR(E1606="RPX", E1606="RPX-T", E1606="SS"),E1607=216),"NO 216 For RPX, RPX-T, OR SS CABLE","---")</f>
        <v>---</v>
      </c>
      <c r="K1613" s="286"/>
      <c r="L1613" s="287"/>
      <c r="M1613" s="285" t="str" cm="1">
        <f t="array" ref="M1613">IF(AND(E1606="",OR(C1616:C1640="FST",C1616:C1640="REV T",C1616:C1640="DBL REV",C1616:C1640="TPL REV", C1616:C1640="QD REV")),"Non-FlexNap cables cannot have tethers","---")</f>
        <v>---</v>
      </c>
      <c r="N1613" s="286"/>
      <c r="O1613" s="286"/>
      <c r="P1613" s="286"/>
      <c r="Q1613" s="286"/>
      <c r="R1613" s="286"/>
      <c r="S1613" s="286"/>
      <c r="T1613" s="286"/>
      <c r="U1613" s="287"/>
      <c r="V1613" s="25"/>
      <c r="W1613" s="58"/>
      <c r="X1613" s="58"/>
      <c r="Y1613" s="25"/>
      <c r="Z1613" s="45">
        <v>6</v>
      </c>
      <c r="AA1613" s="65">
        <v>61</v>
      </c>
      <c r="AB1613" s="65">
        <v>72</v>
      </c>
      <c r="AC1613" s="25"/>
      <c r="AD1613" s="25"/>
      <c r="BA1613" s="226"/>
    </row>
    <row r="1614" spans="1:53" ht="15.75" customHeight="1" thickBot="1" x14ac:dyDescent="0.3">
      <c r="A1614" s="88"/>
      <c r="B1614" s="321" t="s">
        <v>260</v>
      </c>
      <c r="C1614" s="293" t="s">
        <v>261</v>
      </c>
      <c r="D1614" s="293" t="s">
        <v>262</v>
      </c>
      <c r="E1614" s="306" t="s">
        <v>263</v>
      </c>
      <c r="F1614" s="293" t="s">
        <v>264</v>
      </c>
      <c r="G1614" s="308" t="s">
        <v>265</v>
      </c>
      <c r="H1614" s="308" t="s">
        <v>266</v>
      </c>
      <c r="I1614" s="308" t="s">
        <v>267</v>
      </c>
      <c r="J1614" s="310" t="s">
        <v>268</v>
      </c>
      <c r="K1614" s="293" t="s">
        <v>269</v>
      </c>
      <c r="L1614" s="279" t="s">
        <v>270</v>
      </c>
      <c r="M1614" s="281" t="s">
        <v>271</v>
      </c>
      <c r="N1614" s="281"/>
      <c r="O1614" s="281"/>
      <c r="P1614" s="281"/>
      <c r="Q1614" s="281"/>
      <c r="R1614" s="281"/>
      <c r="S1614" s="281"/>
      <c r="T1614" s="281"/>
      <c r="U1614" s="282"/>
      <c r="V1614" s="107"/>
      <c r="W1614" s="72"/>
      <c r="X1614" s="72"/>
      <c r="Y1614" s="72"/>
      <c r="Z1614" s="45">
        <v>7</v>
      </c>
      <c r="AA1614" s="65">
        <v>73</v>
      </c>
      <c r="AB1614" s="65">
        <v>84</v>
      </c>
      <c r="AC1614" s="25"/>
      <c r="AD1614" s="25"/>
      <c r="BA1614" s="228"/>
    </row>
    <row r="1615" spans="1:53" ht="15.75" thickBot="1" x14ac:dyDescent="0.3">
      <c r="A1615" s="88"/>
      <c r="B1615" s="322"/>
      <c r="C1615" s="294"/>
      <c r="D1615" s="294"/>
      <c r="E1615" s="307"/>
      <c r="F1615" s="294"/>
      <c r="G1615" s="309"/>
      <c r="H1615" s="309"/>
      <c r="I1615" s="309"/>
      <c r="J1615" s="311"/>
      <c r="K1615" s="294"/>
      <c r="L1615" s="280"/>
      <c r="M1615" s="283"/>
      <c r="N1615" s="283"/>
      <c r="O1615" s="283"/>
      <c r="P1615" s="283"/>
      <c r="Q1615" s="283"/>
      <c r="R1615" s="283"/>
      <c r="S1615" s="283"/>
      <c r="T1615" s="283"/>
      <c r="U1615" s="284"/>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77"/>
      <c r="N1616" s="277"/>
      <c r="O1616" s="277"/>
      <c r="P1616" s="277"/>
      <c r="Q1616" s="277"/>
      <c r="R1616" s="277"/>
      <c r="S1616" s="277"/>
      <c r="T1616" s="277"/>
      <c r="U1616" s="278"/>
      <c r="V1616" s="103"/>
      <c r="W1616" s="72"/>
      <c r="X1616" s="72"/>
      <c r="Y1616" s="72"/>
      <c r="Z1616" s="45">
        <v>9</v>
      </c>
      <c r="AA1616" s="46">
        <v>97</v>
      </c>
      <c r="AB1616" s="46">
        <v>108</v>
      </c>
      <c r="AC1616" s="72">
        <f t="shared" ref="AC1616:AC1640" si="672">IF(B1616&lt;&gt;"FST",1,0)</f>
        <v>1</v>
      </c>
      <c r="AD1616" s="72">
        <f t="shared" ref="AD1616:AD1640" si="673">IF(C1616&lt;&gt;"FST",1,0)</f>
        <v>1</v>
      </c>
      <c r="AE1616" s="109" t="str">
        <f t="shared" ref="AE1616:AE1642" si="674">CONCATENATE(H1616,"-",I1616)</f>
        <v>0-0</v>
      </c>
      <c r="AF1616" s="109" t="str">
        <f t="shared" ref="AF1616:AF1640" si="675">IF(C1616="Field SPL","N","Y")</f>
        <v>Y</v>
      </c>
      <c r="AG1616" s="109" t="str">
        <f t="shared" ref="AG1616:AG1640" si="676">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77">VALUE(IF(C1616="FST","0",IF(C1616="REV T","1",IF(C1616="DBL REV",".5","0"))))</f>
        <v>0</v>
      </c>
      <c r="AN1616" s="109">
        <f t="shared" ref="AN1616:AN1640" si="678">VALUE(IF(C1616="FST","0",IF(C1616="REV T","0",IF(C1616="DBL REV",".5","0"))))</f>
        <v>0</v>
      </c>
      <c r="AO1616" s="109" t="str">
        <f t="shared" ref="AO1616:AO1640" si="679">IF(C1616="TPL REV","Y","")</f>
        <v/>
      </c>
      <c r="AQ1616" s="109" t="str">
        <f t="shared" ref="AQ1616:AQ1640" si="680">IF(C1616="QD REV","Y","")</f>
        <v/>
      </c>
      <c r="BA1616" s="229">
        <f>MOD(E1616,12)</f>
        <v>0</v>
      </c>
    </row>
    <row r="1617" spans="1:53" ht="15.75" thickBot="1" x14ac:dyDescent="0.3">
      <c r="A1617" s="88"/>
      <c r="B1617" s="66" t="s">
        <v>279</v>
      </c>
      <c r="C1617" s="67"/>
      <c r="D1617" s="102"/>
      <c r="E1617" s="32"/>
      <c r="F1617" s="32"/>
      <c r="G1617" s="68" t="s">
        <v>277</v>
      </c>
      <c r="H1617" s="69">
        <f t="shared" ref="H1617:H1640" si="681">IF(E1617=0,0,I1617-(E1617-1))</f>
        <v>0</v>
      </c>
      <c r="I1617" s="70">
        <f t="shared" ref="I1617:I1640" si="682">IF(E1617=0,0,H1616-1)</f>
        <v>0</v>
      </c>
      <c r="J1617" s="73" t="str">
        <f>IF(C1617="","--",IF(AND(C1617&lt;&gt;"FST",C1617&lt;&gt;"TCF",BA1616&lt;&gt;0),BA1616,"--"))</f>
        <v>--</v>
      </c>
      <c r="K1617" s="32"/>
      <c r="L1617" s="233"/>
      <c r="M1617" s="277"/>
      <c r="N1617" s="277"/>
      <c r="O1617" s="277"/>
      <c r="P1617" s="277"/>
      <c r="Q1617" s="277"/>
      <c r="R1617" s="277"/>
      <c r="S1617" s="277"/>
      <c r="T1617" s="277"/>
      <c r="U1617" s="278"/>
      <c r="V1617" s="103"/>
      <c r="W1617" s="72"/>
      <c r="X1617" s="72"/>
      <c r="Y1617" s="72"/>
      <c r="Z1617" s="45">
        <v>10</v>
      </c>
      <c r="AA1617" s="46">
        <v>109</v>
      </c>
      <c r="AB1617" s="46">
        <v>120</v>
      </c>
      <c r="AC1617" s="72">
        <f t="shared" si="672"/>
        <v>1</v>
      </c>
      <c r="AD1617" s="72">
        <f t="shared" si="673"/>
        <v>1</v>
      </c>
      <c r="AE1617" s="109" t="str">
        <f t="shared" si="674"/>
        <v>0-0</v>
      </c>
      <c r="AF1617" s="109" t="str">
        <f t="shared" si="675"/>
        <v>Y</v>
      </c>
      <c r="AG1617" s="109" t="str">
        <f t="shared" si="676"/>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77"/>
        <v>0</v>
      </c>
      <c r="AN1617" s="109">
        <f t="shared" si="678"/>
        <v>0</v>
      </c>
      <c r="AO1617" s="109" t="str">
        <f t="shared" si="679"/>
        <v/>
      </c>
      <c r="AQ1617" s="109" t="str">
        <f t="shared" si="680"/>
        <v/>
      </c>
      <c r="BA1617" s="229">
        <f>MOD(SUM(E1616:E1617),12)</f>
        <v>0</v>
      </c>
    </row>
    <row r="1618" spans="1:53" ht="15.75" thickBot="1" x14ac:dyDescent="0.3">
      <c r="A1618" s="88"/>
      <c r="B1618" s="74" t="s">
        <v>280</v>
      </c>
      <c r="C1618" s="67"/>
      <c r="D1618" s="102"/>
      <c r="E1618" s="32"/>
      <c r="F1618" s="32"/>
      <c r="G1618" s="75" t="s">
        <v>277</v>
      </c>
      <c r="H1618" s="69">
        <f t="shared" si="681"/>
        <v>0</v>
      </c>
      <c r="I1618" s="70">
        <f t="shared" si="682"/>
        <v>0</v>
      </c>
      <c r="J1618" s="73" t="str">
        <f t="shared" ref="J1618:J1640" si="683">IF(C1618="","--",IF(AND(C1618&lt;&gt;"FST",C1618&lt;&gt;"TCF",BA1617&lt;&gt;0),BA1617,"--"))</f>
        <v>--</v>
      </c>
      <c r="K1618" s="32"/>
      <c r="L1618" s="233"/>
      <c r="M1618" s="277"/>
      <c r="N1618" s="277"/>
      <c r="O1618" s="277"/>
      <c r="P1618" s="277"/>
      <c r="Q1618" s="277"/>
      <c r="R1618" s="277"/>
      <c r="S1618" s="277"/>
      <c r="T1618" s="277"/>
      <c r="U1618" s="278"/>
      <c r="V1618" s="103"/>
      <c r="W1618" s="72"/>
      <c r="X1618" s="72"/>
      <c r="Y1618" s="72"/>
      <c r="Z1618" s="45">
        <v>11</v>
      </c>
      <c r="AA1618" s="46">
        <v>121</v>
      </c>
      <c r="AB1618" s="46">
        <v>132</v>
      </c>
      <c r="AC1618" s="72">
        <f t="shared" si="672"/>
        <v>1</v>
      </c>
      <c r="AD1618" s="72">
        <f t="shared" si="673"/>
        <v>1</v>
      </c>
      <c r="AE1618" s="109" t="str">
        <f t="shared" si="674"/>
        <v>0-0</v>
      </c>
      <c r="AF1618" s="109" t="str">
        <f t="shared" si="675"/>
        <v>Y</v>
      </c>
      <c r="AG1618" s="109" t="str">
        <f t="shared" si="676"/>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77"/>
        <v>0</v>
      </c>
      <c r="AN1618" s="109">
        <f t="shared" si="678"/>
        <v>0</v>
      </c>
      <c r="AO1618" s="109" t="str">
        <f t="shared" si="679"/>
        <v/>
      </c>
      <c r="AQ1618" s="109" t="str">
        <f t="shared" si="680"/>
        <v/>
      </c>
      <c r="BA1618" s="229">
        <f>MOD(SUM(E1616:E1619),12)</f>
        <v>0</v>
      </c>
    </row>
    <row r="1619" spans="1:53" ht="15.75" thickBot="1" x14ac:dyDescent="0.3">
      <c r="A1619" s="88"/>
      <c r="B1619" s="66" t="s">
        <v>281</v>
      </c>
      <c r="C1619" s="67"/>
      <c r="D1619" s="102"/>
      <c r="E1619" s="32"/>
      <c r="F1619" s="32"/>
      <c r="G1619" s="68" t="s">
        <v>277</v>
      </c>
      <c r="H1619" s="69">
        <f t="shared" si="681"/>
        <v>0</v>
      </c>
      <c r="I1619" s="70">
        <f t="shared" si="682"/>
        <v>0</v>
      </c>
      <c r="J1619" s="73" t="str">
        <f t="shared" si="683"/>
        <v>--</v>
      </c>
      <c r="K1619" s="32"/>
      <c r="L1619" s="233"/>
      <c r="M1619" s="277"/>
      <c r="N1619" s="277"/>
      <c r="O1619" s="277"/>
      <c r="P1619" s="277"/>
      <c r="Q1619" s="277"/>
      <c r="R1619" s="277"/>
      <c r="S1619" s="277"/>
      <c r="T1619" s="277"/>
      <c r="U1619" s="278"/>
      <c r="V1619" s="103"/>
      <c r="W1619" s="72"/>
      <c r="X1619" s="72"/>
      <c r="Y1619" s="72"/>
      <c r="Z1619" s="45">
        <v>12</v>
      </c>
      <c r="AA1619" s="76">
        <v>133</v>
      </c>
      <c r="AB1619" s="76">
        <v>144</v>
      </c>
      <c r="AC1619" s="72">
        <f t="shared" si="672"/>
        <v>1</v>
      </c>
      <c r="AD1619" s="72">
        <f t="shared" si="673"/>
        <v>1</v>
      </c>
      <c r="AE1619" s="109" t="str">
        <f t="shared" si="674"/>
        <v>0-0</v>
      </c>
      <c r="AF1619" s="109" t="str">
        <f t="shared" si="675"/>
        <v>Y</v>
      </c>
      <c r="AG1619" s="109" t="str">
        <f t="shared" si="676"/>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77"/>
        <v>0</v>
      </c>
      <c r="AN1619" s="109">
        <f t="shared" si="678"/>
        <v>0</v>
      </c>
      <c r="AO1619" s="109" t="str">
        <f t="shared" si="679"/>
        <v/>
      </c>
      <c r="AQ1619" s="109" t="str">
        <f t="shared" si="680"/>
        <v/>
      </c>
      <c r="BA1619" s="229">
        <f>MOD(SUM(E1616:E1620),12)</f>
        <v>0</v>
      </c>
    </row>
    <row r="1620" spans="1:53" ht="15.75" thickBot="1" x14ac:dyDescent="0.3">
      <c r="A1620" s="88"/>
      <c r="B1620" s="66" t="s">
        <v>282</v>
      </c>
      <c r="C1620" s="67"/>
      <c r="D1620" s="102"/>
      <c r="E1620" s="32"/>
      <c r="F1620" s="32"/>
      <c r="G1620" s="68" t="s">
        <v>277</v>
      </c>
      <c r="H1620" s="69">
        <f t="shared" si="681"/>
        <v>0</v>
      </c>
      <c r="I1620" s="70">
        <f t="shared" si="682"/>
        <v>0</v>
      </c>
      <c r="J1620" s="73" t="str">
        <f t="shared" si="683"/>
        <v>--</v>
      </c>
      <c r="K1620" s="32"/>
      <c r="L1620" s="233"/>
      <c r="M1620" s="277"/>
      <c r="N1620" s="277"/>
      <c r="O1620" s="277"/>
      <c r="P1620" s="277"/>
      <c r="Q1620" s="277"/>
      <c r="R1620" s="277"/>
      <c r="S1620" s="277"/>
      <c r="T1620" s="277"/>
      <c r="U1620" s="278"/>
      <c r="V1620" s="103"/>
      <c r="W1620" s="72"/>
      <c r="X1620" s="72"/>
      <c r="Y1620" s="72"/>
      <c r="Z1620" s="45">
        <v>13</v>
      </c>
      <c r="AA1620" s="77">
        <f t="shared" ref="AA1620:AA1625" si="684">AB1619+1</f>
        <v>145</v>
      </c>
      <c r="AB1620" s="77">
        <f t="shared" ref="AB1620:AB1625" si="685">AB1619+12</f>
        <v>156</v>
      </c>
      <c r="AC1620" s="72">
        <f t="shared" si="672"/>
        <v>1</v>
      </c>
      <c r="AD1620" s="72">
        <f t="shared" si="673"/>
        <v>1</v>
      </c>
      <c r="AE1620" s="109" t="str">
        <f t="shared" si="674"/>
        <v>0-0</v>
      </c>
      <c r="AF1620" s="109" t="str">
        <f t="shared" si="675"/>
        <v>Y</v>
      </c>
      <c r="AG1620" s="109" t="str">
        <f t="shared" si="676"/>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77"/>
        <v>0</v>
      </c>
      <c r="AN1620" s="109">
        <f t="shared" si="678"/>
        <v>0</v>
      </c>
      <c r="AO1620" s="109" t="str">
        <f t="shared" si="679"/>
        <v/>
      </c>
      <c r="AQ1620" s="109" t="str">
        <f t="shared" si="680"/>
        <v/>
      </c>
      <c r="BA1620" s="229">
        <f>MOD(SUM(E1616:E1621),12)</f>
        <v>0</v>
      </c>
    </row>
    <row r="1621" spans="1:53" ht="15.75" thickBot="1" x14ac:dyDescent="0.3">
      <c r="A1621" s="88"/>
      <c r="B1621" s="66" t="s">
        <v>283</v>
      </c>
      <c r="C1621" s="67"/>
      <c r="D1621" s="102"/>
      <c r="E1621" s="32"/>
      <c r="F1621" s="32"/>
      <c r="G1621" s="68" t="s">
        <v>277</v>
      </c>
      <c r="H1621" s="69">
        <f t="shared" si="681"/>
        <v>0</v>
      </c>
      <c r="I1621" s="70">
        <f t="shared" si="682"/>
        <v>0</v>
      </c>
      <c r="J1621" s="73" t="str">
        <f t="shared" si="683"/>
        <v>--</v>
      </c>
      <c r="K1621" s="32"/>
      <c r="L1621" s="233"/>
      <c r="M1621" s="277"/>
      <c r="N1621" s="277"/>
      <c r="O1621" s="277"/>
      <c r="P1621" s="277"/>
      <c r="Q1621" s="277"/>
      <c r="R1621" s="277"/>
      <c r="S1621" s="277"/>
      <c r="T1621" s="277"/>
      <c r="U1621" s="278"/>
      <c r="V1621" s="103"/>
      <c r="W1621" s="72"/>
      <c r="X1621" s="72"/>
      <c r="Y1621" s="72"/>
      <c r="Z1621" s="45">
        <v>14</v>
      </c>
      <c r="AA1621" s="77">
        <f t="shared" si="684"/>
        <v>157</v>
      </c>
      <c r="AB1621" s="77">
        <f t="shared" si="685"/>
        <v>168</v>
      </c>
      <c r="AC1621" s="72">
        <f t="shared" si="672"/>
        <v>1</v>
      </c>
      <c r="AD1621" s="72">
        <f t="shared" si="673"/>
        <v>1</v>
      </c>
      <c r="AE1621" s="109" t="str">
        <f t="shared" si="674"/>
        <v>0-0</v>
      </c>
      <c r="AF1621" s="109" t="str">
        <f t="shared" si="675"/>
        <v>Y</v>
      </c>
      <c r="AG1621" s="109" t="str">
        <f t="shared" si="676"/>
        <v>B</v>
      </c>
      <c r="AM1621" s="109">
        <f t="shared" si="677"/>
        <v>0</v>
      </c>
      <c r="AN1621" s="109">
        <f t="shared" si="678"/>
        <v>0</v>
      </c>
      <c r="AO1621" s="109" t="str">
        <f t="shared" si="679"/>
        <v/>
      </c>
      <c r="AQ1621" s="109" t="str">
        <f t="shared" si="680"/>
        <v/>
      </c>
      <c r="BA1621" s="229">
        <f>MOD(SUM(E1616:E1622),12)</f>
        <v>0</v>
      </c>
    </row>
    <row r="1622" spans="1:53" ht="15.75" thickBot="1" x14ac:dyDescent="0.3">
      <c r="A1622" s="88"/>
      <c r="B1622" s="66" t="s">
        <v>284</v>
      </c>
      <c r="C1622" s="67"/>
      <c r="D1622" s="102"/>
      <c r="E1622" s="32"/>
      <c r="F1622" s="32"/>
      <c r="G1622" s="68" t="s">
        <v>277</v>
      </c>
      <c r="H1622" s="69">
        <f t="shared" si="681"/>
        <v>0</v>
      </c>
      <c r="I1622" s="70">
        <f t="shared" si="682"/>
        <v>0</v>
      </c>
      <c r="J1622" s="73" t="str">
        <f t="shared" si="683"/>
        <v>--</v>
      </c>
      <c r="K1622" s="32"/>
      <c r="L1622" s="233"/>
      <c r="M1622" s="277"/>
      <c r="N1622" s="277"/>
      <c r="O1622" s="277"/>
      <c r="P1622" s="277"/>
      <c r="Q1622" s="277"/>
      <c r="R1622" s="277"/>
      <c r="S1622" s="277"/>
      <c r="T1622" s="277"/>
      <c r="U1622" s="278"/>
      <c r="V1622" s="103"/>
      <c r="W1622" s="72"/>
      <c r="X1622" s="72"/>
      <c r="Y1622" s="72"/>
      <c r="Z1622" s="45">
        <v>15</v>
      </c>
      <c r="AA1622" s="77">
        <f t="shared" si="684"/>
        <v>169</v>
      </c>
      <c r="AB1622" s="77">
        <f t="shared" si="685"/>
        <v>180</v>
      </c>
      <c r="AC1622" s="72">
        <f t="shared" si="672"/>
        <v>1</v>
      </c>
      <c r="AD1622" s="72">
        <f t="shared" si="673"/>
        <v>1</v>
      </c>
      <c r="AE1622" s="109" t="str">
        <f t="shared" si="674"/>
        <v>0-0</v>
      </c>
      <c r="AF1622" s="109" t="str">
        <f t="shared" si="675"/>
        <v>Y</v>
      </c>
      <c r="AG1622" s="109" t="str">
        <f t="shared" si="676"/>
        <v>B</v>
      </c>
      <c r="AM1622" s="109">
        <f t="shared" si="677"/>
        <v>0</v>
      </c>
      <c r="AN1622" s="109">
        <f t="shared" si="678"/>
        <v>0</v>
      </c>
      <c r="AO1622" s="109" t="str">
        <f t="shared" si="679"/>
        <v/>
      </c>
      <c r="AQ1622" s="109" t="str">
        <f t="shared" si="680"/>
        <v/>
      </c>
      <c r="BA1622" s="229">
        <f>MOD(SUM(E1616:E1623),12)</f>
        <v>0</v>
      </c>
    </row>
    <row r="1623" spans="1:53" ht="15.75" thickBot="1" x14ac:dyDescent="0.3">
      <c r="A1623" s="88"/>
      <c r="B1623" s="66" t="s">
        <v>285</v>
      </c>
      <c r="C1623" s="67"/>
      <c r="D1623" s="102"/>
      <c r="E1623" s="32"/>
      <c r="F1623" s="32"/>
      <c r="G1623" s="68" t="s">
        <v>277</v>
      </c>
      <c r="H1623" s="69">
        <f t="shared" si="681"/>
        <v>0</v>
      </c>
      <c r="I1623" s="70">
        <f t="shared" si="682"/>
        <v>0</v>
      </c>
      <c r="J1623" s="73" t="str">
        <f t="shared" si="683"/>
        <v>--</v>
      </c>
      <c r="K1623" s="32"/>
      <c r="L1623" s="233"/>
      <c r="M1623" s="277"/>
      <c r="N1623" s="277"/>
      <c r="O1623" s="277"/>
      <c r="P1623" s="277"/>
      <c r="Q1623" s="277"/>
      <c r="R1623" s="277"/>
      <c r="S1623" s="277"/>
      <c r="T1623" s="277"/>
      <c r="U1623" s="278"/>
      <c r="V1623" s="103"/>
      <c r="W1623" s="72"/>
      <c r="X1623" s="72"/>
      <c r="Y1623" s="72"/>
      <c r="Z1623" s="45">
        <f>Z1622+1</f>
        <v>16</v>
      </c>
      <c r="AA1623" s="77">
        <f t="shared" si="684"/>
        <v>181</v>
      </c>
      <c r="AB1623" s="77">
        <f t="shared" si="685"/>
        <v>192</v>
      </c>
      <c r="AC1623" s="72">
        <f t="shared" si="672"/>
        <v>1</v>
      </c>
      <c r="AD1623" s="72">
        <f t="shared" si="673"/>
        <v>1</v>
      </c>
      <c r="AE1623" s="109" t="str">
        <f t="shared" si="674"/>
        <v>0-0</v>
      </c>
      <c r="AF1623" s="109" t="str">
        <f t="shared" si="675"/>
        <v>Y</v>
      </c>
      <c r="AG1623" s="109" t="str">
        <f t="shared" si="676"/>
        <v>B</v>
      </c>
      <c r="AM1623" s="109">
        <f t="shared" si="677"/>
        <v>0</v>
      </c>
      <c r="AN1623" s="109">
        <f t="shared" si="678"/>
        <v>0</v>
      </c>
      <c r="AO1623" s="109" t="str">
        <f t="shared" si="679"/>
        <v/>
      </c>
      <c r="AQ1623" s="109" t="str">
        <f t="shared" si="680"/>
        <v/>
      </c>
      <c r="BA1623" s="229">
        <f>MOD(SUM(E1616:E1624),12)</f>
        <v>0</v>
      </c>
    </row>
    <row r="1624" spans="1:53" ht="15.75" thickBot="1" x14ac:dyDescent="0.3">
      <c r="A1624" s="88"/>
      <c r="B1624" s="66" t="s">
        <v>286</v>
      </c>
      <c r="C1624" s="67"/>
      <c r="D1624" s="102"/>
      <c r="E1624" s="32"/>
      <c r="F1624" s="32"/>
      <c r="G1624" s="68" t="s">
        <v>277</v>
      </c>
      <c r="H1624" s="69">
        <f t="shared" si="681"/>
        <v>0</v>
      </c>
      <c r="I1624" s="70">
        <f t="shared" si="682"/>
        <v>0</v>
      </c>
      <c r="J1624" s="73" t="str">
        <f t="shared" si="683"/>
        <v>--</v>
      </c>
      <c r="K1624" s="32"/>
      <c r="L1624" s="233"/>
      <c r="M1624" s="277"/>
      <c r="N1624" s="277"/>
      <c r="O1624" s="277"/>
      <c r="P1624" s="277"/>
      <c r="Q1624" s="277"/>
      <c r="R1624" s="277"/>
      <c r="S1624" s="277"/>
      <c r="T1624" s="277"/>
      <c r="U1624" s="278"/>
      <c r="V1624" s="103"/>
      <c r="W1624" s="72"/>
      <c r="X1624" s="72"/>
      <c r="Y1624" s="72"/>
      <c r="Z1624" s="45">
        <f>Z1623+1</f>
        <v>17</v>
      </c>
      <c r="AA1624" s="77">
        <f t="shared" si="684"/>
        <v>193</v>
      </c>
      <c r="AB1624" s="77">
        <f t="shared" si="685"/>
        <v>204</v>
      </c>
      <c r="AC1624" s="72">
        <f t="shared" si="672"/>
        <v>1</v>
      </c>
      <c r="AD1624" s="72">
        <f t="shared" si="673"/>
        <v>1</v>
      </c>
      <c r="AE1624" s="109" t="str">
        <f t="shared" si="674"/>
        <v>0-0</v>
      </c>
      <c r="AF1624" s="109" t="str">
        <f t="shared" si="675"/>
        <v>Y</v>
      </c>
      <c r="AG1624" s="109" t="str">
        <f t="shared" si="676"/>
        <v>B</v>
      </c>
      <c r="AM1624" s="109">
        <f t="shared" si="677"/>
        <v>0</v>
      </c>
      <c r="AN1624" s="109">
        <f t="shared" si="678"/>
        <v>0</v>
      </c>
      <c r="AO1624" s="109" t="str">
        <f t="shared" si="679"/>
        <v/>
      </c>
      <c r="AQ1624" s="109" t="str">
        <f t="shared" si="680"/>
        <v/>
      </c>
      <c r="BA1624" s="229">
        <f>MOD(SUM(E1616:E1625),12)</f>
        <v>0</v>
      </c>
    </row>
    <row r="1625" spans="1:53" ht="15.75" thickBot="1" x14ac:dyDescent="0.3">
      <c r="A1625" s="88"/>
      <c r="B1625" s="66" t="s">
        <v>287</v>
      </c>
      <c r="C1625" s="67"/>
      <c r="D1625" s="102"/>
      <c r="E1625" s="32"/>
      <c r="F1625" s="32"/>
      <c r="G1625" s="68" t="s">
        <v>277</v>
      </c>
      <c r="H1625" s="69">
        <f t="shared" si="681"/>
        <v>0</v>
      </c>
      <c r="I1625" s="70">
        <f t="shared" si="682"/>
        <v>0</v>
      </c>
      <c r="J1625" s="73" t="str">
        <f t="shared" si="683"/>
        <v>--</v>
      </c>
      <c r="K1625" s="32"/>
      <c r="L1625" s="233"/>
      <c r="M1625" s="277"/>
      <c r="N1625" s="277"/>
      <c r="O1625" s="277"/>
      <c r="P1625" s="277"/>
      <c r="Q1625" s="277"/>
      <c r="R1625" s="277"/>
      <c r="S1625" s="277"/>
      <c r="T1625" s="277"/>
      <c r="U1625" s="278"/>
      <c r="V1625" s="103"/>
      <c r="W1625" s="72"/>
      <c r="X1625" s="72"/>
      <c r="Y1625" s="72"/>
      <c r="Z1625" s="45">
        <f>Z1624+1</f>
        <v>18</v>
      </c>
      <c r="AA1625" s="77">
        <f t="shared" si="684"/>
        <v>205</v>
      </c>
      <c r="AB1625" s="77">
        <f t="shared" si="685"/>
        <v>216</v>
      </c>
      <c r="AC1625" s="72">
        <f t="shared" si="672"/>
        <v>1</v>
      </c>
      <c r="AD1625" s="72">
        <f t="shared" si="673"/>
        <v>1</v>
      </c>
      <c r="AE1625" s="109" t="str">
        <f t="shared" si="674"/>
        <v>0-0</v>
      </c>
      <c r="AF1625" s="109" t="str">
        <f t="shared" si="675"/>
        <v>Y</v>
      </c>
      <c r="AG1625" s="109" t="str">
        <f t="shared" si="676"/>
        <v>B</v>
      </c>
      <c r="AM1625" s="109">
        <f t="shared" si="677"/>
        <v>0</v>
      </c>
      <c r="AN1625" s="109">
        <f t="shared" si="678"/>
        <v>0</v>
      </c>
      <c r="AO1625" s="109" t="str">
        <f t="shared" si="679"/>
        <v/>
      </c>
      <c r="AQ1625" s="109" t="str">
        <f t="shared" si="680"/>
        <v/>
      </c>
      <c r="BA1625" s="229">
        <f>MOD(SUM(E1616:E1626),12)</f>
        <v>0</v>
      </c>
    </row>
    <row r="1626" spans="1:53" ht="15.75" thickBot="1" x14ac:dyDescent="0.3">
      <c r="A1626" s="88"/>
      <c r="B1626" s="66" t="s">
        <v>288</v>
      </c>
      <c r="C1626" s="67"/>
      <c r="D1626" s="102"/>
      <c r="E1626" s="32"/>
      <c r="F1626" s="32"/>
      <c r="G1626" s="68" t="s">
        <v>277</v>
      </c>
      <c r="H1626" s="69">
        <f t="shared" si="681"/>
        <v>0</v>
      </c>
      <c r="I1626" s="70">
        <f t="shared" si="682"/>
        <v>0</v>
      </c>
      <c r="J1626" s="73" t="str">
        <f t="shared" si="683"/>
        <v>--</v>
      </c>
      <c r="K1626" s="32"/>
      <c r="L1626" s="233"/>
      <c r="M1626" s="277"/>
      <c r="N1626" s="277"/>
      <c r="O1626" s="277"/>
      <c r="P1626" s="277"/>
      <c r="Q1626" s="277"/>
      <c r="R1626" s="277"/>
      <c r="S1626" s="277"/>
      <c r="T1626" s="277"/>
      <c r="U1626" s="278"/>
      <c r="V1626" s="103"/>
      <c r="W1626" s="84"/>
      <c r="X1626" s="84"/>
      <c r="Y1626" s="72"/>
      <c r="Z1626" s="72"/>
      <c r="AA1626" s="72"/>
      <c r="AB1626" s="72"/>
      <c r="AC1626" s="72">
        <f t="shared" si="672"/>
        <v>1</v>
      </c>
      <c r="AD1626" s="72">
        <f t="shared" si="673"/>
        <v>1</v>
      </c>
      <c r="AE1626" s="109" t="str">
        <f t="shared" si="674"/>
        <v>0-0</v>
      </c>
      <c r="AF1626" s="109" t="str">
        <f t="shared" si="675"/>
        <v>Y</v>
      </c>
      <c r="AG1626" s="109" t="str">
        <f t="shared" si="676"/>
        <v>B</v>
      </c>
      <c r="AM1626" s="109">
        <f t="shared" si="677"/>
        <v>0</v>
      </c>
      <c r="AN1626" s="109">
        <f t="shared" si="678"/>
        <v>0</v>
      </c>
      <c r="AO1626" s="109" t="str">
        <f t="shared" si="679"/>
        <v/>
      </c>
      <c r="AQ1626" s="109" t="str">
        <f t="shared" si="680"/>
        <v/>
      </c>
      <c r="BA1626" s="229">
        <f>MOD(SUM(E1616:E1627),12)</f>
        <v>0</v>
      </c>
    </row>
    <row r="1627" spans="1:53" ht="15.75" thickBot="1" x14ac:dyDescent="0.3">
      <c r="A1627" s="88"/>
      <c r="B1627" s="66" t="s">
        <v>289</v>
      </c>
      <c r="C1627" s="67"/>
      <c r="D1627" s="102"/>
      <c r="E1627" s="32"/>
      <c r="F1627" s="32"/>
      <c r="G1627" s="68" t="s">
        <v>277</v>
      </c>
      <c r="H1627" s="69">
        <f t="shared" si="681"/>
        <v>0</v>
      </c>
      <c r="I1627" s="70">
        <f t="shared" si="682"/>
        <v>0</v>
      </c>
      <c r="J1627" s="73" t="str">
        <f t="shared" si="683"/>
        <v>--</v>
      </c>
      <c r="K1627" s="32"/>
      <c r="L1627" s="233"/>
      <c r="M1627" s="277"/>
      <c r="N1627" s="277"/>
      <c r="O1627" s="277"/>
      <c r="P1627" s="277"/>
      <c r="Q1627" s="277"/>
      <c r="R1627" s="277"/>
      <c r="S1627" s="277"/>
      <c r="T1627" s="277"/>
      <c r="U1627" s="278"/>
      <c r="V1627" s="103"/>
      <c r="W1627" s="84">
        <f>Y1627+1</f>
        <v>1</v>
      </c>
      <c r="X1627" s="84"/>
      <c r="Y1627" s="78">
        <f>SUM(E1616:E1627)</f>
        <v>0</v>
      </c>
      <c r="Z1627" s="72"/>
      <c r="AA1627" s="72"/>
      <c r="AB1627" s="72"/>
      <c r="AC1627" s="72">
        <f t="shared" si="672"/>
        <v>1</v>
      </c>
      <c r="AD1627" s="72">
        <f t="shared" si="673"/>
        <v>1</v>
      </c>
      <c r="AE1627" s="109" t="str">
        <f t="shared" si="674"/>
        <v>0-0</v>
      </c>
      <c r="AF1627" s="109" t="str">
        <f t="shared" si="675"/>
        <v>Y</v>
      </c>
      <c r="AG1627" s="109" t="str">
        <f t="shared" si="676"/>
        <v>B</v>
      </c>
      <c r="AM1627" s="109">
        <f t="shared" si="677"/>
        <v>0</v>
      </c>
      <c r="AN1627" s="109">
        <f t="shared" si="678"/>
        <v>0</v>
      </c>
      <c r="AO1627" s="109" t="str">
        <f t="shared" si="679"/>
        <v/>
      </c>
      <c r="AQ1627" s="109" t="str">
        <f t="shared" si="680"/>
        <v/>
      </c>
      <c r="BA1627" s="229">
        <f>MOD(SUM(E1616:E1628),12)</f>
        <v>0</v>
      </c>
    </row>
    <row r="1628" spans="1:53" ht="15.75" thickBot="1" x14ac:dyDescent="0.3">
      <c r="A1628" s="88"/>
      <c r="B1628" s="66" t="s">
        <v>290</v>
      </c>
      <c r="C1628" s="67"/>
      <c r="D1628" s="102"/>
      <c r="E1628" s="32"/>
      <c r="F1628" s="32"/>
      <c r="G1628" s="68" t="s">
        <v>277</v>
      </c>
      <c r="H1628" s="69">
        <f t="shared" si="681"/>
        <v>0</v>
      </c>
      <c r="I1628" s="70">
        <f t="shared" si="682"/>
        <v>0</v>
      </c>
      <c r="J1628" s="73" t="str">
        <f t="shared" si="683"/>
        <v>--</v>
      </c>
      <c r="K1628" s="32"/>
      <c r="L1628" s="233"/>
      <c r="M1628" s="277"/>
      <c r="N1628" s="277"/>
      <c r="O1628" s="277"/>
      <c r="P1628" s="277"/>
      <c r="Q1628" s="277"/>
      <c r="R1628" s="277"/>
      <c r="S1628" s="277"/>
      <c r="T1628" s="277"/>
      <c r="U1628" s="278"/>
      <c r="V1628" s="103"/>
      <c r="W1628" s="84">
        <f>Y1628+1</f>
        <v>1</v>
      </c>
      <c r="X1628" s="84"/>
      <c r="Y1628" s="78">
        <f>SUM(E1616:E1628)</f>
        <v>0</v>
      </c>
      <c r="Z1628" s="72" t="str">
        <f t="shared" ref="Z1628:Z1640" si="686">IF(OR(AND(E$8=216,C1627="DBL REV",C1628="DBL REV",Y1627&lt;=144,Y1628&gt;144),AND(E$8=216,C1627="TPL REV",C1628="TPL REV",Y1627&lt;=144,Y1628&gt;144),AND(E$8=216,C1627="QD REV",C1628="QD REV",Y1627&lt;=144,Y1628&gt;144)),"ERROR","")</f>
        <v/>
      </c>
      <c r="AA1628" s="72"/>
      <c r="AB1628" s="72"/>
      <c r="AC1628" s="72">
        <f t="shared" si="672"/>
        <v>1</v>
      </c>
      <c r="AD1628" s="72">
        <f t="shared" si="673"/>
        <v>1</v>
      </c>
      <c r="AE1628" s="109" t="str">
        <f t="shared" si="674"/>
        <v>0-0</v>
      </c>
      <c r="AF1628" s="109" t="str">
        <f t="shared" si="675"/>
        <v>Y</v>
      </c>
      <c r="AG1628" s="109" t="str">
        <f t="shared" si="676"/>
        <v>B</v>
      </c>
      <c r="AM1628" s="109">
        <f t="shared" si="677"/>
        <v>0</v>
      </c>
      <c r="AN1628" s="109">
        <f t="shared" si="678"/>
        <v>0</v>
      </c>
      <c r="AO1628" s="109" t="str">
        <f t="shared" si="679"/>
        <v/>
      </c>
      <c r="AQ1628" s="109" t="str">
        <f t="shared" si="680"/>
        <v/>
      </c>
      <c r="BA1628" s="229">
        <f>MOD(SUM(E1616:E1629),12)</f>
        <v>0</v>
      </c>
    </row>
    <row r="1629" spans="1:53" ht="15.75" thickBot="1" x14ac:dyDescent="0.3">
      <c r="A1629" s="88"/>
      <c r="B1629" s="66" t="s">
        <v>291</v>
      </c>
      <c r="C1629" s="67"/>
      <c r="D1629" s="102"/>
      <c r="E1629" s="32"/>
      <c r="F1629" s="32"/>
      <c r="G1629" s="68" t="s">
        <v>277</v>
      </c>
      <c r="H1629" s="69">
        <f t="shared" si="681"/>
        <v>0</v>
      </c>
      <c r="I1629" s="70">
        <f t="shared" si="682"/>
        <v>0</v>
      </c>
      <c r="J1629" s="73" t="str">
        <f t="shared" si="683"/>
        <v>--</v>
      </c>
      <c r="K1629" s="32"/>
      <c r="L1629" s="233"/>
      <c r="M1629" s="277"/>
      <c r="N1629" s="277"/>
      <c r="O1629" s="277"/>
      <c r="P1629" s="277"/>
      <c r="Q1629" s="277"/>
      <c r="R1629" s="277"/>
      <c r="S1629" s="277"/>
      <c r="T1629" s="277"/>
      <c r="U1629" s="278"/>
      <c r="V1629" s="103"/>
      <c r="W1629" s="84">
        <f>Y1629+1</f>
        <v>1</v>
      </c>
      <c r="X1629" s="84"/>
      <c r="Y1629" s="78">
        <f>SUM(E1616:E1629)</f>
        <v>0</v>
      </c>
      <c r="Z1629" s="72" t="str">
        <f t="shared" si="686"/>
        <v/>
      </c>
      <c r="AA1629" s="72"/>
      <c r="AB1629" s="72"/>
      <c r="AC1629" s="72">
        <f t="shared" si="672"/>
        <v>1</v>
      </c>
      <c r="AD1629" s="72">
        <f t="shared" si="673"/>
        <v>1</v>
      </c>
      <c r="AE1629" s="109" t="str">
        <f t="shared" si="674"/>
        <v>0-0</v>
      </c>
      <c r="AF1629" s="109" t="str">
        <f t="shared" si="675"/>
        <v>Y</v>
      </c>
      <c r="AG1629" s="109" t="str">
        <f t="shared" si="676"/>
        <v>B</v>
      </c>
      <c r="AM1629" s="109">
        <f t="shared" si="677"/>
        <v>0</v>
      </c>
      <c r="AN1629" s="109">
        <f t="shared" si="678"/>
        <v>0</v>
      </c>
      <c r="AO1629" s="109" t="str">
        <f t="shared" si="679"/>
        <v/>
      </c>
      <c r="AQ1629" s="109" t="str">
        <f t="shared" si="680"/>
        <v/>
      </c>
      <c r="BA1629" s="229">
        <f>MOD(SUM(E1616:E1630),12)</f>
        <v>0</v>
      </c>
    </row>
    <row r="1630" spans="1:53" ht="15.75" thickBot="1" x14ac:dyDescent="0.3">
      <c r="A1630" s="88"/>
      <c r="B1630" s="66" t="s">
        <v>292</v>
      </c>
      <c r="C1630" s="67"/>
      <c r="D1630" s="102"/>
      <c r="E1630" s="32"/>
      <c r="F1630" s="32"/>
      <c r="G1630" s="68" t="s">
        <v>277</v>
      </c>
      <c r="H1630" s="69">
        <f t="shared" si="681"/>
        <v>0</v>
      </c>
      <c r="I1630" s="70">
        <f t="shared" si="682"/>
        <v>0</v>
      </c>
      <c r="J1630" s="73" t="str">
        <f t="shared" si="683"/>
        <v>--</v>
      </c>
      <c r="K1630" s="32"/>
      <c r="L1630" s="233"/>
      <c r="M1630" s="277"/>
      <c r="N1630" s="277"/>
      <c r="O1630" s="277"/>
      <c r="P1630" s="277"/>
      <c r="Q1630" s="277"/>
      <c r="R1630" s="277"/>
      <c r="S1630" s="277"/>
      <c r="T1630" s="277"/>
      <c r="U1630" s="278"/>
      <c r="V1630" s="103"/>
      <c r="W1630" s="84">
        <f>Y1630+1</f>
        <v>1</v>
      </c>
      <c r="X1630" s="84"/>
      <c r="Y1630" s="78">
        <f>SUM(E1616:E1630)</f>
        <v>0</v>
      </c>
      <c r="Z1630" s="72" t="str">
        <f t="shared" si="686"/>
        <v/>
      </c>
      <c r="AA1630" s="72" t="str">
        <f t="shared" ref="AA1630:AA1642" si="687">IF(AND(C1628&lt;&gt;"Field SPL",W1627&lt;=144,Y1628&gt;144),"ERROR","")</f>
        <v/>
      </c>
      <c r="AB1630" s="72"/>
      <c r="AC1630" s="72">
        <f t="shared" si="672"/>
        <v>1</v>
      </c>
      <c r="AD1630" s="72">
        <f t="shared" si="673"/>
        <v>1</v>
      </c>
      <c r="AE1630" s="109" t="str">
        <f t="shared" si="674"/>
        <v>0-0</v>
      </c>
      <c r="AF1630" s="109" t="str">
        <f t="shared" si="675"/>
        <v>Y</v>
      </c>
      <c r="AG1630" s="109" t="str">
        <f t="shared" si="676"/>
        <v>B</v>
      </c>
      <c r="AM1630" s="109">
        <f t="shared" si="677"/>
        <v>0</v>
      </c>
      <c r="AN1630" s="109">
        <f t="shared" si="678"/>
        <v>0</v>
      </c>
      <c r="AO1630" s="109" t="str">
        <f t="shared" si="679"/>
        <v/>
      </c>
      <c r="AQ1630" s="109" t="str">
        <f t="shared" si="680"/>
        <v/>
      </c>
      <c r="BA1630" s="229">
        <f>MOD(SUM(E1616:E1631),12)</f>
        <v>0</v>
      </c>
    </row>
    <row r="1631" spans="1:53" ht="15.75" thickBot="1" x14ac:dyDescent="0.3">
      <c r="A1631" s="88"/>
      <c r="B1631" s="66" t="s">
        <v>293</v>
      </c>
      <c r="C1631" s="67"/>
      <c r="D1631" s="102"/>
      <c r="E1631" s="32"/>
      <c r="F1631" s="32"/>
      <c r="G1631" s="68" t="s">
        <v>277</v>
      </c>
      <c r="H1631" s="69">
        <f t="shared" si="681"/>
        <v>0</v>
      </c>
      <c r="I1631" s="70">
        <f t="shared" si="682"/>
        <v>0</v>
      </c>
      <c r="J1631" s="73" t="str">
        <f t="shared" si="683"/>
        <v>--</v>
      </c>
      <c r="K1631" s="32"/>
      <c r="L1631" s="233"/>
      <c r="M1631" s="277"/>
      <c r="N1631" s="277"/>
      <c r="O1631" s="277"/>
      <c r="P1631" s="277"/>
      <c r="Q1631" s="277"/>
      <c r="R1631" s="277"/>
      <c r="S1631" s="277"/>
      <c r="T1631" s="277"/>
      <c r="U1631" s="278"/>
      <c r="V1631" s="103"/>
      <c r="W1631" s="84">
        <f t="shared" ref="W1631:W1639" si="688">Y1631+1</f>
        <v>1</v>
      </c>
      <c r="X1631" s="84"/>
      <c r="Y1631" s="78">
        <f>SUM(E1616:E1631)</f>
        <v>0</v>
      </c>
      <c r="Z1631" s="72" t="str">
        <f t="shared" si="686"/>
        <v/>
      </c>
      <c r="AA1631" s="72" t="str">
        <f t="shared" si="687"/>
        <v/>
      </c>
      <c r="AB1631" s="72"/>
      <c r="AC1631" s="72">
        <f t="shared" si="672"/>
        <v>1</v>
      </c>
      <c r="AD1631" s="72">
        <f t="shared" si="673"/>
        <v>1</v>
      </c>
      <c r="AE1631" s="109" t="str">
        <f t="shared" si="674"/>
        <v>0-0</v>
      </c>
      <c r="AF1631" s="109" t="str">
        <f t="shared" si="675"/>
        <v>Y</v>
      </c>
      <c r="AG1631" s="109" t="str">
        <f t="shared" si="676"/>
        <v>B</v>
      </c>
      <c r="AM1631" s="109">
        <f t="shared" si="677"/>
        <v>0</v>
      </c>
      <c r="AN1631" s="109">
        <f t="shared" si="678"/>
        <v>0</v>
      </c>
      <c r="AO1631" s="109" t="str">
        <f t="shared" si="679"/>
        <v/>
      </c>
      <c r="AQ1631" s="109" t="str">
        <f t="shared" si="680"/>
        <v/>
      </c>
      <c r="BA1631" s="229">
        <f>MOD(SUM(E1616:E1632),12)</f>
        <v>0</v>
      </c>
    </row>
    <row r="1632" spans="1:53" ht="15.75" thickBot="1" x14ac:dyDescent="0.3">
      <c r="A1632" s="88"/>
      <c r="B1632" s="66" t="s">
        <v>294</v>
      </c>
      <c r="C1632" s="67"/>
      <c r="D1632" s="102"/>
      <c r="E1632" s="32"/>
      <c r="F1632" s="32"/>
      <c r="G1632" s="68" t="s">
        <v>277</v>
      </c>
      <c r="H1632" s="69">
        <f t="shared" si="681"/>
        <v>0</v>
      </c>
      <c r="I1632" s="70">
        <f t="shared" si="682"/>
        <v>0</v>
      </c>
      <c r="J1632" s="73" t="str">
        <f t="shared" si="683"/>
        <v>--</v>
      </c>
      <c r="K1632" s="32"/>
      <c r="L1632" s="233"/>
      <c r="M1632" s="277"/>
      <c r="N1632" s="277"/>
      <c r="O1632" s="277"/>
      <c r="P1632" s="277"/>
      <c r="Q1632" s="277"/>
      <c r="R1632" s="277"/>
      <c r="S1632" s="277"/>
      <c r="T1632" s="277"/>
      <c r="U1632" s="278"/>
      <c r="V1632" s="103"/>
      <c r="W1632" s="84">
        <f t="shared" si="688"/>
        <v>1</v>
      </c>
      <c r="X1632" s="84"/>
      <c r="Y1632" s="78">
        <f>SUM(E1616:E1632)</f>
        <v>0</v>
      </c>
      <c r="Z1632" s="72" t="str">
        <f t="shared" si="686"/>
        <v/>
      </c>
      <c r="AA1632" s="72" t="str">
        <f t="shared" si="687"/>
        <v/>
      </c>
      <c r="AB1632" s="72"/>
      <c r="AC1632" s="72">
        <f t="shared" si="672"/>
        <v>1</v>
      </c>
      <c r="AD1632" s="72">
        <f t="shared" si="673"/>
        <v>1</v>
      </c>
      <c r="AE1632" s="109" t="str">
        <f t="shared" si="674"/>
        <v>0-0</v>
      </c>
      <c r="AF1632" s="109" t="str">
        <f t="shared" si="675"/>
        <v>Y</v>
      </c>
      <c r="AG1632" s="109" t="str">
        <f t="shared" si="676"/>
        <v>B</v>
      </c>
      <c r="AM1632" s="109">
        <f t="shared" si="677"/>
        <v>0</v>
      </c>
      <c r="AN1632" s="109">
        <f t="shared" si="678"/>
        <v>0</v>
      </c>
      <c r="AO1632" s="109" t="str">
        <f t="shared" si="679"/>
        <v/>
      </c>
      <c r="AQ1632" s="109" t="str">
        <f t="shared" si="680"/>
        <v/>
      </c>
      <c r="BA1632" s="229">
        <f>MOD(SUM(E1616:E1633),12)</f>
        <v>0</v>
      </c>
    </row>
    <row r="1633" spans="1:53" ht="15.75" thickBot="1" x14ac:dyDescent="0.3">
      <c r="A1633" s="88"/>
      <c r="B1633" s="66" t="s">
        <v>295</v>
      </c>
      <c r="C1633" s="67"/>
      <c r="D1633" s="102"/>
      <c r="E1633" s="32"/>
      <c r="F1633" s="32"/>
      <c r="G1633" s="68" t="s">
        <v>277</v>
      </c>
      <c r="H1633" s="69">
        <f t="shared" si="681"/>
        <v>0</v>
      </c>
      <c r="I1633" s="70">
        <f t="shared" si="682"/>
        <v>0</v>
      </c>
      <c r="J1633" s="73" t="str">
        <f t="shared" si="683"/>
        <v>--</v>
      </c>
      <c r="K1633" s="32"/>
      <c r="L1633" s="233"/>
      <c r="M1633" s="277"/>
      <c r="N1633" s="277"/>
      <c r="O1633" s="277"/>
      <c r="P1633" s="277"/>
      <c r="Q1633" s="277"/>
      <c r="R1633" s="277"/>
      <c r="S1633" s="277"/>
      <c r="T1633" s="277"/>
      <c r="U1633" s="278"/>
      <c r="V1633" s="103"/>
      <c r="W1633" s="84">
        <f t="shared" si="688"/>
        <v>1</v>
      </c>
      <c r="X1633" s="84"/>
      <c r="Y1633" s="78">
        <f>SUM(E1616:E1633)</f>
        <v>0</v>
      </c>
      <c r="Z1633" s="72" t="str">
        <f t="shared" si="686"/>
        <v/>
      </c>
      <c r="AA1633" s="72" t="str">
        <f t="shared" si="687"/>
        <v/>
      </c>
      <c r="AB1633" s="72"/>
      <c r="AC1633" s="72">
        <f t="shared" si="672"/>
        <v>1</v>
      </c>
      <c r="AD1633" s="72">
        <f t="shared" si="673"/>
        <v>1</v>
      </c>
      <c r="AE1633" s="109" t="str">
        <f t="shared" si="674"/>
        <v>0-0</v>
      </c>
      <c r="AF1633" s="109" t="str">
        <f t="shared" si="675"/>
        <v>Y</v>
      </c>
      <c r="AG1633" s="109" t="str">
        <f t="shared" si="676"/>
        <v>B</v>
      </c>
      <c r="AM1633" s="109">
        <f t="shared" si="677"/>
        <v>0</v>
      </c>
      <c r="AN1633" s="109">
        <f t="shared" si="678"/>
        <v>0</v>
      </c>
      <c r="AO1633" s="109" t="str">
        <f t="shared" si="679"/>
        <v/>
      </c>
      <c r="AQ1633" s="109" t="str">
        <f t="shared" si="680"/>
        <v/>
      </c>
      <c r="BA1633" s="229">
        <f>MOD(SUM(E1616:E1634),12)</f>
        <v>0</v>
      </c>
    </row>
    <row r="1634" spans="1:53" ht="15.75" thickBot="1" x14ac:dyDescent="0.3">
      <c r="A1634" s="88"/>
      <c r="B1634" s="66" t="s">
        <v>296</v>
      </c>
      <c r="C1634" s="67"/>
      <c r="D1634" s="102"/>
      <c r="E1634" s="32"/>
      <c r="F1634" s="32"/>
      <c r="G1634" s="68" t="s">
        <v>277</v>
      </c>
      <c r="H1634" s="69">
        <f t="shared" si="681"/>
        <v>0</v>
      </c>
      <c r="I1634" s="70">
        <f t="shared" si="682"/>
        <v>0</v>
      </c>
      <c r="J1634" s="73" t="str">
        <f t="shared" si="683"/>
        <v>--</v>
      </c>
      <c r="K1634" s="32"/>
      <c r="L1634" s="233"/>
      <c r="M1634" s="277"/>
      <c r="N1634" s="277"/>
      <c r="O1634" s="277"/>
      <c r="P1634" s="277"/>
      <c r="Q1634" s="277"/>
      <c r="R1634" s="277"/>
      <c r="S1634" s="277"/>
      <c r="T1634" s="277"/>
      <c r="U1634" s="278"/>
      <c r="V1634" s="103"/>
      <c r="W1634" s="84">
        <f t="shared" si="688"/>
        <v>1</v>
      </c>
      <c r="X1634" s="84"/>
      <c r="Y1634" s="78">
        <f>SUM(E1616:E1634)</f>
        <v>0</v>
      </c>
      <c r="Z1634" s="72" t="str">
        <f t="shared" si="686"/>
        <v/>
      </c>
      <c r="AA1634" s="72" t="str">
        <f t="shared" si="687"/>
        <v/>
      </c>
      <c r="AB1634" s="72"/>
      <c r="AC1634" s="72">
        <f t="shared" si="672"/>
        <v>1</v>
      </c>
      <c r="AD1634" s="72">
        <f t="shared" si="673"/>
        <v>1</v>
      </c>
      <c r="AE1634" s="109" t="str">
        <f t="shared" si="674"/>
        <v>0-0</v>
      </c>
      <c r="AF1634" s="109" t="str">
        <f t="shared" si="675"/>
        <v>Y</v>
      </c>
      <c r="AG1634" s="109" t="str">
        <f t="shared" si="676"/>
        <v>B</v>
      </c>
      <c r="AM1634" s="109">
        <f t="shared" si="677"/>
        <v>0</v>
      </c>
      <c r="AN1634" s="109">
        <f t="shared" si="678"/>
        <v>0</v>
      </c>
      <c r="AO1634" s="109" t="str">
        <f t="shared" si="679"/>
        <v/>
      </c>
      <c r="AQ1634" s="109" t="str">
        <f t="shared" si="680"/>
        <v/>
      </c>
      <c r="BA1634" s="229">
        <f>MOD(SUM(E1616:E1635),12)</f>
        <v>0</v>
      </c>
    </row>
    <row r="1635" spans="1:53" ht="15.75" thickBot="1" x14ac:dyDescent="0.3">
      <c r="A1635" s="88"/>
      <c r="B1635" s="66" t="s">
        <v>297</v>
      </c>
      <c r="C1635" s="67"/>
      <c r="D1635" s="102"/>
      <c r="E1635" s="32"/>
      <c r="F1635" s="32"/>
      <c r="G1635" s="68" t="s">
        <v>277</v>
      </c>
      <c r="H1635" s="69">
        <f t="shared" si="681"/>
        <v>0</v>
      </c>
      <c r="I1635" s="70">
        <f t="shared" si="682"/>
        <v>0</v>
      </c>
      <c r="J1635" s="73" t="str">
        <f t="shared" si="683"/>
        <v>--</v>
      </c>
      <c r="K1635" s="32"/>
      <c r="L1635" s="233"/>
      <c r="M1635" s="277"/>
      <c r="N1635" s="277"/>
      <c r="O1635" s="277"/>
      <c r="P1635" s="277"/>
      <c r="Q1635" s="277"/>
      <c r="R1635" s="277"/>
      <c r="S1635" s="277"/>
      <c r="T1635" s="277"/>
      <c r="U1635" s="278"/>
      <c r="V1635" s="103"/>
      <c r="W1635" s="84">
        <f t="shared" si="688"/>
        <v>1</v>
      </c>
      <c r="X1635" s="84"/>
      <c r="Y1635" s="78">
        <f>SUM(E1616:E1635)</f>
        <v>0</v>
      </c>
      <c r="Z1635" s="72" t="str">
        <f t="shared" si="686"/>
        <v/>
      </c>
      <c r="AA1635" s="72" t="str">
        <f t="shared" si="687"/>
        <v/>
      </c>
      <c r="AB1635" s="72"/>
      <c r="AC1635" s="72">
        <f t="shared" si="672"/>
        <v>1</v>
      </c>
      <c r="AD1635" s="72">
        <f t="shared" si="673"/>
        <v>1</v>
      </c>
      <c r="AE1635" s="109" t="str">
        <f t="shared" si="674"/>
        <v>0-0</v>
      </c>
      <c r="AF1635" s="109" t="str">
        <f t="shared" si="675"/>
        <v>Y</v>
      </c>
      <c r="AG1635" s="109" t="str">
        <f t="shared" si="676"/>
        <v>B</v>
      </c>
      <c r="AM1635" s="109">
        <f t="shared" si="677"/>
        <v>0</v>
      </c>
      <c r="AN1635" s="109">
        <f t="shared" si="678"/>
        <v>0</v>
      </c>
      <c r="AO1635" s="109" t="str">
        <f t="shared" si="679"/>
        <v/>
      </c>
      <c r="AQ1635" s="109" t="str">
        <f t="shared" si="680"/>
        <v/>
      </c>
      <c r="BA1635" s="229">
        <f>MOD(SUM(E1616:E1636),12)</f>
        <v>0</v>
      </c>
    </row>
    <row r="1636" spans="1:53" ht="15.75" thickBot="1" x14ac:dyDescent="0.3">
      <c r="A1636" s="88"/>
      <c r="B1636" s="66" t="s">
        <v>298</v>
      </c>
      <c r="C1636" s="67"/>
      <c r="D1636" s="102"/>
      <c r="E1636" s="32"/>
      <c r="F1636" s="32"/>
      <c r="G1636" s="68" t="s">
        <v>277</v>
      </c>
      <c r="H1636" s="69">
        <f t="shared" si="681"/>
        <v>0</v>
      </c>
      <c r="I1636" s="70">
        <f t="shared" si="682"/>
        <v>0</v>
      </c>
      <c r="J1636" s="73" t="str">
        <f t="shared" si="683"/>
        <v>--</v>
      </c>
      <c r="K1636" s="32"/>
      <c r="L1636" s="233"/>
      <c r="M1636" s="277"/>
      <c r="N1636" s="277"/>
      <c r="O1636" s="277"/>
      <c r="P1636" s="277"/>
      <c r="Q1636" s="277"/>
      <c r="R1636" s="277"/>
      <c r="S1636" s="277"/>
      <c r="T1636" s="277"/>
      <c r="U1636" s="278"/>
      <c r="V1636" s="103"/>
      <c r="W1636" s="84">
        <f t="shared" si="688"/>
        <v>1</v>
      </c>
      <c r="X1636" s="84"/>
      <c r="Y1636" s="78">
        <f>SUM(E1616:E1636)</f>
        <v>0</v>
      </c>
      <c r="Z1636" s="72" t="str">
        <f t="shared" si="686"/>
        <v/>
      </c>
      <c r="AA1636" s="72" t="str">
        <f t="shared" si="687"/>
        <v/>
      </c>
      <c r="AB1636" s="72"/>
      <c r="AC1636" s="72">
        <f t="shared" si="672"/>
        <v>1</v>
      </c>
      <c r="AD1636" s="72">
        <f t="shared" si="673"/>
        <v>1</v>
      </c>
      <c r="AE1636" s="109" t="str">
        <f t="shared" si="674"/>
        <v>0-0</v>
      </c>
      <c r="AF1636" s="109" t="str">
        <f t="shared" si="675"/>
        <v>Y</v>
      </c>
      <c r="AG1636" s="109" t="str">
        <f t="shared" si="676"/>
        <v>B</v>
      </c>
      <c r="AM1636" s="109">
        <f t="shared" si="677"/>
        <v>0</v>
      </c>
      <c r="AN1636" s="109">
        <f t="shared" si="678"/>
        <v>0</v>
      </c>
      <c r="AO1636" s="109" t="str">
        <f t="shared" si="679"/>
        <v/>
      </c>
      <c r="AQ1636" s="109" t="str">
        <f t="shared" si="680"/>
        <v/>
      </c>
      <c r="BA1636" s="229">
        <f>MOD(SUM(E1616:E1637),12)</f>
        <v>0</v>
      </c>
    </row>
    <row r="1637" spans="1:53" ht="15.75" thickBot="1" x14ac:dyDescent="0.3">
      <c r="A1637" s="88"/>
      <c r="B1637" s="66" t="s">
        <v>299</v>
      </c>
      <c r="C1637" s="67"/>
      <c r="D1637" s="102"/>
      <c r="E1637" s="32"/>
      <c r="F1637" s="32"/>
      <c r="G1637" s="68" t="s">
        <v>277</v>
      </c>
      <c r="H1637" s="69">
        <f t="shared" si="681"/>
        <v>0</v>
      </c>
      <c r="I1637" s="70">
        <f t="shared" si="682"/>
        <v>0</v>
      </c>
      <c r="J1637" s="73" t="str">
        <f t="shared" si="683"/>
        <v>--</v>
      </c>
      <c r="K1637" s="32"/>
      <c r="L1637" s="233"/>
      <c r="M1637" s="277"/>
      <c r="N1637" s="277"/>
      <c r="O1637" s="277"/>
      <c r="P1637" s="277"/>
      <c r="Q1637" s="277"/>
      <c r="R1637" s="277"/>
      <c r="S1637" s="277"/>
      <c r="T1637" s="277"/>
      <c r="U1637" s="278"/>
      <c r="V1637" s="103"/>
      <c r="W1637" s="84">
        <f t="shared" si="688"/>
        <v>1</v>
      </c>
      <c r="X1637" s="84"/>
      <c r="Y1637" s="78">
        <f>SUM(E1616:E1637)</f>
        <v>0</v>
      </c>
      <c r="Z1637" s="72" t="str">
        <f t="shared" si="686"/>
        <v/>
      </c>
      <c r="AA1637" s="72" t="str">
        <f t="shared" si="687"/>
        <v/>
      </c>
      <c r="AB1637" s="72"/>
      <c r="AC1637" s="72">
        <f t="shared" si="672"/>
        <v>1</v>
      </c>
      <c r="AD1637" s="72">
        <f t="shared" si="673"/>
        <v>1</v>
      </c>
      <c r="AE1637" s="109" t="str">
        <f t="shared" si="674"/>
        <v>0-0</v>
      </c>
      <c r="AF1637" s="109" t="str">
        <f t="shared" si="675"/>
        <v>Y</v>
      </c>
      <c r="AG1637" s="109" t="str">
        <f t="shared" si="676"/>
        <v>B</v>
      </c>
      <c r="AM1637" s="109">
        <f t="shared" si="677"/>
        <v>0</v>
      </c>
      <c r="AN1637" s="109">
        <f t="shared" si="678"/>
        <v>0</v>
      </c>
      <c r="AO1637" s="109" t="str">
        <f t="shared" si="679"/>
        <v/>
      </c>
      <c r="AQ1637" s="109" t="str">
        <f t="shared" si="680"/>
        <v/>
      </c>
      <c r="BA1637" s="229">
        <f>MOD(SUM(E1616:E1638),12)</f>
        <v>0</v>
      </c>
    </row>
    <row r="1638" spans="1:53" ht="15.75" thickBot="1" x14ac:dyDescent="0.3">
      <c r="A1638" s="88"/>
      <c r="B1638" s="66" t="s">
        <v>300</v>
      </c>
      <c r="C1638" s="67"/>
      <c r="D1638" s="102"/>
      <c r="E1638" s="32"/>
      <c r="F1638" s="32"/>
      <c r="G1638" s="68" t="s">
        <v>277</v>
      </c>
      <c r="H1638" s="69">
        <f t="shared" si="681"/>
        <v>0</v>
      </c>
      <c r="I1638" s="70">
        <f t="shared" si="682"/>
        <v>0</v>
      </c>
      <c r="J1638" s="73" t="str">
        <f t="shared" si="683"/>
        <v>--</v>
      </c>
      <c r="K1638" s="32"/>
      <c r="L1638" s="233"/>
      <c r="M1638" s="277"/>
      <c r="N1638" s="277"/>
      <c r="O1638" s="277"/>
      <c r="P1638" s="277"/>
      <c r="Q1638" s="277"/>
      <c r="R1638" s="277"/>
      <c r="S1638" s="277"/>
      <c r="T1638" s="277"/>
      <c r="U1638" s="278"/>
      <c r="V1638" s="103"/>
      <c r="W1638" s="84">
        <f t="shared" si="688"/>
        <v>1</v>
      </c>
      <c r="X1638" s="84"/>
      <c r="Y1638" s="78">
        <f>SUM(E1616:E1638)</f>
        <v>0</v>
      </c>
      <c r="Z1638" s="72" t="str">
        <f t="shared" si="686"/>
        <v/>
      </c>
      <c r="AA1638" s="72" t="str">
        <f t="shared" si="687"/>
        <v/>
      </c>
      <c r="AB1638" s="72"/>
      <c r="AC1638" s="72">
        <f t="shared" si="672"/>
        <v>1</v>
      </c>
      <c r="AD1638" s="72">
        <f t="shared" si="673"/>
        <v>1</v>
      </c>
      <c r="AE1638" s="109" t="str">
        <f t="shared" si="674"/>
        <v>0-0</v>
      </c>
      <c r="AF1638" s="109" t="str">
        <f t="shared" si="675"/>
        <v>Y</v>
      </c>
      <c r="AG1638" s="109" t="str">
        <f t="shared" si="676"/>
        <v>B</v>
      </c>
      <c r="AM1638" s="109">
        <f t="shared" si="677"/>
        <v>0</v>
      </c>
      <c r="AN1638" s="109">
        <f t="shared" si="678"/>
        <v>0</v>
      </c>
      <c r="AO1638" s="109" t="str">
        <f t="shared" si="679"/>
        <v/>
      </c>
      <c r="AQ1638" s="109" t="str">
        <f t="shared" si="680"/>
        <v/>
      </c>
      <c r="BA1638" s="229">
        <f>MOD(SUM(E1616:E1639),12)</f>
        <v>0</v>
      </c>
    </row>
    <row r="1639" spans="1:53" ht="15.75" thickBot="1" x14ac:dyDescent="0.3">
      <c r="A1639" s="88"/>
      <c r="B1639" s="66" t="s">
        <v>301</v>
      </c>
      <c r="C1639" s="67"/>
      <c r="D1639" s="102"/>
      <c r="E1639" s="32"/>
      <c r="F1639" s="32"/>
      <c r="G1639" s="68" t="s">
        <v>277</v>
      </c>
      <c r="H1639" s="69">
        <f t="shared" si="681"/>
        <v>0</v>
      </c>
      <c r="I1639" s="70">
        <f t="shared" si="682"/>
        <v>0</v>
      </c>
      <c r="J1639" s="73" t="str">
        <f t="shared" si="683"/>
        <v>--</v>
      </c>
      <c r="K1639" s="32"/>
      <c r="L1639" s="233"/>
      <c r="M1639" s="277"/>
      <c r="N1639" s="277"/>
      <c r="O1639" s="277"/>
      <c r="P1639" s="277"/>
      <c r="Q1639" s="277"/>
      <c r="R1639" s="277"/>
      <c r="S1639" s="277"/>
      <c r="T1639" s="277"/>
      <c r="U1639" s="278"/>
      <c r="V1639" s="103"/>
      <c r="W1639" s="84">
        <f t="shared" si="688"/>
        <v>1</v>
      </c>
      <c r="X1639" s="84"/>
      <c r="Y1639" s="78">
        <f>SUM(E1616:E1639)</f>
        <v>0</v>
      </c>
      <c r="Z1639" s="72" t="str">
        <f t="shared" si="686"/>
        <v/>
      </c>
      <c r="AA1639" s="72" t="str">
        <f t="shared" si="687"/>
        <v/>
      </c>
      <c r="AB1639" s="72"/>
      <c r="AC1639" s="72">
        <f t="shared" si="672"/>
        <v>1</v>
      </c>
      <c r="AD1639" s="72">
        <f t="shared" si="673"/>
        <v>1</v>
      </c>
      <c r="AE1639" s="109" t="str">
        <f t="shared" si="674"/>
        <v>0-0</v>
      </c>
      <c r="AF1639" s="109" t="str">
        <f t="shared" si="675"/>
        <v>Y</v>
      </c>
      <c r="AG1639" s="109" t="str">
        <f t="shared" si="676"/>
        <v>B</v>
      </c>
      <c r="AM1639" s="109">
        <f t="shared" si="677"/>
        <v>0</v>
      </c>
      <c r="AN1639" s="109">
        <f t="shared" si="678"/>
        <v>0</v>
      </c>
      <c r="AO1639" s="109" t="str">
        <f t="shared" si="679"/>
        <v/>
      </c>
      <c r="AQ1639" s="109" t="str">
        <f t="shared" si="680"/>
        <v/>
      </c>
      <c r="BA1639" s="229">
        <f>MOD(SUM(E1616:E1640),12)</f>
        <v>0</v>
      </c>
    </row>
    <row r="1640" spans="1:53" ht="15.75" thickBot="1" x14ac:dyDescent="0.3">
      <c r="A1640" s="88"/>
      <c r="B1640" s="66" t="s">
        <v>302</v>
      </c>
      <c r="C1640" s="67"/>
      <c r="D1640" s="102"/>
      <c r="E1640" s="32"/>
      <c r="F1640" s="32"/>
      <c r="G1640" s="68" t="s">
        <v>277</v>
      </c>
      <c r="H1640" s="69">
        <f t="shared" si="681"/>
        <v>0</v>
      </c>
      <c r="I1640" s="70">
        <f t="shared" si="682"/>
        <v>0</v>
      </c>
      <c r="J1640" s="73" t="str">
        <f t="shared" si="683"/>
        <v>--</v>
      </c>
      <c r="K1640" s="32"/>
      <c r="L1640" s="234"/>
      <c r="M1640" s="277"/>
      <c r="N1640" s="277"/>
      <c r="O1640" s="277"/>
      <c r="P1640" s="277"/>
      <c r="Q1640" s="277"/>
      <c r="R1640" s="277"/>
      <c r="S1640" s="277"/>
      <c r="T1640" s="277"/>
      <c r="U1640" s="278"/>
      <c r="V1640" s="103"/>
      <c r="W1640" s="72"/>
      <c r="X1640" s="72"/>
      <c r="Y1640" s="78">
        <f>SUM(E1616:E1640)</f>
        <v>0</v>
      </c>
      <c r="Z1640" s="72" t="str">
        <f t="shared" si="686"/>
        <v/>
      </c>
      <c r="AA1640" s="72" t="str">
        <f t="shared" si="687"/>
        <v/>
      </c>
      <c r="AB1640" s="72"/>
      <c r="AC1640" s="72">
        <f t="shared" si="672"/>
        <v>1</v>
      </c>
      <c r="AD1640" s="72">
        <f t="shared" si="673"/>
        <v>1</v>
      </c>
      <c r="AE1640" s="109" t="str">
        <f t="shared" si="674"/>
        <v>0-0</v>
      </c>
      <c r="AF1640" s="109" t="str">
        <f t="shared" si="675"/>
        <v>Y</v>
      </c>
      <c r="AG1640" s="109" t="str">
        <f t="shared" si="676"/>
        <v>B</v>
      </c>
      <c r="AM1640" s="109">
        <f t="shared" si="677"/>
        <v>0</v>
      </c>
      <c r="AN1640" s="109">
        <f t="shared" si="678"/>
        <v>0</v>
      </c>
      <c r="AO1640" s="109" t="str">
        <f t="shared" si="679"/>
        <v/>
      </c>
      <c r="AQ1640" s="109" t="str">
        <f t="shared" si="680"/>
        <v/>
      </c>
      <c r="BA1640" s="228"/>
    </row>
    <row r="1641" spans="1:53" ht="16.5" thickBot="1" x14ac:dyDescent="0.3">
      <c r="A1641" s="88"/>
      <c r="B1641" s="319" t="s">
        <v>383</v>
      </c>
      <c r="C1641" s="320"/>
      <c r="D1641" s="79"/>
      <c r="E1641" s="80"/>
      <c r="F1641" s="80"/>
      <c r="G1641" s="81"/>
      <c r="H1641" s="192"/>
      <c r="I1641" s="192"/>
      <c r="J1641" s="192"/>
      <c r="K1641" s="82"/>
      <c r="L1641" s="319" t="s">
        <v>306</v>
      </c>
      <c r="M1641" s="330"/>
      <c r="N1641" s="330"/>
      <c r="O1641" s="330"/>
      <c r="P1641" s="330"/>
      <c r="Q1641" s="330"/>
      <c r="R1641" s="330"/>
      <c r="S1641" s="330"/>
      <c r="T1641" s="330"/>
      <c r="U1641" s="320"/>
      <c r="V1641" s="104"/>
      <c r="W1641" s="72"/>
      <c r="X1641" s="72"/>
      <c r="Y1641" s="72"/>
      <c r="Z1641" s="72"/>
      <c r="AA1641" s="72" t="str">
        <f t="shared" si="687"/>
        <v/>
      </c>
      <c r="AB1641" s="72"/>
      <c r="AC1641" s="72">
        <f>SUM(AC1616:AC1640)</f>
        <v>25</v>
      </c>
      <c r="AD1641" s="72">
        <f>SUM(AD1616:AD1640)</f>
        <v>25</v>
      </c>
      <c r="AE1641" s="109" t="str">
        <f t="shared" si="674"/>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319" t="s">
        <v>307</v>
      </c>
      <c r="C1642" s="320"/>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87"/>
        <v/>
      </c>
      <c r="AB1642" s="72"/>
      <c r="AC1642" s="72"/>
      <c r="AD1642" s="72"/>
      <c r="AE1642" s="109" t="str">
        <f t="shared" si="674"/>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312" t="s">
        <v>222</v>
      </c>
      <c r="C1646" s="313"/>
      <c r="D1646" s="314" t="s">
        <v>223</v>
      </c>
      <c r="E1646" s="305"/>
      <c r="F1646" s="88"/>
      <c r="G1646" s="315" t="s">
        <v>224</v>
      </c>
      <c r="H1646" s="316"/>
      <c r="I1646" s="28">
        <f>SUM(E1657:E1681)</f>
        <v>0</v>
      </c>
      <c r="J1646" s="317" t="s">
        <v>225</v>
      </c>
      <c r="K1646" s="318"/>
      <c r="L1646" s="305"/>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5" t="s">
        <v>226</v>
      </c>
      <c r="AA1646" s="296"/>
      <c r="AB1646" s="297"/>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4" t="s">
        <v>230</v>
      </c>
      <c r="H1647" s="305"/>
      <c r="I1647" s="33">
        <f>E1648-I1646</f>
        <v>0</v>
      </c>
      <c r="J1647" s="289" t="s">
        <v>231</v>
      </c>
      <c r="K1647" s="290"/>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298" t="s">
        <v>232</v>
      </c>
      <c r="AA1647" s="300" t="s">
        <v>233</v>
      </c>
      <c r="AB1647" s="301"/>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291" t="s">
        <v>237</v>
      </c>
      <c r="H1648" s="292"/>
      <c r="I1648" s="35">
        <f>IF(E1648=0,0,12-(MOD(I1646,12)))</f>
        <v>0</v>
      </c>
      <c r="J1648" s="289" t="s">
        <v>238</v>
      </c>
      <c r="K1648" s="290"/>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299"/>
      <c r="AA1648" s="302"/>
      <c r="AB1648" s="303"/>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321" t="s">
        <v>242</v>
      </c>
      <c r="H1649" s="43" t="s">
        <v>243</v>
      </c>
      <c r="I1649" s="35">
        <f>IF(E1649&lt;&gt;0,1,0)</f>
        <v>0</v>
      </c>
      <c r="J1649" s="291" t="s">
        <v>244</v>
      </c>
      <c r="K1649" s="292"/>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322"/>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321" t="s">
        <v>251</v>
      </c>
      <c r="H1651" s="51" t="s">
        <v>252</v>
      </c>
      <c r="I1651" s="112">
        <f>E1650</f>
        <v>0</v>
      </c>
      <c r="J1651" s="323" t="s">
        <v>253</v>
      </c>
      <c r="K1651" s="324"/>
      <c r="L1651" s="325"/>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322"/>
      <c r="H1652" s="47" t="s">
        <v>257</v>
      </c>
      <c r="I1652" s="35" t="str">
        <f>IF(E1650="","0",IF(AND(E1647="EUC",E1648=432), I1651+(203-E1649),IF(E1650=0,0,(E1650+(E1648-E1649)-1))))</f>
        <v>0</v>
      </c>
      <c r="J1652" s="285" t="str">
        <f>IFERROR(IF(OR(E1647="EUC",E1647="SS"),"---",IF(OR(P1646,S1646),"NO 2F Tethers for RPX!",IF(OR(P1648,S1648),"NO 6F Tethers for RPX!","---"))),"---")</f>
        <v>---</v>
      </c>
      <c r="K1652" s="286"/>
      <c r="L1652" s="287"/>
      <c r="M1652" s="285" t="str">
        <f>IF(E1649&gt;60,"Dead Count &gt;60: Consider Downsize","---")</f>
        <v>---</v>
      </c>
      <c r="N1652" s="286"/>
      <c r="O1652" s="286"/>
      <c r="P1652" s="286"/>
      <c r="Q1652" s="286"/>
      <c r="R1652" s="286"/>
      <c r="S1652" s="286"/>
      <c r="T1652" s="286"/>
      <c r="U1652" s="287"/>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85"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86"/>
      <c r="L1653" s="287"/>
      <c r="M1653" s="285" t="str">
        <f>IF(AND(OR(E1647="SS",E1647="RPX",E1647="EUC",E1647="RPX-T"),(OR(C1657="",C1657="Field SPL"))),"Cannot have FlexNap cables without tethers","---")</f>
        <v>---</v>
      </c>
      <c r="N1653" s="286"/>
      <c r="O1653" s="286"/>
      <c r="P1653" s="286"/>
      <c r="Q1653" s="286"/>
      <c r="R1653" s="286"/>
      <c r="S1653" s="286"/>
      <c r="T1653" s="286"/>
      <c r="U1653" s="287"/>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85" t="str">
        <f>IF(AND(OR(E1647="RPX", E1647="RPX-T", E1647="SS"),E1648=216),"NO 216 For RPX, RPX-T, OR SS CABLE","---")</f>
        <v>---</v>
      </c>
      <c r="K1654" s="286"/>
      <c r="L1654" s="287"/>
      <c r="M1654" s="285" t="str" cm="1">
        <f t="array" ref="M1654">IF(AND(E1647="",OR(C1657:C1681="FST",C1657:C1681="REV T",C1657:C1681="DBL REV",C1657:C1681="TPL REV", C1657:C1681="QD REV")),"Non-FlexNap cables cannot have tethers","---")</f>
        <v>---</v>
      </c>
      <c r="N1654" s="286"/>
      <c r="O1654" s="286"/>
      <c r="P1654" s="286"/>
      <c r="Q1654" s="286"/>
      <c r="R1654" s="286"/>
      <c r="S1654" s="286"/>
      <c r="T1654" s="286"/>
      <c r="U1654" s="287"/>
      <c r="V1654" s="25"/>
      <c r="W1654" s="58"/>
      <c r="X1654" s="58"/>
      <c r="Y1654" s="25"/>
      <c r="Z1654" s="45">
        <v>6</v>
      </c>
      <c r="AA1654" s="65">
        <v>61</v>
      </c>
      <c r="AB1654" s="65">
        <v>72</v>
      </c>
      <c r="AC1654" s="25"/>
      <c r="AD1654" s="25"/>
      <c r="BA1654" s="226"/>
    </row>
    <row r="1655" spans="1:53" ht="15.75" customHeight="1" thickBot="1" x14ac:dyDescent="0.3">
      <c r="A1655" s="88"/>
      <c r="B1655" s="321" t="s">
        <v>260</v>
      </c>
      <c r="C1655" s="293" t="s">
        <v>261</v>
      </c>
      <c r="D1655" s="293" t="s">
        <v>262</v>
      </c>
      <c r="E1655" s="306" t="s">
        <v>263</v>
      </c>
      <c r="F1655" s="293" t="s">
        <v>264</v>
      </c>
      <c r="G1655" s="308" t="s">
        <v>265</v>
      </c>
      <c r="H1655" s="308" t="s">
        <v>266</v>
      </c>
      <c r="I1655" s="308" t="s">
        <v>267</v>
      </c>
      <c r="J1655" s="310" t="s">
        <v>268</v>
      </c>
      <c r="K1655" s="293" t="s">
        <v>269</v>
      </c>
      <c r="L1655" s="279" t="s">
        <v>270</v>
      </c>
      <c r="M1655" s="281" t="s">
        <v>271</v>
      </c>
      <c r="N1655" s="281"/>
      <c r="O1655" s="281"/>
      <c r="P1655" s="281"/>
      <c r="Q1655" s="281"/>
      <c r="R1655" s="281"/>
      <c r="S1655" s="281"/>
      <c r="T1655" s="281"/>
      <c r="U1655" s="282"/>
      <c r="V1655" s="107"/>
      <c r="W1655" s="72"/>
      <c r="X1655" s="72"/>
      <c r="Y1655" s="72"/>
      <c r="Z1655" s="45">
        <v>7</v>
      </c>
      <c r="AA1655" s="65">
        <v>73</v>
      </c>
      <c r="AB1655" s="65">
        <v>84</v>
      </c>
      <c r="AC1655" s="25"/>
      <c r="AD1655" s="25"/>
      <c r="BA1655" s="228"/>
    </row>
    <row r="1656" spans="1:53" ht="15.75" thickBot="1" x14ac:dyDescent="0.3">
      <c r="A1656" s="88"/>
      <c r="B1656" s="322"/>
      <c r="C1656" s="294"/>
      <c r="D1656" s="294"/>
      <c r="E1656" s="307"/>
      <c r="F1656" s="294"/>
      <c r="G1656" s="309"/>
      <c r="H1656" s="309"/>
      <c r="I1656" s="309"/>
      <c r="J1656" s="311"/>
      <c r="K1656" s="294"/>
      <c r="L1656" s="280"/>
      <c r="M1656" s="283"/>
      <c r="N1656" s="283"/>
      <c r="O1656" s="283"/>
      <c r="P1656" s="283"/>
      <c r="Q1656" s="283"/>
      <c r="R1656" s="283"/>
      <c r="S1656" s="283"/>
      <c r="T1656" s="283"/>
      <c r="U1656" s="284"/>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77"/>
      <c r="N1657" s="277"/>
      <c r="O1657" s="277"/>
      <c r="P1657" s="277"/>
      <c r="Q1657" s="277"/>
      <c r="R1657" s="277"/>
      <c r="S1657" s="277"/>
      <c r="T1657" s="277"/>
      <c r="U1657" s="278"/>
      <c r="V1657" s="103"/>
      <c r="W1657" s="72"/>
      <c r="X1657" s="72"/>
      <c r="Y1657" s="72"/>
      <c r="Z1657" s="45">
        <v>9</v>
      </c>
      <c r="AA1657" s="46">
        <v>97</v>
      </c>
      <c r="AB1657" s="46">
        <v>108</v>
      </c>
      <c r="AC1657" s="72">
        <f t="shared" ref="AC1657:AC1681" si="689">IF(B1657&lt;&gt;"FST",1,0)</f>
        <v>1</v>
      </c>
      <c r="AD1657" s="72">
        <f t="shared" ref="AD1657:AD1681" si="690">IF(C1657&lt;&gt;"FST",1,0)</f>
        <v>1</v>
      </c>
      <c r="AE1657" s="109" t="str">
        <f t="shared" ref="AE1657:AE1683" si="691">CONCATENATE(H1657,"-",I1657)</f>
        <v>0-0</v>
      </c>
      <c r="AF1657" s="109" t="str">
        <f t="shared" ref="AF1657:AF1681" si="692">IF(C1657="Field SPL","N","Y")</f>
        <v>Y</v>
      </c>
      <c r="AG1657" s="109" t="str">
        <f t="shared" ref="AG1657:AG1681" si="693">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94">VALUE(IF(C1657="FST","0",IF(C1657="REV T","1",IF(C1657="DBL REV",".5","0"))))</f>
        <v>0</v>
      </c>
      <c r="AN1657" s="109">
        <f t="shared" ref="AN1657:AN1681" si="695">VALUE(IF(C1657="FST","0",IF(C1657="REV T","0",IF(C1657="DBL REV",".5","0"))))</f>
        <v>0</v>
      </c>
      <c r="AO1657" s="109" t="str">
        <f t="shared" ref="AO1657:AO1681" si="696">IF(C1657="TPL REV","Y","")</f>
        <v/>
      </c>
      <c r="AQ1657" s="109" t="str">
        <f t="shared" ref="AQ1657:AQ1681" si="697">IF(C1657="QD REV","Y","")</f>
        <v/>
      </c>
      <c r="BA1657" s="229">
        <f>MOD(E1657,12)</f>
        <v>0</v>
      </c>
    </row>
    <row r="1658" spans="1:53" ht="15.75" thickBot="1" x14ac:dyDescent="0.3">
      <c r="A1658" s="88"/>
      <c r="B1658" s="66" t="s">
        <v>279</v>
      </c>
      <c r="C1658" s="67"/>
      <c r="D1658" s="102"/>
      <c r="E1658" s="32"/>
      <c r="F1658" s="32"/>
      <c r="G1658" s="68" t="s">
        <v>277</v>
      </c>
      <c r="H1658" s="69">
        <f t="shared" ref="H1658:H1681" si="698">IF(E1658=0,0,I1658-(E1658-1))</f>
        <v>0</v>
      </c>
      <c r="I1658" s="70">
        <f t="shared" ref="I1658:I1681" si="699">IF(E1658=0,0,H1657-1)</f>
        <v>0</v>
      </c>
      <c r="J1658" s="73" t="str">
        <f>IF(C1658="","--",IF(AND(C1658&lt;&gt;"FST",C1658&lt;&gt;"TCF",BA1657&lt;&gt;0),BA1657,"--"))</f>
        <v>--</v>
      </c>
      <c r="K1658" s="32"/>
      <c r="L1658" s="233"/>
      <c r="M1658" s="277"/>
      <c r="N1658" s="277"/>
      <c r="O1658" s="277"/>
      <c r="P1658" s="277"/>
      <c r="Q1658" s="277"/>
      <c r="R1658" s="277"/>
      <c r="S1658" s="277"/>
      <c r="T1658" s="277"/>
      <c r="U1658" s="278"/>
      <c r="V1658" s="103"/>
      <c r="W1658" s="72"/>
      <c r="X1658" s="72"/>
      <c r="Y1658" s="72"/>
      <c r="Z1658" s="45">
        <v>10</v>
      </c>
      <c r="AA1658" s="46">
        <v>109</v>
      </c>
      <c r="AB1658" s="46">
        <v>120</v>
      </c>
      <c r="AC1658" s="72">
        <f t="shared" si="689"/>
        <v>1</v>
      </c>
      <c r="AD1658" s="72">
        <f t="shared" si="690"/>
        <v>1</v>
      </c>
      <c r="AE1658" s="109" t="str">
        <f t="shared" si="691"/>
        <v>0-0</v>
      </c>
      <c r="AF1658" s="109" t="str">
        <f t="shared" si="692"/>
        <v>Y</v>
      </c>
      <c r="AG1658" s="109" t="str">
        <f t="shared" si="693"/>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94"/>
        <v>0</v>
      </c>
      <c r="AN1658" s="109">
        <f t="shared" si="695"/>
        <v>0</v>
      </c>
      <c r="AO1658" s="109" t="str">
        <f t="shared" si="696"/>
        <v/>
      </c>
      <c r="AQ1658" s="109" t="str">
        <f t="shared" si="697"/>
        <v/>
      </c>
      <c r="BA1658" s="229">
        <f>MOD(SUM(E1657:E1658),12)</f>
        <v>0</v>
      </c>
    </row>
    <row r="1659" spans="1:53" ht="15.75" thickBot="1" x14ac:dyDescent="0.3">
      <c r="A1659" s="88"/>
      <c r="B1659" s="74" t="s">
        <v>280</v>
      </c>
      <c r="C1659" s="67"/>
      <c r="D1659" s="102"/>
      <c r="E1659" s="32"/>
      <c r="F1659" s="32"/>
      <c r="G1659" s="75" t="s">
        <v>277</v>
      </c>
      <c r="H1659" s="69">
        <f t="shared" si="698"/>
        <v>0</v>
      </c>
      <c r="I1659" s="70">
        <f t="shared" si="699"/>
        <v>0</v>
      </c>
      <c r="J1659" s="73" t="str">
        <f t="shared" ref="J1659:J1681" si="700">IF(C1659="","--",IF(AND(C1659&lt;&gt;"FST",C1659&lt;&gt;"TCF",BA1658&lt;&gt;0),BA1658,"--"))</f>
        <v>--</v>
      </c>
      <c r="K1659" s="32"/>
      <c r="L1659" s="233"/>
      <c r="M1659" s="277"/>
      <c r="N1659" s="277"/>
      <c r="O1659" s="277"/>
      <c r="P1659" s="277"/>
      <c r="Q1659" s="277"/>
      <c r="R1659" s="277"/>
      <c r="S1659" s="277"/>
      <c r="T1659" s="277"/>
      <c r="U1659" s="278"/>
      <c r="V1659" s="103"/>
      <c r="W1659" s="72"/>
      <c r="X1659" s="72"/>
      <c r="Y1659" s="72"/>
      <c r="Z1659" s="45">
        <v>11</v>
      </c>
      <c r="AA1659" s="46">
        <v>121</v>
      </c>
      <c r="AB1659" s="46">
        <v>132</v>
      </c>
      <c r="AC1659" s="72">
        <f t="shared" si="689"/>
        <v>1</v>
      </c>
      <c r="AD1659" s="72">
        <f t="shared" si="690"/>
        <v>1</v>
      </c>
      <c r="AE1659" s="109" t="str">
        <f t="shared" si="691"/>
        <v>0-0</v>
      </c>
      <c r="AF1659" s="109" t="str">
        <f t="shared" si="692"/>
        <v>Y</v>
      </c>
      <c r="AG1659" s="109" t="str">
        <f t="shared" si="693"/>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94"/>
        <v>0</v>
      </c>
      <c r="AN1659" s="109">
        <f t="shared" si="695"/>
        <v>0</v>
      </c>
      <c r="AO1659" s="109" t="str">
        <f t="shared" si="696"/>
        <v/>
      </c>
      <c r="AQ1659" s="109" t="str">
        <f t="shared" si="697"/>
        <v/>
      </c>
      <c r="BA1659" s="229">
        <f>MOD(SUM(E1657:E1660),12)</f>
        <v>0</v>
      </c>
    </row>
    <row r="1660" spans="1:53" ht="15.75" thickBot="1" x14ac:dyDescent="0.3">
      <c r="A1660" s="88"/>
      <c r="B1660" s="66" t="s">
        <v>281</v>
      </c>
      <c r="C1660" s="67"/>
      <c r="D1660" s="102"/>
      <c r="E1660" s="32"/>
      <c r="F1660" s="32"/>
      <c r="G1660" s="68" t="s">
        <v>277</v>
      </c>
      <c r="H1660" s="69">
        <f t="shared" si="698"/>
        <v>0</v>
      </c>
      <c r="I1660" s="70">
        <f t="shared" si="699"/>
        <v>0</v>
      </c>
      <c r="J1660" s="73" t="str">
        <f t="shared" si="700"/>
        <v>--</v>
      </c>
      <c r="K1660" s="32"/>
      <c r="L1660" s="233"/>
      <c r="M1660" s="277"/>
      <c r="N1660" s="277"/>
      <c r="O1660" s="277"/>
      <c r="P1660" s="277"/>
      <c r="Q1660" s="277"/>
      <c r="R1660" s="277"/>
      <c r="S1660" s="277"/>
      <c r="T1660" s="277"/>
      <c r="U1660" s="278"/>
      <c r="V1660" s="103"/>
      <c r="W1660" s="72"/>
      <c r="X1660" s="72"/>
      <c r="Y1660" s="72"/>
      <c r="Z1660" s="45">
        <v>12</v>
      </c>
      <c r="AA1660" s="76">
        <v>133</v>
      </c>
      <c r="AB1660" s="76">
        <v>144</v>
      </c>
      <c r="AC1660" s="72">
        <f t="shared" si="689"/>
        <v>1</v>
      </c>
      <c r="AD1660" s="72">
        <f t="shared" si="690"/>
        <v>1</v>
      </c>
      <c r="AE1660" s="109" t="str">
        <f t="shared" si="691"/>
        <v>0-0</v>
      </c>
      <c r="AF1660" s="109" t="str">
        <f t="shared" si="692"/>
        <v>Y</v>
      </c>
      <c r="AG1660" s="109" t="str">
        <f t="shared" si="693"/>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94"/>
        <v>0</v>
      </c>
      <c r="AN1660" s="109">
        <f t="shared" si="695"/>
        <v>0</v>
      </c>
      <c r="AO1660" s="109" t="str">
        <f t="shared" si="696"/>
        <v/>
      </c>
      <c r="AQ1660" s="109" t="str">
        <f t="shared" si="697"/>
        <v/>
      </c>
      <c r="BA1660" s="229">
        <f>MOD(SUM(E1657:E1661),12)</f>
        <v>0</v>
      </c>
    </row>
    <row r="1661" spans="1:53" ht="15.75" thickBot="1" x14ac:dyDescent="0.3">
      <c r="A1661" s="88"/>
      <c r="B1661" s="66" t="s">
        <v>282</v>
      </c>
      <c r="C1661" s="67"/>
      <c r="D1661" s="102"/>
      <c r="E1661" s="32"/>
      <c r="F1661" s="32"/>
      <c r="G1661" s="68" t="s">
        <v>277</v>
      </c>
      <c r="H1661" s="69">
        <f t="shared" si="698"/>
        <v>0</v>
      </c>
      <c r="I1661" s="70">
        <f t="shared" si="699"/>
        <v>0</v>
      </c>
      <c r="J1661" s="73" t="str">
        <f t="shared" si="700"/>
        <v>--</v>
      </c>
      <c r="K1661" s="32"/>
      <c r="L1661" s="233"/>
      <c r="M1661" s="277"/>
      <c r="N1661" s="277"/>
      <c r="O1661" s="277"/>
      <c r="P1661" s="277"/>
      <c r="Q1661" s="277"/>
      <c r="R1661" s="277"/>
      <c r="S1661" s="277"/>
      <c r="T1661" s="277"/>
      <c r="U1661" s="278"/>
      <c r="V1661" s="103"/>
      <c r="W1661" s="72"/>
      <c r="X1661" s="72"/>
      <c r="Y1661" s="72"/>
      <c r="Z1661" s="45">
        <v>13</v>
      </c>
      <c r="AA1661" s="77">
        <f t="shared" ref="AA1661:AA1666" si="701">AB1660+1</f>
        <v>145</v>
      </c>
      <c r="AB1661" s="77">
        <f t="shared" ref="AB1661:AB1666" si="702">AB1660+12</f>
        <v>156</v>
      </c>
      <c r="AC1661" s="72">
        <f t="shared" si="689"/>
        <v>1</v>
      </c>
      <c r="AD1661" s="72">
        <f t="shared" si="690"/>
        <v>1</v>
      </c>
      <c r="AE1661" s="109" t="str">
        <f t="shared" si="691"/>
        <v>0-0</v>
      </c>
      <c r="AF1661" s="109" t="str">
        <f t="shared" si="692"/>
        <v>Y</v>
      </c>
      <c r="AG1661" s="109" t="str">
        <f t="shared" si="693"/>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94"/>
        <v>0</v>
      </c>
      <c r="AN1661" s="109">
        <f t="shared" si="695"/>
        <v>0</v>
      </c>
      <c r="AO1661" s="109" t="str">
        <f t="shared" si="696"/>
        <v/>
      </c>
      <c r="AQ1661" s="109" t="str">
        <f t="shared" si="697"/>
        <v/>
      </c>
      <c r="BA1661" s="229">
        <f>MOD(SUM(E1657:E1662),12)</f>
        <v>0</v>
      </c>
    </row>
    <row r="1662" spans="1:53" ht="15.75" thickBot="1" x14ac:dyDescent="0.3">
      <c r="A1662" s="88"/>
      <c r="B1662" s="66" t="s">
        <v>283</v>
      </c>
      <c r="C1662" s="67"/>
      <c r="D1662" s="102"/>
      <c r="E1662" s="32"/>
      <c r="F1662" s="32"/>
      <c r="G1662" s="68" t="s">
        <v>277</v>
      </c>
      <c r="H1662" s="69">
        <f t="shared" si="698"/>
        <v>0</v>
      </c>
      <c r="I1662" s="70">
        <f t="shared" si="699"/>
        <v>0</v>
      </c>
      <c r="J1662" s="73" t="str">
        <f t="shared" si="700"/>
        <v>--</v>
      </c>
      <c r="K1662" s="32"/>
      <c r="L1662" s="233"/>
      <c r="M1662" s="277"/>
      <c r="N1662" s="277"/>
      <c r="O1662" s="277"/>
      <c r="P1662" s="277"/>
      <c r="Q1662" s="277"/>
      <c r="R1662" s="277"/>
      <c r="S1662" s="277"/>
      <c r="T1662" s="277"/>
      <c r="U1662" s="278"/>
      <c r="V1662" s="103"/>
      <c r="W1662" s="72"/>
      <c r="X1662" s="72"/>
      <c r="Y1662" s="72"/>
      <c r="Z1662" s="45">
        <v>14</v>
      </c>
      <c r="AA1662" s="77">
        <f t="shared" si="701"/>
        <v>157</v>
      </c>
      <c r="AB1662" s="77">
        <f t="shared" si="702"/>
        <v>168</v>
      </c>
      <c r="AC1662" s="72">
        <f t="shared" si="689"/>
        <v>1</v>
      </c>
      <c r="AD1662" s="72">
        <f t="shared" si="690"/>
        <v>1</v>
      </c>
      <c r="AE1662" s="109" t="str">
        <f t="shared" si="691"/>
        <v>0-0</v>
      </c>
      <c r="AF1662" s="109" t="str">
        <f t="shared" si="692"/>
        <v>Y</v>
      </c>
      <c r="AG1662" s="109" t="str">
        <f t="shared" si="693"/>
        <v>B</v>
      </c>
      <c r="AM1662" s="109">
        <f t="shared" si="694"/>
        <v>0</v>
      </c>
      <c r="AN1662" s="109">
        <f t="shared" si="695"/>
        <v>0</v>
      </c>
      <c r="AO1662" s="109" t="str">
        <f t="shared" si="696"/>
        <v/>
      </c>
      <c r="AQ1662" s="109" t="str">
        <f t="shared" si="697"/>
        <v/>
      </c>
      <c r="BA1662" s="229">
        <f>MOD(SUM(E1657:E1663),12)</f>
        <v>0</v>
      </c>
    </row>
    <row r="1663" spans="1:53" ht="15.75" thickBot="1" x14ac:dyDescent="0.3">
      <c r="A1663" s="88"/>
      <c r="B1663" s="66" t="s">
        <v>284</v>
      </c>
      <c r="C1663" s="67"/>
      <c r="D1663" s="102"/>
      <c r="E1663" s="32"/>
      <c r="F1663" s="32"/>
      <c r="G1663" s="68" t="s">
        <v>277</v>
      </c>
      <c r="H1663" s="69">
        <f t="shared" si="698"/>
        <v>0</v>
      </c>
      <c r="I1663" s="70">
        <f t="shared" si="699"/>
        <v>0</v>
      </c>
      <c r="J1663" s="73" t="str">
        <f t="shared" si="700"/>
        <v>--</v>
      </c>
      <c r="K1663" s="32"/>
      <c r="L1663" s="233"/>
      <c r="M1663" s="277"/>
      <c r="N1663" s="277"/>
      <c r="O1663" s="277"/>
      <c r="P1663" s="277"/>
      <c r="Q1663" s="277"/>
      <c r="R1663" s="277"/>
      <c r="S1663" s="277"/>
      <c r="T1663" s="277"/>
      <c r="U1663" s="278"/>
      <c r="V1663" s="103"/>
      <c r="W1663" s="72"/>
      <c r="X1663" s="72"/>
      <c r="Y1663" s="72"/>
      <c r="Z1663" s="45">
        <v>15</v>
      </c>
      <c r="AA1663" s="77">
        <f t="shared" si="701"/>
        <v>169</v>
      </c>
      <c r="AB1663" s="77">
        <f t="shared" si="702"/>
        <v>180</v>
      </c>
      <c r="AC1663" s="72">
        <f t="shared" si="689"/>
        <v>1</v>
      </c>
      <c r="AD1663" s="72">
        <f t="shared" si="690"/>
        <v>1</v>
      </c>
      <c r="AE1663" s="109" t="str">
        <f t="shared" si="691"/>
        <v>0-0</v>
      </c>
      <c r="AF1663" s="109" t="str">
        <f t="shared" si="692"/>
        <v>Y</v>
      </c>
      <c r="AG1663" s="109" t="str">
        <f t="shared" si="693"/>
        <v>B</v>
      </c>
      <c r="AM1663" s="109">
        <f t="shared" si="694"/>
        <v>0</v>
      </c>
      <c r="AN1663" s="109">
        <f t="shared" si="695"/>
        <v>0</v>
      </c>
      <c r="AO1663" s="109" t="str">
        <f t="shared" si="696"/>
        <v/>
      </c>
      <c r="AQ1663" s="109" t="str">
        <f t="shared" si="697"/>
        <v/>
      </c>
      <c r="BA1663" s="229">
        <f>MOD(SUM(E1657:E1664),12)</f>
        <v>0</v>
      </c>
    </row>
    <row r="1664" spans="1:53" ht="15.75" thickBot="1" x14ac:dyDescent="0.3">
      <c r="A1664" s="88"/>
      <c r="B1664" s="66" t="s">
        <v>285</v>
      </c>
      <c r="C1664" s="67"/>
      <c r="D1664" s="102"/>
      <c r="E1664" s="32"/>
      <c r="F1664" s="32"/>
      <c r="G1664" s="68" t="s">
        <v>277</v>
      </c>
      <c r="H1664" s="69">
        <f t="shared" si="698"/>
        <v>0</v>
      </c>
      <c r="I1664" s="70">
        <f t="shared" si="699"/>
        <v>0</v>
      </c>
      <c r="J1664" s="73" t="str">
        <f t="shared" si="700"/>
        <v>--</v>
      </c>
      <c r="K1664" s="32"/>
      <c r="L1664" s="233"/>
      <c r="M1664" s="277"/>
      <c r="N1664" s="277"/>
      <c r="O1664" s="277"/>
      <c r="P1664" s="277"/>
      <c r="Q1664" s="277"/>
      <c r="R1664" s="277"/>
      <c r="S1664" s="277"/>
      <c r="T1664" s="277"/>
      <c r="U1664" s="278"/>
      <c r="V1664" s="103"/>
      <c r="W1664" s="72"/>
      <c r="X1664" s="72"/>
      <c r="Y1664" s="72"/>
      <c r="Z1664" s="45">
        <f>Z1663+1</f>
        <v>16</v>
      </c>
      <c r="AA1664" s="77">
        <f t="shared" si="701"/>
        <v>181</v>
      </c>
      <c r="AB1664" s="77">
        <f t="shared" si="702"/>
        <v>192</v>
      </c>
      <c r="AC1664" s="72">
        <f t="shared" si="689"/>
        <v>1</v>
      </c>
      <c r="AD1664" s="72">
        <f t="shared" si="690"/>
        <v>1</v>
      </c>
      <c r="AE1664" s="109" t="str">
        <f t="shared" si="691"/>
        <v>0-0</v>
      </c>
      <c r="AF1664" s="109" t="str">
        <f t="shared" si="692"/>
        <v>Y</v>
      </c>
      <c r="AG1664" s="109" t="str">
        <f t="shared" si="693"/>
        <v>B</v>
      </c>
      <c r="AM1664" s="109">
        <f t="shared" si="694"/>
        <v>0</v>
      </c>
      <c r="AN1664" s="109">
        <f t="shared" si="695"/>
        <v>0</v>
      </c>
      <c r="AO1664" s="109" t="str">
        <f t="shared" si="696"/>
        <v/>
      </c>
      <c r="AQ1664" s="109" t="str">
        <f t="shared" si="697"/>
        <v/>
      </c>
      <c r="BA1664" s="229">
        <f>MOD(SUM(E1657:E1665),12)</f>
        <v>0</v>
      </c>
    </row>
    <row r="1665" spans="1:53" ht="15.75" thickBot="1" x14ac:dyDescent="0.3">
      <c r="A1665" s="88"/>
      <c r="B1665" s="66" t="s">
        <v>286</v>
      </c>
      <c r="C1665" s="67"/>
      <c r="D1665" s="102"/>
      <c r="E1665" s="32"/>
      <c r="F1665" s="32"/>
      <c r="G1665" s="68" t="s">
        <v>277</v>
      </c>
      <c r="H1665" s="69">
        <f t="shared" si="698"/>
        <v>0</v>
      </c>
      <c r="I1665" s="70">
        <f t="shared" si="699"/>
        <v>0</v>
      </c>
      <c r="J1665" s="73" t="str">
        <f t="shared" si="700"/>
        <v>--</v>
      </c>
      <c r="K1665" s="32"/>
      <c r="L1665" s="233"/>
      <c r="M1665" s="277"/>
      <c r="N1665" s="277"/>
      <c r="O1665" s="277"/>
      <c r="P1665" s="277"/>
      <c r="Q1665" s="277"/>
      <c r="R1665" s="277"/>
      <c r="S1665" s="277"/>
      <c r="T1665" s="277"/>
      <c r="U1665" s="278"/>
      <c r="V1665" s="103"/>
      <c r="W1665" s="72"/>
      <c r="X1665" s="72"/>
      <c r="Y1665" s="72"/>
      <c r="Z1665" s="45">
        <f>Z1664+1</f>
        <v>17</v>
      </c>
      <c r="AA1665" s="77">
        <f t="shared" si="701"/>
        <v>193</v>
      </c>
      <c r="AB1665" s="77">
        <f t="shared" si="702"/>
        <v>204</v>
      </c>
      <c r="AC1665" s="72">
        <f t="shared" si="689"/>
        <v>1</v>
      </c>
      <c r="AD1665" s="72">
        <f t="shared" si="690"/>
        <v>1</v>
      </c>
      <c r="AE1665" s="109" t="str">
        <f t="shared" si="691"/>
        <v>0-0</v>
      </c>
      <c r="AF1665" s="109" t="str">
        <f t="shared" si="692"/>
        <v>Y</v>
      </c>
      <c r="AG1665" s="109" t="str">
        <f t="shared" si="693"/>
        <v>B</v>
      </c>
      <c r="AM1665" s="109">
        <f t="shared" si="694"/>
        <v>0</v>
      </c>
      <c r="AN1665" s="109">
        <f t="shared" si="695"/>
        <v>0</v>
      </c>
      <c r="AO1665" s="109" t="str">
        <f t="shared" si="696"/>
        <v/>
      </c>
      <c r="AQ1665" s="109" t="str">
        <f t="shared" si="697"/>
        <v/>
      </c>
      <c r="BA1665" s="229">
        <f>MOD(SUM(E1657:E1666),12)</f>
        <v>0</v>
      </c>
    </row>
    <row r="1666" spans="1:53" ht="15.75" thickBot="1" x14ac:dyDescent="0.3">
      <c r="A1666" s="88"/>
      <c r="B1666" s="66" t="s">
        <v>287</v>
      </c>
      <c r="C1666" s="67"/>
      <c r="D1666" s="102"/>
      <c r="E1666" s="32"/>
      <c r="F1666" s="32"/>
      <c r="G1666" s="68" t="s">
        <v>277</v>
      </c>
      <c r="H1666" s="69">
        <f t="shared" si="698"/>
        <v>0</v>
      </c>
      <c r="I1666" s="70">
        <f t="shared" si="699"/>
        <v>0</v>
      </c>
      <c r="J1666" s="73" t="str">
        <f t="shared" si="700"/>
        <v>--</v>
      </c>
      <c r="K1666" s="32"/>
      <c r="L1666" s="233"/>
      <c r="M1666" s="277"/>
      <c r="N1666" s="277"/>
      <c r="O1666" s="277"/>
      <c r="P1666" s="277"/>
      <c r="Q1666" s="277"/>
      <c r="R1666" s="277"/>
      <c r="S1666" s="277"/>
      <c r="T1666" s="277"/>
      <c r="U1666" s="278"/>
      <c r="V1666" s="103"/>
      <c r="W1666" s="72"/>
      <c r="X1666" s="72"/>
      <c r="Y1666" s="72"/>
      <c r="Z1666" s="45">
        <f>Z1665+1</f>
        <v>18</v>
      </c>
      <c r="AA1666" s="77">
        <f t="shared" si="701"/>
        <v>205</v>
      </c>
      <c r="AB1666" s="77">
        <f t="shared" si="702"/>
        <v>216</v>
      </c>
      <c r="AC1666" s="72">
        <f t="shared" si="689"/>
        <v>1</v>
      </c>
      <c r="AD1666" s="72">
        <f t="shared" si="690"/>
        <v>1</v>
      </c>
      <c r="AE1666" s="109" t="str">
        <f t="shared" si="691"/>
        <v>0-0</v>
      </c>
      <c r="AF1666" s="109" t="str">
        <f t="shared" si="692"/>
        <v>Y</v>
      </c>
      <c r="AG1666" s="109" t="str">
        <f t="shared" si="693"/>
        <v>B</v>
      </c>
      <c r="AM1666" s="109">
        <f t="shared" si="694"/>
        <v>0</v>
      </c>
      <c r="AN1666" s="109">
        <f t="shared" si="695"/>
        <v>0</v>
      </c>
      <c r="AO1666" s="109" t="str">
        <f t="shared" si="696"/>
        <v/>
      </c>
      <c r="AQ1666" s="109" t="str">
        <f t="shared" si="697"/>
        <v/>
      </c>
      <c r="BA1666" s="229">
        <f>MOD(SUM(E1657:E1667),12)</f>
        <v>0</v>
      </c>
    </row>
    <row r="1667" spans="1:53" ht="15.75" thickBot="1" x14ac:dyDescent="0.3">
      <c r="A1667" s="88"/>
      <c r="B1667" s="66" t="s">
        <v>288</v>
      </c>
      <c r="C1667" s="67"/>
      <c r="D1667" s="102"/>
      <c r="E1667" s="32"/>
      <c r="F1667" s="32"/>
      <c r="G1667" s="68" t="s">
        <v>277</v>
      </c>
      <c r="H1667" s="69">
        <f t="shared" si="698"/>
        <v>0</v>
      </c>
      <c r="I1667" s="70">
        <f t="shared" si="699"/>
        <v>0</v>
      </c>
      <c r="J1667" s="73" t="str">
        <f t="shared" si="700"/>
        <v>--</v>
      </c>
      <c r="K1667" s="32"/>
      <c r="L1667" s="233"/>
      <c r="M1667" s="277"/>
      <c r="N1667" s="277"/>
      <c r="O1667" s="277"/>
      <c r="P1667" s="277"/>
      <c r="Q1667" s="277"/>
      <c r="R1667" s="277"/>
      <c r="S1667" s="277"/>
      <c r="T1667" s="277"/>
      <c r="U1667" s="278"/>
      <c r="V1667" s="103"/>
      <c r="W1667" s="84"/>
      <c r="X1667" s="84"/>
      <c r="Y1667" s="72"/>
      <c r="Z1667" s="72"/>
      <c r="AA1667" s="72"/>
      <c r="AB1667" s="72"/>
      <c r="AC1667" s="72">
        <f t="shared" si="689"/>
        <v>1</v>
      </c>
      <c r="AD1667" s="72">
        <f t="shared" si="690"/>
        <v>1</v>
      </c>
      <c r="AE1667" s="109" t="str">
        <f t="shared" si="691"/>
        <v>0-0</v>
      </c>
      <c r="AF1667" s="109" t="str">
        <f t="shared" si="692"/>
        <v>Y</v>
      </c>
      <c r="AG1667" s="109" t="str">
        <f t="shared" si="693"/>
        <v>B</v>
      </c>
      <c r="AM1667" s="109">
        <f t="shared" si="694"/>
        <v>0</v>
      </c>
      <c r="AN1667" s="109">
        <f t="shared" si="695"/>
        <v>0</v>
      </c>
      <c r="AO1667" s="109" t="str">
        <f t="shared" si="696"/>
        <v/>
      </c>
      <c r="AQ1667" s="109" t="str">
        <f t="shared" si="697"/>
        <v/>
      </c>
      <c r="BA1667" s="229">
        <f>MOD(SUM(E1657:E1668),12)</f>
        <v>0</v>
      </c>
    </row>
    <row r="1668" spans="1:53" ht="15.75" thickBot="1" x14ac:dyDescent="0.3">
      <c r="A1668" s="88"/>
      <c r="B1668" s="66" t="s">
        <v>289</v>
      </c>
      <c r="C1668" s="67"/>
      <c r="D1668" s="102"/>
      <c r="E1668" s="32"/>
      <c r="F1668" s="32"/>
      <c r="G1668" s="68" t="s">
        <v>277</v>
      </c>
      <c r="H1668" s="69">
        <f t="shared" si="698"/>
        <v>0</v>
      </c>
      <c r="I1668" s="70">
        <f t="shared" si="699"/>
        <v>0</v>
      </c>
      <c r="J1668" s="73" t="str">
        <f t="shared" si="700"/>
        <v>--</v>
      </c>
      <c r="K1668" s="32"/>
      <c r="L1668" s="233"/>
      <c r="M1668" s="277"/>
      <c r="N1668" s="277"/>
      <c r="O1668" s="277"/>
      <c r="P1668" s="277"/>
      <c r="Q1668" s="277"/>
      <c r="R1668" s="277"/>
      <c r="S1668" s="277"/>
      <c r="T1668" s="277"/>
      <c r="U1668" s="278"/>
      <c r="V1668" s="103"/>
      <c r="W1668" s="84">
        <f>Y1668+1</f>
        <v>1</v>
      </c>
      <c r="X1668" s="84"/>
      <c r="Y1668" s="78">
        <f>SUM(E1657:E1668)</f>
        <v>0</v>
      </c>
      <c r="Z1668" s="72"/>
      <c r="AA1668" s="72"/>
      <c r="AB1668" s="72"/>
      <c r="AC1668" s="72">
        <f t="shared" si="689"/>
        <v>1</v>
      </c>
      <c r="AD1668" s="72">
        <f t="shared" si="690"/>
        <v>1</v>
      </c>
      <c r="AE1668" s="109" t="str">
        <f t="shared" si="691"/>
        <v>0-0</v>
      </c>
      <c r="AF1668" s="109" t="str">
        <f t="shared" si="692"/>
        <v>Y</v>
      </c>
      <c r="AG1668" s="109" t="str">
        <f t="shared" si="693"/>
        <v>B</v>
      </c>
      <c r="AM1668" s="109">
        <f t="shared" si="694"/>
        <v>0</v>
      </c>
      <c r="AN1668" s="109">
        <f t="shared" si="695"/>
        <v>0</v>
      </c>
      <c r="AO1668" s="109" t="str">
        <f t="shared" si="696"/>
        <v/>
      </c>
      <c r="AQ1668" s="109" t="str">
        <f t="shared" si="697"/>
        <v/>
      </c>
      <c r="BA1668" s="229">
        <f>MOD(SUM(E1657:E1669),12)</f>
        <v>0</v>
      </c>
    </row>
    <row r="1669" spans="1:53" ht="15.75" thickBot="1" x14ac:dyDescent="0.3">
      <c r="A1669" s="88"/>
      <c r="B1669" s="66" t="s">
        <v>290</v>
      </c>
      <c r="C1669" s="67"/>
      <c r="D1669" s="102"/>
      <c r="E1669" s="32"/>
      <c r="F1669" s="32"/>
      <c r="G1669" s="68" t="s">
        <v>277</v>
      </c>
      <c r="H1669" s="69">
        <f t="shared" si="698"/>
        <v>0</v>
      </c>
      <c r="I1669" s="70">
        <f t="shared" si="699"/>
        <v>0</v>
      </c>
      <c r="J1669" s="73" t="str">
        <f t="shared" si="700"/>
        <v>--</v>
      </c>
      <c r="K1669" s="32"/>
      <c r="L1669" s="233"/>
      <c r="M1669" s="277"/>
      <c r="N1669" s="277"/>
      <c r="O1669" s="277"/>
      <c r="P1669" s="277"/>
      <c r="Q1669" s="277"/>
      <c r="R1669" s="277"/>
      <c r="S1669" s="277"/>
      <c r="T1669" s="277"/>
      <c r="U1669" s="278"/>
      <c r="V1669" s="103"/>
      <c r="W1669" s="84">
        <f>Y1669+1</f>
        <v>1</v>
      </c>
      <c r="X1669" s="84"/>
      <c r="Y1669" s="78">
        <f>SUM(E1657:E1669)</f>
        <v>0</v>
      </c>
      <c r="Z1669" s="72" t="str">
        <f t="shared" ref="Z1669:Z1681" si="703">IF(OR(AND(E$8=216,C1668="DBL REV",C1669="DBL REV",Y1668&lt;=144,Y1669&gt;144),AND(E$8=216,C1668="TPL REV",C1669="TPL REV",Y1668&lt;=144,Y1669&gt;144),AND(E$8=216,C1668="QD REV",C1669="QD REV",Y1668&lt;=144,Y1669&gt;144)),"ERROR","")</f>
        <v/>
      </c>
      <c r="AA1669" s="72"/>
      <c r="AB1669" s="72"/>
      <c r="AC1669" s="72">
        <f t="shared" si="689"/>
        <v>1</v>
      </c>
      <c r="AD1669" s="72">
        <f t="shared" si="690"/>
        <v>1</v>
      </c>
      <c r="AE1669" s="109" t="str">
        <f t="shared" si="691"/>
        <v>0-0</v>
      </c>
      <c r="AF1669" s="109" t="str">
        <f t="shared" si="692"/>
        <v>Y</v>
      </c>
      <c r="AG1669" s="109" t="str">
        <f t="shared" si="693"/>
        <v>B</v>
      </c>
      <c r="AM1669" s="109">
        <f t="shared" si="694"/>
        <v>0</v>
      </c>
      <c r="AN1669" s="109">
        <f t="shared" si="695"/>
        <v>0</v>
      </c>
      <c r="AO1669" s="109" t="str">
        <f t="shared" si="696"/>
        <v/>
      </c>
      <c r="AQ1669" s="109" t="str">
        <f t="shared" si="697"/>
        <v/>
      </c>
      <c r="BA1669" s="229">
        <f>MOD(SUM(E1657:E1670),12)</f>
        <v>0</v>
      </c>
    </row>
    <row r="1670" spans="1:53" ht="15.75" thickBot="1" x14ac:dyDescent="0.3">
      <c r="A1670" s="88"/>
      <c r="B1670" s="66" t="s">
        <v>291</v>
      </c>
      <c r="C1670" s="67"/>
      <c r="D1670" s="102"/>
      <c r="E1670" s="32"/>
      <c r="F1670" s="32"/>
      <c r="G1670" s="68" t="s">
        <v>277</v>
      </c>
      <c r="H1670" s="69">
        <f t="shared" si="698"/>
        <v>0</v>
      </c>
      <c r="I1670" s="70">
        <f t="shared" si="699"/>
        <v>0</v>
      </c>
      <c r="J1670" s="73" t="str">
        <f t="shared" si="700"/>
        <v>--</v>
      </c>
      <c r="K1670" s="32"/>
      <c r="L1670" s="233"/>
      <c r="M1670" s="277"/>
      <c r="N1670" s="277"/>
      <c r="O1670" s="277"/>
      <c r="P1670" s="277"/>
      <c r="Q1670" s="277"/>
      <c r="R1670" s="277"/>
      <c r="S1670" s="277"/>
      <c r="T1670" s="277"/>
      <c r="U1670" s="278"/>
      <c r="V1670" s="103"/>
      <c r="W1670" s="84">
        <f>Y1670+1</f>
        <v>1</v>
      </c>
      <c r="X1670" s="84"/>
      <c r="Y1670" s="78">
        <f>SUM(E1657:E1670)</f>
        <v>0</v>
      </c>
      <c r="Z1670" s="72" t="str">
        <f t="shared" si="703"/>
        <v/>
      </c>
      <c r="AA1670" s="72"/>
      <c r="AB1670" s="72"/>
      <c r="AC1670" s="72">
        <f t="shared" si="689"/>
        <v>1</v>
      </c>
      <c r="AD1670" s="72">
        <f t="shared" si="690"/>
        <v>1</v>
      </c>
      <c r="AE1670" s="109" t="str">
        <f t="shared" si="691"/>
        <v>0-0</v>
      </c>
      <c r="AF1670" s="109" t="str">
        <f t="shared" si="692"/>
        <v>Y</v>
      </c>
      <c r="AG1670" s="109" t="str">
        <f t="shared" si="693"/>
        <v>B</v>
      </c>
      <c r="AM1670" s="109">
        <f t="shared" si="694"/>
        <v>0</v>
      </c>
      <c r="AN1670" s="109">
        <f t="shared" si="695"/>
        <v>0</v>
      </c>
      <c r="AO1670" s="109" t="str">
        <f t="shared" si="696"/>
        <v/>
      </c>
      <c r="AQ1670" s="109" t="str">
        <f t="shared" si="697"/>
        <v/>
      </c>
      <c r="BA1670" s="229">
        <f>MOD(SUM(E1657:E1671),12)</f>
        <v>0</v>
      </c>
    </row>
    <row r="1671" spans="1:53" ht="15.75" thickBot="1" x14ac:dyDescent="0.3">
      <c r="A1671" s="88"/>
      <c r="B1671" s="66" t="s">
        <v>292</v>
      </c>
      <c r="C1671" s="67"/>
      <c r="D1671" s="102"/>
      <c r="E1671" s="32"/>
      <c r="F1671" s="32"/>
      <c r="G1671" s="68" t="s">
        <v>277</v>
      </c>
      <c r="H1671" s="69">
        <f t="shared" si="698"/>
        <v>0</v>
      </c>
      <c r="I1671" s="70">
        <f t="shared" si="699"/>
        <v>0</v>
      </c>
      <c r="J1671" s="73" t="str">
        <f t="shared" si="700"/>
        <v>--</v>
      </c>
      <c r="K1671" s="32"/>
      <c r="L1671" s="233"/>
      <c r="M1671" s="277"/>
      <c r="N1671" s="277"/>
      <c r="O1671" s="277"/>
      <c r="P1671" s="277"/>
      <c r="Q1671" s="277"/>
      <c r="R1671" s="277"/>
      <c r="S1671" s="277"/>
      <c r="T1671" s="277"/>
      <c r="U1671" s="278"/>
      <c r="V1671" s="103"/>
      <c r="W1671" s="84">
        <f>Y1671+1</f>
        <v>1</v>
      </c>
      <c r="X1671" s="84"/>
      <c r="Y1671" s="78">
        <f>SUM(E1657:E1671)</f>
        <v>0</v>
      </c>
      <c r="Z1671" s="72" t="str">
        <f t="shared" si="703"/>
        <v/>
      </c>
      <c r="AA1671" s="72" t="str">
        <f t="shared" ref="AA1671:AA1683" si="704">IF(AND(C1669&lt;&gt;"Field SPL",W1668&lt;=144,Y1669&gt;144),"ERROR","")</f>
        <v/>
      </c>
      <c r="AB1671" s="72"/>
      <c r="AC1671" s="72">
        <f t="shared" si="689"/>
        <v>1</v>
      </c>
      <c r="AD1671" s="72">
        <f t="shared" si="690"/>
        <v>1</v>
      </c>
      <c r="AE1671" s="109" t="str">
        <f t="shared" si="691"/>
        <v>0-0</v>
      </c>
      <c r="AF1671" s="109" t="str">
        <f t="shared" si="692"/>
        <v>Y</v>
      </c>
      <c r="AG1671" s="109" t="str">
        <f t="shared" si="693"/>
        <v>B</v>
      </c>
      <c r="AM1671" s="109">
        <f t="shared" si="694"/>
        <v>0</v>
      </c>
      <c r="AN1671" s="109">
        <f t="shared" si="695"/>
        <v>0</v>
      </c>
      <c r="AO1671" s="109" t="str">
        <f t="shared" si="696"/>
        <v/>
      </c>
      <c r="AQ1671" s="109" t="str">
        <f t="shared" si="697"/>
        <v/>
      </c>
      <c r="BA1671" s="229">
        <f>MOD(SUM(E1657:E1672),12)</f>
        <v>0</v>
      </c>
    </row>
    <row r="1672" spans="1:53" ht="15.75" thickBot="1" x14ac:dyDescent="0.3">
      <c r="A1672" s="88"/>
      <c r="B1672" s="66" t="s">
        <v>293</v>
      </c>
      <c r="C1672" s="67"/>
      <c r="D1672" s="102"/>
      <c r="E1672" s="32"/>
      <c r="F1672" s="32"/>
      <c r="G1672" s="68" t="s">
        <v>277</v>
      </c>
      <c r="H1672" s="69">
        <f t="shared" si="698"/>
        <v>0</v>
      </c>
      <c r="I1672" s="70">
        <f t="shared" si="699"/>
        <v>0</v>
      </c>
      <c r="J1672" s="73" t="str">
        <f t="shared" si="700"/>
        <v>--</v>
      </c>
      <c r="K1672" s="32"/>
      <c r="L1672" s="233"/>
      <c r="M1672" s="277"/>
      <c r="N1672" s="277"/>
      <c r="O1672" s="277"/>
      <c r="P1672" s="277"/>
      <c r="Q1672" s="277"/>
      <c r="R1672" s="277"/>
      <c r="S1672" s="277"/>
      <c r="T1672" s="277"/>
      <c r="U1672" s="278"/>
      <c r="V1672" s="103"/>
      <c r="W1672" s="84">
        <f t="shared" ref="W1672:W1680" si="705">Y1672+1</f>
        <v>1</v>
      </c>
      <c r="X1672" s="84"/>
      <c r="Y1672" s="78">
        <f>SUM(E1657:E1672)</f>
        <v>0</v>
      </c>
      <c r="Z1672" s="72" t="str">
        <f t="shared" si="703"/>
        <v/>
      </c>
      <c r="AA1672" s="72" t="str">
        <f t="shared" si="704"/>
        <v/>
      </c>
      <c r="AB1672" s="72"/>
      <c r="AC1672" s="72">
        <f t="shared" si="689"/>
        <v>1</v>
      </c>
      <c r="AD1672" s="72">
        <f t="shared" si="690"/>
        <v>1</v>
      </c>
      <c r="AE1672" s="109" t="str">
        <f t="shared" si="691"/>
        <v>0-0</v>
      </c>
      <c r="AF1672" s="109" t="str">
        <f t="shared" si="692"/>
        <v>Y</v>
      </c>
      <c r="AG1672" s="109" t="str">
        <f t="shared" si="693"/>
        <v>B</v>
      </c>
      <c r="AM1672" s="109">
        <f t="shared" si="694"/>
        <v>0</v>
      </c>
      <c r="AN1672" s="109">
        <f t="shared" si="695"/>
        <v>0</v>
      </c>
      <c r="AO1672" s="109" t="str">
        <f t="shared" si="696"/>
        <v/>
      </c>
      <c r="AQ1672" s="109" t="str">
        <f t="shared" si="697"/>
        <v/>
      </c>
      <c r="BA1672" s="229">
        <f>MOD(SUM(E1657:E1673),12)</f>
        <v>0</v>
      </c>
    </row>
    <row r="1673" spans="1:53" ht="15.75" thickBot="1" x14ac:dyDescent="0.3">
      <c r="A1673" s="88"/>
      <c r="B1673" s="66" t="s">
        <v>294</v>
      </c>
      <c r="C1673" s="67"/>
      <c r="D1673" s="102"/>
      <c r="E1673" s="32"/>
      <c r="F1673" s="32"/>
      <c r="G1673" s="68" t="s">
        <v>277</v>
      </c>
      <c r="H1673" s="69">
        <f t="shared" si="698"/>
        <v>0</v>
      </c>
      <c r="I1673" s="70">
        <f t="shared" si="699"/>
        <v>0</v>
      </c>
      <c r="J1673" s="73" t="str">
        <f t="shared" si="700"/>
        <v>--</v>
      </c>
      <c r="K1673" s="32"/>
      <c r="L1673" s="233"/>
      <c r="M1673" s="277"/>
      <c r="N1673" s="277"/>
      <c r="O1673" s="277"/>
      <c r="P1673" s="277"/>
      <c r="Q1673" s="277"/>
      <c r="R1673" s="277"/>
      <c r="S1673" s="277"/>
      <c r="T1673" s="277"/>
      <c r="U1673" s="278"/>
      <c r="V1673" s="103"/>
      <c r="W1673" s="84">
        <f t="shared" si="705"/>
        <v>1</v>
      </c>
      <c r="X1673" s="84"/>
      <c r="Y1673" s="78">
        <f>SUM(E1657:E1673)</f>
        <v>0</v>
      </c>
      <c r="Z1673" s="72" t="str">
        <f t="shared" si="703"/>
        <v/>
      </c>
      <c r="AA1673" s="72" t="str">
        <f t="shared" si="704"/>
        <v/>
      </c>
      <c r="AB1673" s="72"/>
      <c r="AC1673" s="72">
        <f t="shared" si="689"/>
        <v>1</v>
      </c>
      <c r="AD1673" s="72">
        <f t="shared" si="690"/>
        <v>1</v>
      </c>
      <c r="AE1673" s="109" t="str">
        <f t="shared" si="691"/>
        <v>0-0</v>
      </c>
      <c r="AF1673" s="109" t="str">
        <f t="shared" si="692"/>
        <v>Y</v>
      </c>
      <c r="AG1673" s="109" t="str">
        <f t="shared" si="693"/>
        <v>B</v>
      </c>
      <c r="AM1673" s="109">
        <f t="shared" si="694"/>
        <v>0</v>
      </c>
      <c r="AN1673" s="109">
        <f t="shared" si="695"/>
        <v>0</v>
      </c>
      <c r="AO1673" s="109" t="str">
        <f t="shared" si="696"/>
        <v/>
      </c>
      <c r="AQ1673" s="109" t="str">
        <f t="shared" si="697"/>
        <v/>
      </c>
      <c r="BA1673" s="229">
        <f>MOD(SUM(E1657:E1674),12)</f>
        <v>0</v>
      </c>
    </row>
    <row r="1674" spans="1:53" ht="15.75" thickBot="1" x14ac:dyDescent="0.3">
      <c r="A1674" s="88"/>
      <c r="B1674" s="66" t="s">
        <v>295</v>
      </c>
      <c r="C1674" s="67"/>
      <c r="D1674" s="102"/>
      <c r="E1674" s="32"/>
      <c r="F1674" s="32"/>
      <c r="G1674" s="68" t="s">
        <v>277</v>
      </c>
      <c r="H1674" s="69">
        <f t="shared" si="698"/>
        <v>0</v>
      </c>
      <c r="I1674" s="70">
        <f t="shared" si="699"/>
        <v>0</v>
      </c>
      <c r="J1674" s="73" t="str">
        <f t="shared" si="700"/>
        <v>--</v>
      </c>
      <c r="K1674" s="32"/>
      <c r="L1674" s="233"/>
      <c r="M1674" s="277"/>
      <c r="N1674" s="277"/>
      <c r="O1674" s="277"/>
      <c r="P1674" s="277"/>
      <c r="Q1674" s="277"/>
      <c r="R1674" s="277"/>
      <c r="S1674" s="277"/>
      <c r="T1674" s="277"/>
      <c r="U1674" s="278"/>
      <c r="V1674" s="103"/>
      <c r="W1674" s="84">
        <f t="shared" si="705"/>
        <v>1</v>
      </c>
      <c r="X1674" s="84"/>
      <c r="Y1674" s="78">
        <f>SUM(E1657:E1674)</f>
        <v>0</v>
      </c>
      <c r="Z1674" s="72" t="str">
        <f t="shared" si="703"/>
        <v/>
      </c>
      <c r="AA1674" s="72" t="str">
        <f t="shared" si="704"/>
        <v/>
      </c>
      <c r="AB1674" s="72"/>
      <c r="AC1674" s="72">
        <f t="shared" si="689"/>
        <v>1</v>
      </c>
      <c r="AD1674" s="72">
        <f t="shared" si="690"/>
        <v>1</v>
      </c>
      <c r="AE1674" s="109" t="str">
        <f t="shared" si="691"/>
        <v>0-0</v>
      </c>
      <c r="AF1674" s="109" t="str">
        <f t="shared" si="692"/>
        <v>Y</v>
      </c>
      <c r="AG1674" s="109" t="str">
        <f t="shared" si="693"/>
        <v>B</v>
      </c>
      <c r="AM1674" s="109">
        <f t="shared" si="694"/>
        <v>0</v>
      </c>
      <c r="AN1674" s="109">
        <f t="shared" si="695"/>
        <v>0</v>
      </c>
      <c r="AO1674" s="109" t="str">
        <f t="shared" si="696"/>
        <v/>
      </c>
      <c r="AQ1674" s="109" t="str">
        <f t="shared" si="697"/>
        <v/>
      </c>
      <c r="BA1674" s="229">
        <f>MOD(SUM(E1657:E1675),12)</f>
        <v>0</v>
      </c>
    </row>
    <row r="1675" spans="1:53" ht="15.75" thickBot="1" x14ac:dyDescent="0.3">
      <c r="A1675" s="88"/>
      <c r="B1675" s="66" t="s">
        <v>296</v>
      </c>
      <c r="C1675" s="67"/>
      <c r="D1675" s="102"/>
      <c r="E1675" s="32"/>
      <c r="F1675" s="32"/>
      <c r="G1675" s="68" t="s">
        <v>277</v>
      </c>
      <c r="H1675" s="69">
        <f t="shared" si="698"/>
        <v>0</v>
      </c>
      <c r="I1675" s="70">
        <f t="shared" si="699"/>
        <v>0</v>
      </c>
      <c r="J1675" s="73" t="str">
        <f t="shared" si="700"/>
        <v>--</v>
      </c>
      <c r="K1675" s="32"/>
      <c r="L1675" s="233"/>
      <c r="M1675" s="277"/>
      <c r="N1675" s="277"/>
      <c r="O1675" s="277"/>
      <c r="P1675" s="277"/>
      <c r="Q1675" s="277"/>
      <c r="R1675" s="277"/>
      <c r="S1675" s="277"/>
      <c r="T1675" s="277"/>
      <c r="U1675" s="278"/>
      <c r="V1675" s="103"/>
      <c r="W1675" s="84">
        <f t="shared" si="705"/>
        <v>1</v>
      </c>
      <c r="X1675" s="84"/>
      <c r="Y1675" s="78">
        <f>SUM(E1657:E1675)</f>
        <v>0</v>
      </c>
      <c r="Z1675" s="72" t="str">
        <f t="shared" si="703"/>
        <v/>
      </c>
      <c r="AA1675" s="72" t="str">
        <f t="shared" si="704"/>
        <v/>
      </c>
      <c r="AB1675" s="72"/>
      <c r="AC1675" s="72">
        <f t="shared" si="689"/>
        <v>1</v>
      </c>
      <c r="AD1675" s="72">
        <f t="shared" si="690"/>
        <v>1</v>
      </c>
      <c r="AE1675" s="109" t="str">
        <f t="shared" si="691"/>
        <v>0-0</v>
      </c>
      <c r="AF1675" s="109" t="str">
        <f t="shared" si="692"/>
        <v>Y</v>
      </c>
      <c r="AG1675" s="109" t="str">
        <f t="shared" si="693"/>
        <v>B</v>
      </c>
      <c r="AM1675" s="109">
        <f t="shared" si="694"/>
        <v>0</v>
      </c>
      <c r="AN1675" s="109">
        <f t="shared" si="695"/>
        <v>0</v>
      </c>
      <c r="AO1675" s="109" t="str">
        <f t="shared" si="696"/>
        <v/>
      </c>
      <c r="AQ1675" s="109" t="str">
        <f t="shared" si="697"/>
        <v/>
      </c>
      <c r="BA1675" s="229">
        <f>MOD(SUM(E1657:E1676),12)</f>
        <v>0</v>
      </c>
    </row>
    <row r="1676" spans="1:53" ht="15.75" thickBot="1" x14ac:dyDescent="0.3">
      <c r="A1676" s="88"/>
      <c r="B1676" s="66" t="s">
        <v>297</v>
      </c>
      <c r="C1676" s="67"/>
      <c r="D1676" s="102"/>
      <c r="E1676" s="32"/>
      <c r="F1676" s="32"/>
      <c r="G1676" s="68" t="s">
        <v>277</v>
      </c>
      <c r="H1676" s="69">
        <f t="shared" si="698"/>
        <v>0</v>
      </c>
      <c r="I1676" s="70">
        <f t="shared" si="699"/>
        <v>0</v>
      </c>
      <c r="J1676" s="73" t="str">
        <f t="shared" si="700"/>
        <v>--</v>
      </c>
      <c r="K1676" s="32"/>
      <c r="L1676" s="233"/>
      <c r="M1676" s="277"/>
      <c r="N1676" s="277"/>
      <c r="O1676" s="277"/>
      <c r="P1676" s="277"/>
      <c r="Q1676" s="277"/>
      <c r="R1676" s="277"/>
      <c r="S1676" s="277"/>
      <c r="T1676" s="277"/>
      <c r="U1676" s="278"/>
      <c r="V1676" s="103"/>
      <c r="W1676" s="84">
        <f t="shared" si="705"/>
        <v>1</v>
      </c>
      <c r="X1676" s="84"/>
      <c r="Y1676" s="78">
        <f>SUM(E1657:E1676)</f>
        <v>0</v>
      </c>
      <c r="Z1676" s="72" t="str">
        <f t="shared" si="703"/>
        <v/>
      </c>
      <c r="AA1676" s="72" t="str">
        <f t="shared" si="704"/>
        <v/>
      </c>
      <c r="AB1676" s="72"/>
      <c r="AC1676" s="72">
        <f t="shared" si="689"/>
        <v>1</v>
      </c>
      <c r="AD1676" s="72">
        <f t="shared" si="690"/>
        <v>1</v>
      </c>
      <c r="AE1676" s="109" t="str">
        <f t="shared" si="691"/>
        <v>0-0</v>
      </c>
      <c r="AF1676" s="109" t="str">
        <f t="shared" si="692"/>
        <v>Y</v>
      </c>
      <c r="AG1676" s="109" t="str">
        <f t="shared" si="693"/>
        <v>B</v>
      </c>
      <c r="AM1676" s="109">
        <f t="shared" si="694"/>
        <v>0</v>
      </c>
      <c r="AN1676" s="109">
        <f t="shared" si="695"/>
        <v>0</v>
      </c>
      <c r="AO1676" s="109" t="str">
        <f t="shared" si="696"/>
        <v/>
      </c>
      <c r="AQ1676" s="109" t="str">
        <f t="shared" si="697"/>
        <v/>
      </c>
      <c r="BA1676" s="229">
        <f>MOD(SUM(E1657:E1677),12)</f>
        <v>0</v>
      </c>
    </row>
    <row r="1677" spans="1:53" ht="15.75" thickBot="1" x14ac:dyDescent="0.3">
      <c r="A1677" s="88"/>
      <c r="B1677" s="66" t="s">
        <v>298</v>
      </c>
      <c r="C1677" s="67"/>
      <c r="D1677" s="102"/>
      <c r="E1677" s="32"/>
      <c r="F1677" s="32"/>
      <c r="G1677" s="68" t="s">
        <v>277</v>
      </c>
      <c r="H1677" s="69">
        <f t="shared" si="698"/>
        <v>0</v>
      </c>
      <c r="I1677" s="70">
        <f t="shared" si="699"/>
        <v>0</v>
      </c>
      <c r="J1677" s="73" t="str">
        <f t="shared" si="700"/>
        <v>--</v>
      </c>
      <c r="K1677" s="32"/>
      <c r="L1677" s="233"/>
      <c r="M1677" s="277"/>
      <c r="N1677" s="277"/>
      <c r="O1677" s="277"/>
      <c r="P1677" s="277"/>
      <c r="Q1677" s="277"/>
      <c r="R1677" s="277"/>
      <c r="S1677" s="277"/>
      <c r="T1677" s="277"/>
      <c r="U1677" s="278"/>
      <c r="V1677" s="103"/>
      <c r="W1677" s="84">
        <f t="shared" si="705"/>
        <v>1</v>
      </c>
      <c r="X1677" s="84"/>
      <c r="Y1677" s="78">
        <f>SUM(E1657:E1677)</f>
        <v>0</v>
      </c>
      <c r="Z1677" s="72" t="str">
        <f t="shared" si="703"/>
        <v/>
      </c>
      <c r="AA1677" s="72" t="str">
        <f t="shared" si="704"/>
        <v/>
      </c>
      <c r="AB1677" s="72"/>
      <c r="AC1677" s="72">
        <f t="shared" si="689"/>
        <v>1</v>
      </c>
      <c r="AD1677" s="72">
        <f t="shared" si="690"/>
        <v>1</v>
      </c>
      <c r="AE1677" s="109" t="str">
        <f t="shared" si="691"/>
        <v>0-0</v>
      </c>
      <c r="AF1677" s="109" t="str">
        <f t="shared" si="692"/>
        <v>Y</v>
      </c>
      <c r="AG1677" s="109" t="str">
        <f t="shared" si="693"/>
        <v>B</v>
      </c>
      <c r="AM1677" s="109">
        <f t="shared" si="694"/>
        <v>0</v>
      </c>
      <c r="AN1677" s="109">
        <f t="shared" si="695"/>
        <v>0</v>
      </c>
      <c r="AO1677" s="109" t="str">
        <f t="shared" si="696"/>
        <v/>
      </c>
      <c r="AQ1677" s="109" t="str">
        <f t="shared" si="697"/>
        <v/>
      </c>
      <c r="BA1677" s="229">
        <f>MOD(SUM(E1657:E1678),12)</f>
        <v>0</v>
      </c>
    </row>
    <row r="1678" spans="1:53" ht="15.75" thickBot="1" x14ac:dyDescent="0.3">
      <c r="A1678" s="88"/>
      <c r="B1678" s="66" t="s">
        <v>299</v>
      </c>
      <c r="C1678" s="67"/>
      <c r="D1678" s="102"/>
      <c r="E1678" s="32"/>
      <c r="F1678" s="32"/>
      <c r="G1678" s="68" t="s">
        <v>277</v>
      </c>
      <c r="H1678" s="69">
        <f t="shared" si="698"/>
        <v>0</v>
      </c>
      <c r="I1678" s="70">
        <f t="shared" si="699"/>
        <v>0</v>
      </c>
      <c r="J1678" s="73" t="str">
        <f t="shared" si="700"/>
        <v>--</v>
      </c>
      <c r="K1678" s="32"/>
      <c r="L1678" s="233"/>
      <c r="M1678" s="277"/>
      <c r="N1678" s="277"/>
      <c r="O1678" s="277"/>
      <c r="P1678" s="277"/>
      <c r="Q1678" s="277"/>
      <c r="R1678" s="277"/>
      <c r="S1678" s="277"/>
      <c r="T1678" s="277"/>
      <c r="U1678" s="278"/>
      <c r="V1678" s="103"/>
      <c r="W1678" s="84">
        <f t="shared" si="705"/>
        <v>1</v>
      </c>
      <c r="X1678" s="84"/>
      <c r="Y1678" s="78">
        <f>SUM(E1657:E1678)</f>
        <v>0</v>
      </c>
      <c r="Z1678" s="72" t="str">
        <f t="shared" si="703"/>
        <v/>
      </c>
      <c r="AA1678" s="72" t="str">
        <f t="shared" si="704"/>
        <v/>
      </c>
      <c r="AB1678" s="72"/>
      <c r="AC1678" s="72">
        <f t="shared" si="689"/>
        <v>1</v>
      </c>
      <c r="AD1678" s="72">
        <f t="shared" si="690"/>
        <v>1</v>
      </c>
      <c r="AE1678" s="109" t="str">
        <f t="shared" si="691"/>
        <v>0-0</v>
      </c>
      <c r="AF1678" s="109" t="str">
        <f t="shared" si="692"/>
        <v>Y</v>
      </c>
      <c r="AG1678" s="109" t="str">
        <f t="shared" si="693"/>
        <v>B</v>
      </c>
      <c r="AM1678" s="109">
        <f t="shared" si="694"/>
        <v>0</v>
      </c>
      <c r="AN1678" s="109">
        <f t="shared" si="695"/>
        <v>0</v>
      </c>
      <c r="AO1678" s="109" t="str">
        <f t="shared" si="696"/>
        <v/>
      </c>
      <c r="AQ1678" s="109" t="str">
        <f t="shared" si="697"/>
        <v/>
      </c>
      <c r="BA1678" s="229">
        <f>MOD(SUM(E1657:E1679),12)</f>
        <v>0</v>
      </c>
    </row>
    <row r="1679" spans="1:53" ht="15.75" thickBot="1" x14ac:dyDescent="0.3">
      <c r="A1679" s="88"/>
      <c r="B1679" s="66" t="s">
        <v>300</v>
      </c>
      <c r="C1679" s="67"/>
      <c r="D1679" s="102"/>
      <c r="E1679" s="32"/>
      <c r="F1679" s="32"/>
      <c r="G1679" s="68" t="s">
        <v>277</v>
      </c>
      <c r="H1679" s="69">
        <f t="shared" si="698"/>
        <v>0</v>
      </c>
      <c r="I1679" s="70">
        <f t="shared" si="699"/>
        <v>0</v>
      </c>
      <c r="J1679" s="73" t="str">
        <f t="shared" si="700"/>
        <v>--</v>
      </c>
      <c r="K1679" s="32"/>
      <c r="L1679" s="233"/>
      <c r="M1679" s="277"/>
      <c r="N1679" s="277"/>
      <c r="O1679" s="277"/>
      <c r="P1679" s="277"/>
      <c r="Q1679" s="277"/>
      <c r="R1679" s="277"/>
      <c r="S1679" s="277"/>
      <c r="T1679" s="277"/>
      <c r="U1679" s="278"/>
      <c r="V1679" s="103"/>
      <c r="W1679" s="84">
        <f t="shared" si="705"/>
        <v>1</v>
      </c>
      <c r="X1679" s="84"/>
      <c r="Y1679" s="78">
        <f>SUM(E1657:E1679)</f>
        <v>0</v>
      </c>
      <c r="Z1679" s="72" t="str">
        <f t="shared" si="703"/>
        <v/>
      </c>
      <c r="AA1679" s="72" t="str">
        <f t="shared" si="704"/>
        <v/>
      </c>
      <c r="AB1679" s="72"/>
      <c r="AC1679" s="72">
        <f t="shared" si="689"/>
        <v>1</v>
      </c>
      <c r="AD1679" s="72">
        <f t="shared" si="690"/>
        <v>1</v>
      </c>
      <c r="AE1679" s="109" t="str">
        <f t="shared" si="691"/>
        <v>0-0</v>
      </c>
      <c r="AF1679" s="109" t="str">
        <f t="shared" si="692"/>
        <v>Y</v>
      </c>
      <c r="AG1679" s="109" t="str">
        <f t="shared" si="693"/>
        <v>B</v>
      </c>
      <c r="AM1679" s="109">
        <f t="shared" si="694"/>
        <v>0</v>
      </c>
      <c r="AN1679" s="109">
        <f t="shared" si="695"/>
        <v>0</v>
      </c>
      <c r="AO1679" s="109" t="str">
        <f t="shared" si="696"/>
        <v/>
      </c>
      <c r="AQ1679" s="109" t="str">
        <f t="shared" si="697"/>
        <v/>
      </c>
      <c r="BA1679" s="229">
        <f>MOD(SUM(E1657:E1680),12)</f>
        <v>0</v>
      </c>
    </row>
    <row r="1680" spans="1:53" ht="15.75" thickBot="1" x14ac:dyDescent="0.3">
      <c r="A1680" s="88"/>
      <c r="B1680" s="66" t="s">
        <v>301</v>
      </c>
      <c r="C1680" s="67"/>
      <c r="D1680" s="102"/>
      <c r="E1680" s="32"/>
      <c r="F1680" s="32"/>
      <c r="G1680" s="68" t="s">
        <v>277</v>
      </c>
      <c r="H1680" s="69">
        <f t="shared" si="698"/>
        <v>0</v>
      </c>
      <c r="I1680" s="70">
        <f t="shared" si="699"/>
        <v>0</v>
      </c>
      <c r="J1680" s="73" t="str">
        <f t="shared" si="700"/>
        <v>--</v>
      </c>
      <c r="K1680" s="32"/>
      <c r="L1680" s="233"/>
      <c r="M1680" s="277"/>
      <c r="N1680" s="277"/>
      <c r="O1680" s="277"/>
      <c r="P1680" s="277"/>
      <c r="Q1680" s="277"/>
      <c r="R1680" s="277"/>
      <c r="S1680" s="277"/>
      <c r="T1680" s="277"/>
      <c r="U1680" s="278"/>
      <c r="V1680" s="103"/>
      <c r="W1680" s="84">
        <f t="shared" si="705"/>
        <v>1</v>
      </c>
      <c r="X1680" s="84"/>
      <c r="Y1680" s="78">
        <f>SUM(E1657:E1680)</f>
        <v>0</v>
      </c>
      <c r="Z1680" s="72" t="str">
        <f t="shared" si="703"/>
        <v/>
      </c>
      <c r="AA1680" s="72" t="str">
        <f t="shared" si="704"/>
        <v/>
      </c>
      <c r="AB1680" s="72"/>
      <c r="AC1680" s="72">
        <f t="shared" si="689"/>
        <v>1</v>
      </c>
      <c r="AD1680" s="72">
        <f t="shared" si="690"/>
        <v>1</v>
      </c>
      <c r="AE1680" s="109" t="str">
        <f t="shared" si="691"/>
        <v>0-0</v>
      </c>
      <c r="AF1680" s="109" t="str">
        <f t="shared" si="692"/>
        <v>Y</v>
      </c>
      <c r="AG1680" s="109" t="str">
        <f t="shared" si="693"/>
        <v>B</v>
      </c>
      <c r="AM1680" s="109">
        <f t="shared" si="694"/>
        <v>0</v>
      </c>
      <c r="AN1680" s="109">
        <f t="shared" si="695"/>
        <v>0</v>
      </c>
      <c r="AO1680" s="109" t="str">
        <f t="shared" si="696"/>
        <v/>
      </c>
      <c r="AQ1680" s="109" t="str">
        <f t="shared" si="697"/>
        <v/>
      </c>
      <c r="BA1680" s="229">
        <f>MOD(SUM(E1657:E1681),12)</f>
        <v>0</v>
      </c>
    </row>
    <row r="1681" spans="1:53" ht="15.75" thickBot="1" x14ac:dyDescent="0.3">
      <c r="A1681" s="88"/>
      <c r="B1681" s="66" t="s">
        <v>302</v>
      </c>
      <c r="C1681" s="67"/>
      <c r="D1681" s="102"/>
      <c r="E1681" s="32"/>
      <c r="F1681" s="32"/>
      <c r="G1681" s="68" t="s">
        <v>277</v>
      </c>
      <c r="H1681" s="69">
        <f t="shared" si="698"/>
        <v>0</v>
      </c>
      <c r="I1681" s="70">
        <f t="shared" si="699"/>
        <v>0</v>
      </c>
      <c r="J1681" s="73" t="str">
        <f t="shared" si="700"/>
        <v>--</v>
      </c>
      <c r="K1681" s="32"/>
      <c r="L1681" s="234"/>
      <c r="M1681" s="277"/>
      <c r="N1681" s="277"/>
      <c r="O1681" s="277"/>
      <c r="P1681" s="277"/>
      <c r="Q1681" s="277"/>
      <c r="R1681" s="277"/>
      <c r="S1681" s="277"/>
      <c r="T1681" s="277"/>
      <c r="U1681" s="278"/>
      <c r="V1681" s="103"/>
      <c r="W1681" s="72"/>
      <c r="X1681" s="72"/>
      <c r="Y1681" s="78">
        <f>SUM(E1657:E1681)</f>
        <v>0</v>
      </c>
      <c r="Z1681" s="72" t="str">
        <f t="shared" si="703"/>
        <v/>
      </c>
      <c r="AA1681" s="72" t="str">
        <f t="shared" si="704"/>
        <v/>
      </c>
      <c r="AB1681" s="72"/>
      <c r="AC1681" s="72">
        <f t="shared" si="689"/>
        <v>1</v>
      </c>
      <c r="AD1681" s="72">
        <f t="shared" si="690"/>
        <v>1</v>
      </c>
      <c r="AE1681" s="109" t="str">
        <f t="shared" si="691"/>
        <v>0-0</v>
      </c>
      <c r="AF1681" s="109" t="str">
        <f t="shared" si="692"/>
        <v>Y</v>
      </c>
      <c r="AG1681" s="109" t="str">
        <f t="shared" si="693"/>
        <v>B</v>
      </c>
      <c r="AM1681" s="109">
        <f t="shared" si="694"/>
        <v>0</v>
      </c>
      <c r="AN1681" s="109">
        <f t="shared" si="695"/>
        <v>0</v>
      </c>
      <c r="AO1681" s="109" t="str">
        <f t="shared" si="696"/>
        <v/>
      </c>
      <c r="AQ1681" s="109" t="str">
        <f t="shared" si="697"/>
        <v/>
      </c>
      <c r="BA1681" s="228"/>
    </row>
    <row r="1682" spans="1:53" ht="16.5" thickBot="1" x14ac:dyDescent="0.3">
      <c r="A1682" s="88"/>
      <c r="B1682" s="319" t="s">
        <v>385</v>
      </c>
      <c r="C1682" s="320"/>
      <c r="D1682" s="79"/>
      <c r="E1682" s="80"/>
      <c r="F1682" s="80"/>
      <c r="G1682" s="81"/>
      <c r="H1682" s="192"/>
      <c r="I1682" s="192"/>
      <c r="J1682" s="192"/>
      <c r="K1682" s="82"/>
      <c r="L1682" s="319" t="s">
        <v>306</v>
      </c>
      <c r="M1682" s="330"/>
      <c r="N1682" s="330"/>
      <c r="O1682" s="330"/>
      <c r="P1682" s="330"/>
      <c r="Q1682" s="330"/>
      <c r="R1682" s="330"/>
      <c r="S1682" s="330"/>
      <c r="T1682" s="330"/>
      <c r="U1682" s="320"/>
      <c r="V1682" s="104"/>
      <c r="W1682" s="72"/>
      <c r="X1682" s="72"/>
      <c r="Y1682" s="72"/>
      <c r="Z1682" s="72"/>
      <c r="AA1682" s="72" t="str">
        <f t="shared" si="704"/>
        <v/>
      </c>
      <c r="AB1682" s="72"/>
      <c r="AC1682" s="72">
        <f>SUM(AC1657:AC1681)</f>
        <v>25</v>
      </c>
      <c r="AD1682" s="72">
        <f>SUM(AD1657:AD1681)</f>
        <v>25</v>
      </c>
      <c r="AE1682" s="109" t="str">
        <f t="shared" si="691"/>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319" t="s">
        <v>307</v>
      </c>
      <c r="C1683" s="320"/>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704"/>
        <v/>
      </c>
      <c r="AB1683" s="72"/>
      <c r="AC1683" s="72"/>
      <c r="AD1683" s="72"/>
      <c r="AE1683" s="109" t="str">
        <f t="shared" si="691"/>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312" t="s">
        <v>222</v>
      </c>
      <c r="C1687" s="313"/>
      <c r="D1687" s="314" t="s">
        <v>223</v>
      </c>
      <c r="E1687" s="305"/>
      <c r="F1687" s="88"/>
      <c r="G1687" s="315" t="s">
        <v>224</v>
      </c>
      <c r="H1687" s="316"/>
      <c r="I1687" s="28">
        <f>SUM(E1698:E1722)</f>
        <v>0</v>
      </c>
      <c r="J1687" s="317" t="s">
        <v>225</v>
      </c>
      <c r="K1687" s="318"/>
      <c r="L1687" s="305"/>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5" t="s">
        <v>226</v>
      </c>
      <c r="AA1687" s="296"/>
      <c r="AB1687" s="297"/>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4" t="s">
        <v>230</v>
      </c>
      <c r="H1688" s="305"/>
      <c r="I1688" s="33">
        <f>E1689-I1687</f>
        <v>0</v>
      </c>
      <c r="J1688" s="289" t="s">
        <v>231</v>
      </c>
      <c r="K1688" s="290"/>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298" t="s">
        <v>232</v>
      </c>
      <c r="AA1688" s="300" t="s">
        <v>233</v>
      </c>
      <c r="AB1688" s="301"/>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291" t="s">
        <v>237</v>
      </c>
      <c r="H1689" s="292"/>
      <c r="I1689" s="35">
        <f>IF(E1689=0,0,12-(MOD(I1687,12)))</f>
        <v>0</v>
      </c>
      <c r="J1689" s="289" t="s">
        <v>238</v>
      </c>
      <c r="K1689" s="290"/>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299"/>
      <c r="AA1689" s="302"/>
      <c r="AB1689" s="303"/>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321" t="s">
        <v>242</v>
      </c>
      <c r="H1690" s="43" t="s">
        <v>243</v>
      </c>
      <c r="I1690" s="35">
        <f>IF(E1690&lt;&gt;0,1,0)</f>
        <v>0</v>
      </c>
      <c r="J1690" s="291" t="s">
        <v>244</v>
      </c>
      <c r="K1690" s="292"/>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322"/>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321" t="s">
        <v>251</v>
      </c>
      <c r="H1692" s="51" t="s">
        <v>252</v>
      </c>
      <c r="I1692" s="112">
        <f>E1691</f>
        <v>0</v>
      </c>
      <c r="J1692" s="323" t="s">
        <v>253</v>
      </c>
      <c r="K1692" s="324"/>
      <c r="L1692" s="325"/>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322"/>
      <c r="H1693" s="47" t="s">
        <v>257</v>
      </c>
      <c r="I1693" s="35" t="str">
        <f>IF(E1691="","0",IF(AND(E1688="EUC",E1689=432), I1692+(203-E1690),IF(E1691=0,0,(E1691+(E1689-E1690)-1))))</f>
        <v>0</v>
      </c>
      <c r="J1693" s="285" t="str">
        <f>IFERROR(IF(OR(E1688="EUC",E1688="SS"),"---",IF(OR(P1687,S1687),"NO 2F Tethers for RPX!",IF(OR(P1689,S1689),"NO 6F Tethers for RPX!","---"))),"---")</f>
        <v>---</v>
      </c>
      <c r="K1693" s="286"/>
      <c r="L1693" s="287"/>
      <c r="M1693" s="285" t="str">
        <f>IF(E1690&gt;60,"Dead Count &gt;60: Consider Downsize","---")</f>
        <v>---</v>
      </c>
      <c r="N1693" s="286"/>
      <c r="O1693" s="286"/>
      <c r="P1693" s="286"/>
      <c r="Q1693" s="286"/>
      <c r="R1693" s="286"/>
      <c r="S1693" s="286"/>
      <c r="T1693" s="286"/>
      <c r="U1693" s="287"/>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85"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86"/>
      <c r="L1694" s="287"/>
      <c r="M1694" s="285" t="str">
        <f>IF(AND(OR(E1688="SS",E1688="RPX",E1688="EUC",E1688="RPX-T"),(OR(C1698="",C1698="Field SPL"))),"Cannot have FlexNap cables without tethers","---")</f>
        <v>---</v>
      </c>
      <c r="N1694" s="286"/>
      <c r="O1694" s="286"/>
      <c r="P1694" s="286"/>
      <c r="Q1694" s="286"/>
      <c r="R1694" s="286"/>
      <c r="S1694" s="286"/>
      <c r="T1694" s="286"/>
      <c r="U1694" s="287"/>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85" t="str">
        <f>IF(AND(OR(E1688="RPX", E1688="RPX-T", E1688="SS"),E1689=216),"NO 216 For RPX, RPX-T, OR SS CABLE","---")</f>
        <v>---</v>
      </c>
      <c r="K1695" s="286"/>
      <c r="L1695" s="287"/>
      <c r="M1695" s="285" t="str" cm="1">
        <f t="array" ref="M1695">IF(AND(E1688="",OR(C1698:C1722="FST",C1698:C1722="REV T",C1698:C1722="DBL REV",C1698:C1722="TPL REV", C1698:C1722="QD REV")),"Non-FlexNap cables cannot have tethers","---")</f>
        <v>---</v>
      </c>
      <c r="N1695" s="286"/>
      <c r="O1695" s="286"/>
      <c r="P1695" s="286"/>
      <c r="Q1695" s="286"/>
      <c r="R1695" s="286"/>
      <c r="S1695" s="286"/>
      <c r="T1695" s="286"/>
      <c r="U1695" s="287"/>
      <c r="V1695" s="25"/>
      <c r="W1695" s="58"/>
      <c r="X1695" s="58"/>
      <c r="Y1695" s="25"/>
      <c r="Z1695" s="45">
        <v>6</v>
      </c>
      <c r="AA1695" s="65">
        <v>61</v>
      </c>
      <c r="AB1695" s="65">
        <v>72</v>
      </c>
      <c r="AC1695" s="25"/>
      <c r="AD1695" s="25"/>
      <c r="BA1695" s="226"/>
    </row>
    <row r="1696" spans="1:53" ht="15.75" customHeight="1" thickBot="1" x14ac:dyDescent="0.3">
      <c r="A1696" s="88"/>
      <c r="B1696" s="321" t="s">
        <v>260</v>
      </c>
      <c r="C1696" s="293" t="s">
        <v>261</v>
      </c>
      <c r="D1696" s="293" t="s">
        <v>262</v>
      </c>
      <c r="E1696" s="306" t="s">
        <v>263</v>
      </c>
      <c r="F1696" s="293" t="s">
        <v>264</v>
      </c>
      <c r="G1696" s="308" t="s">
        <v>265</v>
      </c>
      <c r="H1696" s="308" t="s">
        <v>266</v>
      </c>
      <c r="I1696" s="308" t="s">
        <v>267</v>
      </c>
      <c r="J1696" s="310" t="s">
        <v>268</v>
      </c>
      <c r="K1696" s="293" t="s">
        <v>269</v>
      </c>
      <c r="L1696" s="279" t="s">
        <v>270</v>
      </c>
      <c r="M1696" s="281" t="s">
        <v>271</v>
      </c>
      <c r="N1696" s="281"/>
      <c r="O1696" s="281"/>
      <c r="P1696" s="281"/>
      <c r="Q1696" s="281"/>
      <c r="R1696" s="281"/>
      <c r="S1696" s="281"/>
      <c r="T1696" s="281"/>
      <c r="U1696" s="282"/>
      <c r="V1696" s="107"/>
      <c r="W1696" s="72"/>
      <c r="X1696" s="72"/>
      <c r="Y1696" s="72"/>
      <c r="Z1696" s="45">
        <v>7</v>
      </c>
      <c r="AA1696" s="65">
        <v>73</v>
      </c>
      <c r="AB1696" s="65">
        <v>84</v>
      </c>
      <c r="AC1696" s="25"/>
      <c r="AD1696" s="25"/>
      <c r="BA1696" s="228"/>
    </row>
    <row r="1697" spans="1:53" ht="15.75" thickBot="1" x14ac:dyDescent="0.3">
      <c r="A1697" s="88"/>
      <c r="B1697" s="322"/>
      <c r="C1697" s="294"/>
      <c r="D1697" s="294"/>
      <c r="E1697" s="307"/>
      <c r="F1697" s="294"/>
      <c r="G1697" s="309"/>
      <c r="H1697" s="309"/>
      <c r="I1697" s="309"/>
      <c r="J1697" s="311"/>
      <c r="K1697" s="294"/>
      <c r="L1697" s="280"/>
      <c r="M1697" s="283"/>
      <c r="N1697" s="283"/>
      <c r="O1697" s="283"/>
      <c r="P1697" s="283"/>
      <c r="Q1697" s="283"/>
      <c r="R1697" s="283"/>
      <c r="S1697" s="283"/>
      <c r="T1697" s="283"/>
      <c r="U1697" s="284"/>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77"/>
      <c r="N1698" s="277"/>
      <c r="O1698" s="277"/>
      <c r="P1698" s="277"/>
      <c r="Q1698" s="277"/>
      <c r="R1698" s="277"/>
      <c r="S1698" s="277"/>
      <c r="T1698" s="277"/>
      <c r="U1698" s="278"/>
      <c r="V1698" s="103"/>
      <c r="W1698" s="72"/>
      <c r="X1698" s="72"/>
      <c r="Y1698" s="72"/>
      <c r="Z1698" s="45">
        <v>9</v>
      </c>
      <c r="AA1698" s="46">
        <v>97</v>
      </c>
      <c r="AB1698" s="46">
        <v>108</v>
      </c>
      <c r="AC1698" s="72">
        <f t="shared" ref="AC1698:AC1722" si="706">IF(B1698&lt;&gt;"FST",1,0)</f>
        <v>1</v>
      </c>
      <c r="AD1698" s="72">
        <f t="shared" ref="AD1698:AD1722" si="707">IF(C1698&lt;&gt;"FST",1,0)</f>
        <v>1</v>
      </c>
      <c r="AE1698" s="109" t="str">
        <f t="shared" ref="AE1698:AE1724" si="708">CONCATENATE(H1698,"-",I1698)</f>
        <v>0-0</v>
      </c>
      <c r="AF1698" s="109" t="str">
        <f t="shared" ref="AF1698:AF1722" si="709">IF(C1698="Field SPL","N","Y")</f>
        <v>Y</v>
      </c>
      <c r="AG1698" s="109" t="str">
        <f t="shared" ref="AG1698:AG1722" si="710">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11">VALUE(IF(C1698="FST","0",IF(C1698="REV T","1",IF(C1698="DBL REV",".5","0"))))</f>
        <v>0</v>
      </c>
      <c r="AN1698" s="109">
        <f t="shared" ref="AN1698:AN1722" si="712">VALUE(IF(C1698="FST","0",IF(C1698="REV T","0",IF(C1698="DBL REV",".5","0"))))</f>
        <v>0</v>
      </c>
      <c r="AO1698" s="109" t="str">
        <f t="shared" ref="AO1698:AO1722" si="713">IF(C1698="TPL REV","Y","")</f>
        <v/>
      </c>
      <c r="AQ1698" s="109" t="str">
        <f t="shared" ref="AQ1698:AQ1722" si="714">IF(C1698="QD REV","Y","")</f>
        <v/>
      </c>
      <c r="BA1698" s="229">
        <f>MOD(E1698,12)</f>
        <v>0</v>
      </c>
    </row>
    <row r="1699" spans="1:53" ht="15.75" thickBot="1" x14ac:dyDescent="0.3">
      <c r="A1699" s="88"/>
      <c r="B1699" s="66" t="s">
        <v>279</v>
      </c>
      <c r="C1699" s="67"/>
      <c r="D1699" s="102"/>
      <c r="E1699" s="32"/>
      <c r="F1699" s="32"/>
      <c r="G1699" s="68" t="s">
        <v>277</v>
      </c>
      <c r="H1699" s="69">
        <f t="shared" ref="H1699:H1722" si="715">IF(E1699=0,0,I1699-(E1699-1))</f>
        <v>0</v>
      </c>
      <c r="I1699" s="70">
        <f t="shared" ref="I1699:I1722" si="716">IF(E1699=0,0,H1698-1)</f>
        <v>0</v>
      </c>
      <c r="J1699" s="73" t="str">
        <f>IF(C1699="","--",IF(AND(C1699&lt;&gt;"FST",C1699&lt;&gt;"TCF",BA1698&lt;&gt;0),BA1698,"--"))</f>
        <v>--</v>
      </c>
      <c r="K1699" s="32"/>
      <c r="L1699" s="233"/>
      <c r="M1699" s="277"/>
      <c r="N1699" s="277"/>
      <c r="O1699" s="277"/>
      <c r="P1699" s="277"/>
      <c r="Q1699" s="277"/>
      <c r="R1699" s="277"/>
      <c r="S1699" s="277"/>
      <c r="T1699" s="277"/>
      <c r="U1699" s="278"/>
      <c r="V1699" s="103"/>
      <c r="W1699" s="72"/>
      <c r="X1699" s="72"/>
      <c r="Y1699" s="72"/>
      <c r="Z1699" s="45">
        <v>10</v>
      </c>
      <c r="AA1699" s="46">
        <v>109</v>
      </c>
      <c r="AB1699" s="46">
        <v>120</v>
      </c>
      <c r="AC1699" s="72">
        <f t="shared" si="706"/>
        <v>1</v>
      </c>
      <c r="AD1699" s="72">
        <f t="shared" si="707"/>
        <v>1</v>
      </c>
      <c r="AE1699" s="109" t="str">
        <f t="shared" si="708"/>
        <v>0-0</v>
      </c>
      <c r="AF1699" s="109" t="str">
        <f t="shared" si="709"/>
        <v>Y</v>
      </c>
      <c r="AG1699" s="109" t="str">
        <f t="shared" si="710"/>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11"/>
        <v>0</v>
      </c>
      <c r="AN1699" s="109">
        <f t="shared" si="712"/>
        <v>0</v>
      </c>
      <c r="AO1699" s="109" t="str">
        <f t="shared" si="713"/>
        <v/>
      </c>
      <c r="AQ1699" s="109" t="str">
        <f t="shared" si="714"/>
        <v/>
      </c>
      <c r="BA1699" s="229">
        <f>MOD(SUM(E1698:E1699),12)</f>
        <v>0</v>
      </c>
    </row>
    <row r="1700" spans="1:53" ht="15.75" thickBot="1" x14ac:dyDescent="0.3">
      <c r="A1700" s="88"/>
      <c r="B1700" s="74" t="s">
        <v>280</v>
      </c>
      <c r="C1700" s="67"/>
      <c r="D1700" s="102"/>
      <c r="E1700" s="32"/>
      <c r="F1700" s="32"/>
      <c r="G1700" s="75" t="s">
        <v>277</v>
      </c>
      <c r="H1700" s="69">
        <f t="shared" si="715"/>
        <v>0</v>
      </c>
      <c r="I1700" s="70">
        <f t="shared" si="716"/>
        <v>0</v>
      </c>
      <c r="J1700" s="73" t="str">
        <f t="shared" ref="J1700:J1722" si="717">IF(C1700="","--",IF(AND(C1700&lt;&gt;"FST",C1700&lt;&gt;"TCF",BA1699&lt;&gt;0),BA1699,"--"))</f>
        <v>--</v>
      </c>
      <c r="K1700" s="32"/>
      <c r="L1700" s="233"/>
      <c r="M1700" s="277"/>
      <c r="N1700" s="277"/>
      <c r="O1700" s="277"/>
      <c r="P1700" s="277"/>
      <c r="Q1700" s="277"/>
      <c r="R1700" s="277"/>
      <c r="S1700" s="277"/>
      <c r="T1700" s="277"/>
      <c r="U1700" s="278"/>
      <c r="V1700" s="103"/>
      <c r="W1700" s="72"/>
      <c r="X1700" s="72"/>
      <c r="Y1700" s="72"/>
      <c r="Z1700" s="45">
        <v>11</v>
      </c>
      <c r="AA1700" s="46">
        <v>121</v>
      </c>
      <c r="AB1700" s="46">
        <v>132</v>
      </c>
      <c r="AC1700" s="72">
        <f t="shared" si="706"/>
        <v>1</v>
      </c>
      <c r="AD1700" s="72">
        <f t="shared" si="707"/>
        <v>1</v>
      </c>
      <c r="AE1700" s="109" t="str">
        <f t="shared" si="708"/>
        <v>0-0</v>
      </c>
      <c r="AF1700" s="109" t="str">
        <f t="shared" si="709"/>
        <v>Y</v>
      </c>
      <c r="AG1700" s="109" t="str">
        <f t="shared" si="710"/>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11"/>
        <v>0</v>
      </c>
      <c r="AN1700" s="109">
        <f t="shared" si="712"/>
        <v>0</v>
      </c>
      <c r="AO1700" s="109" t="str">
        <f t="shared" si="713"/>
        <v/>
      </c>
      <c r="AQ1700" s="109" t="str">
        <f t="shared" si="714"/>
        <v/>
      </c>
      <c r="BA1700" s="229">
        <f>MOD(SUM(E1698:E1701),12)</f>
        <v>0</v>
      </c>
    </row>
    <row r="1701" spans="1:53" ht="15.75" thickBot="1" x14ac:dyDescent="0.3">
      <c r="A1701" s="88"/>
      <c r="B1701" s="66" t="s">
        <v>281</v>
      </c>
      <c r="C1701" s="67"/>
      <c r="D1701" s="102"/>
      <c r="E1701" s="32"/>
      <c r="F1701" s="32"/>
      <c r="G1701" s="68" t="s">
        <v>277</v>
      </c>
      <c r="H1701" s="69">
        <f t="shared" si="715"/>
        <v>0</v>
      </c>
      <c r="I1701" s="70">
        <f t="shared" si="716"/>
        <v>0</v>
      </c>
      <c r="J1701" s="73" t="str">
        <f t="shared" si="717"/>
        <v>--</v>
      </c>
      <c r="K1701" s="32"/>
      <c r="L1701" s="233"/>
      <c r="M1701" s="277"/>
      <c r="N1701" s="277"/>
      <c r="O1701" s="277"/>
      <c r="P1701" s="277"/>
      <c r="Q1701" s="277"/>
      <c r="R1701" s="277"/>
      <c r="S1701" s="277"/>
      <c r="T1701" s="277"/>
      <c r="U1701" s="278"/>
      <c r="V1701" s="103"/>
      <c r="W1701" s="72"/>
      <c r="X1701" s="72"/>
      <c r="Y1701" s="72"/>
      <c r="Z1701" s="45">
        <v>12</v>
      </c>
      <c r="AA1701" s="76">
        <v>133</v>
      </c>
      <c r="AB1701" s="76">
        <v>144</v>
      </c>
      <c r="AC1701" s="72">
        <f t="shared" si="706"/>
        <v>1</v>
      </c>
      <c r="AD1701" s="72">
        <f t="shared" si="707"/>
        <v>1</v>
      </c>
      <c r="AE1701" s="109" t="str">
        <f t="shared" si="708"/>
        <v>0-0</v>
      </c>
      <c r="AF1701" s="109" t="str">
        <f t="shared" si="709"/>
        <v>Y</v>
      </c>
      <c r="AG1701" s="109" t="str">
        <f t="shared" si="710"/>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11"/>
        <v>0</v>
      </c>
      <c r="AN1701" s="109">
        <f t="shared" si="712"/>
        <v>0</v>
      </c>
      <c r="AO1701" s="109" t="str">
        <f t="shared" si="713"/>
        <v/>
      </c>
      <c r="AQ1701" s="109" t="str">
        <f t="shared" si="714"/>
        <v/>
      </c>
      <c r="BA1701" s="229">
        <f>MOD(SUM(E1698:E1702),12)</f>
        <v>0</v>
      </c>
    </row>
    <row r="1702" spans="1:53" ht="15.75" thickBot="1" x14ac:dyDescent="0.3">
      <c r="A1702" s="88"/>
      <c r="B1702" s="66" t="s">
        <v>282</v>
      </c>
      <c r="C1702" s="67"/>
      <c r="D1702" s="102"/>
      <c r="E1702" s="32"/>
      <c r="F1702" s="32"/>
      <c r="G1702" s="68" t="s">
        <v>277</v>
      </c>
      <c r="H1702" s="69">
        <f t="shared" si="715"/>
        <v>0</v>
      </c>
      <c r="I1702" s="70">
        <f t="shared" si="716"/>
        <v>0</v>
      </c>
      <c r="J1702" s="73" t="str">
        <f t="shared" si="717"/>
        <v>--</v>
      </c>
      <c r="K1702" s="32"/>
      <c r="L1702" s="233"/>
      <c r="M1702" s="277"/>
      <c r="N1702" s="277"/>
      <c r="O1702" s="277"/>
      <c r="P1702" s="277"/>
      <c r="Q1702" s="277"/>
      <c r="R1702" s="277"/>
      <c r="S1702" s="277"/>
      <c r="T1702" s="277"/>
      <c r="U1702" s="278"/>
      <c r="V1702" s="103"/>
      <c r="W1702" s="72"/>
      <c r="X1702" s="72"/>
      <c r="Y1702" s="72"/>
      <c r="Z1702" s="45">
        <v>13</v>
      </c>
      <c r="AA1702" s="77">
        <f t="shared" ref="AA1702:AA1707" si="718">AB1701+1</f>
        <v>145</v>
      </c>
      <c r="AB1702" s="77">
        <f t="shared" ref="AB1702:AB1707" si="719">AB1701+12</f>
        <v>156</v>
      </c>
      <c r="AC1702" s="72">
        <f t="shared" si="706"/>
        <v>1</v>
      </c>
      <c r="AD1702" s="72">
        <f t="shared" si="707"/>
        <v>1</v>
      </c>
      <c r="AE1702" s="109" t="str">
        <f t="shared" si="708"/>
        <v>0-0</v>
      </c>
      <c r="AF1702" s="109" t="str">
        <f t="shared" si="709"/>
        <v>Y</v>
      </c>
      <c r="AG1702" s="109" t="str">
        <f t="shared" si="710"/>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11"/>
        <v>0</v>
      </c>
      <c r="AN1702" s="109">
        <f t="shared" si="712"/>
        <v>0</v>
      </c>
      <c r="AO1702" s="109" t="str">
        <f t="shared" si="713"/>
        <v/>
      </c>
      <c r="AQ1702" s="109" t="str">
        <f t="shared" si="714"/>
        <v/>
      </c>
      <c r="BA1702" s="229">
        <f>MOD(SUM(E1698:E1703),12)</f>
        <v>0</v>
      </c>
    </row>
    <row r="1703" spans="1:53" ht="15.75" thickBot="1" x14ac:dyDescent="0.3">
      <c r="A1703" s="88"/>
      <c r="B1703" s="66" t="s">
        <v>283</v>
      </c>
      <c r="C1703" s="67"/>
      <c r="D1703" s="102"/>
      <c r="E1703" s="32"/>
      <c r="F1703" s="32"/>
      <c r="G1703" s="68" t="s">
        <v>277</v>
      </c>
      <c r="H1703" s="69">
        <f t="shared" si="715"/>
        <v>0</v>
      </c>
      <c r="I1703" s="70">
        <f t="shared" si="716"/>
        <v>0</v>
      </c>
      <c r="J1703" s="73" t="str">
        <f t="shared" si="717"/>
        <v>--</v>
      </c>
      <c r="K1703" s="32"/>
      <c r="L1703" s="233"/>
      <c r="M1703" s="277"/>
      <c r="N1703" s="277"/>
      <c r="O1703" s="277"/>
      <c r="P1703" s="277"/>
      <c r="Q1703" s="277"/>
      <c r="R1703" s="277"/>
      <c r="S1703" s="277"/>
      <c r="T1703" s="277"/>
      <c r="U1703" s="278"/>
      <c r="V1703" s="103"/>
      <c r="W1703" s="72"/>
      <c r="X1703" s="72"/>
      <c r="Y1703" s="72"/>
      <c r="Z1703" s="45">
        <v>14</v>
      </c>
      <c r="AA1703" s="77">
        <f t="shared" si="718"/>
        <v>157</v>
      </c>
      <c r="AB1703" s="77">
        <f t="shared" si="719"/>
        <v>168</v>
      </c>
      <c r="AC1703" s="72">
        <f t="shared" si="706"/>
        <v>1</v>
      </c>
      <c r="AD1703" s="72">
        <f t="shared" si="707"/>
        <v>1</v>
      </c>
      <c r="AE1703" s="109" t="str">
        <f t="shared" si="708"/>
        <v>0-0</v>
      </c>
      <c r="AF1703" s="109" t="str">
        <f t="shared" si="709"/>
        <v>Y</v>
      </c>
      <c r="AG1703" s="109" t="str">
        <f t="shared" si="710"/>
        <v>B</v>
      </c>
      <c r="AM1703" s="109">
        <f t="shared" si="711"/>
        <v>0</v>
      </c>
      <c r="AN1703" s="109">
        <f t="shared" si="712"/>
        <v>0</v>
      </c>
      <c r="AO1703" s="109" t="str">
        <f t="shared" si="713"/>
        <v/>
      </c>
      <c r="AQ1703" s="109" t="str">
        <f t="shared" si="714"/>
        <v/>
      </c>
      <c r="BA1703" s="229">
        <f>MOD(SUM(E1698:E1704),12)</f>
        <v>0</v>
      </c>
    </row>
    <row r="1704" spans="1:53" ht="15.75" thickBot="1" x14ac:dyDescent="0.3">
      <c r="A1704" s="88"/>
      <c r="B1704" s="66" t="s">
        <v>284</v>
      </c>
      <c r="C1704" s="67"/>
      <c r="D1704" s="102"/>
      <c r="E1704" s="32"/>
      <c r="F1704" s="32"/>
      <c r="G1704" s="68" t="s">
        <v>277</v>
      </c>
      <c r="H1704" s="69">
        <f t="shared" si="715"/>
        <v>0</v>
      </c>
      <c r="I1704" s="70">
        <f t="shared" si="716"/>
        <v>0</v>
      </c>
      <c r="J1704" s="73" t="str">
        <f t="shared" si="717"/>
        <v>--</v>
      </c>
      <c r="K1704" s="32"/>
      <c r="L1704" s="233"/>
      <c r="M1704" s="277"/>
      <c r="N1704" s="277"/>
      <c r="O1704" s="277"/>
      <c r="P1704" s="277"/>
      <c r="Q1704" s="277"/>
      <c r="R1704" s="277"/>
      <c r="S1704" s="277"/>
      <c r="T1704" s="277"/>
      <c r="U1704" s="278"/>
      <c r="V1704" s="103"/>
      <c r="W1704" s="72"/>
      <c r="X1704" s="72"/>
      <c r="Y1704" s="72"/>
      <c r="Z1704" s="45">
        <v>15</v>
      </c>
      <c r="AA1704" s="77">
        <f t="shared" si="718"/>
        <v>169</v>
      </c>
      <c r="AB1704" s="77">
        <f t="shared" si="719"/>
        <v>180</v>
      </c>
      <c r="AC1704" s="72">
        <f t="shared" si="706"/>
        <v>1</v>
      </c>
      <c r="AD1704" s="72">
        <f t="shared" si="707"/>
        <v>1</v>
      </c>
      <c r="AE1704" s="109" t="str">
        <f t="shared" si="708"/>
        <v>0-0</v>
      </c>
      <c r="AF1704" s="109" t="str">
        <f t="shared" si="709"/>
        <v>Y</v>
      </c>
      <c r="AG1704" s="109" t="str">
        <f t="shared" si="710"/>
        <v>B</v>
      </c>
      <c r="AM1704" s="109">
        <f t="shared" si="711"/>
        <v>0</v>
      </c>
      <c r="AN1704" s="109">
        <f t="shared" si="712"/>
        <v>0</v>
      </c>
      <c r="AO1704" s="109" t="str">
        <f t="shared" si="713"/>
        <v/>
      </c>
      <c r="AQ1704" s="109" t="str">
        <f t="shared" si="714"/>
        <v/>
      </c>
      <c r="BA1704" s="229">
        <f>MOD(SUM(E1698:E1705),12)</f>
        <v>0</v>
      </c>
    </row>
    <row r="1705" spans="1:53" ht="15.75" thickBot="1" x14ac:dyDescent="0.3">
      <c r="A1705" s="88"/>
      <c r="B1705" s="66" t="s">
        <v>285</v>
      </c>
      <c r="C1705" s="67"/>
      <c r="D1705" s="102"/>
      <c r="E1705" s="32"/>
      <c r="F1705" s="32"/>
      <c r="G1705" s="68" t="s">
        <v>277</v>
      </c>
      <c r="H1705" s="69">
        <f t="shared" si="715"/>
        <v>0</v>
      </c>
      <c r="I1705" s="70">
        <f t="shared" si="716"/>
        <v>0</v>
      </c>
      <c r="J1705" s="73" t="str">
        <f t="shared" si="717"/>
        <v>--</v>
      </c>
      <c r="K1705" s="32"/>
      <c r="L1705" s="233"/>
      <c r="M1705" s="277"/>
      <c r="N1705" s="277"/>
      <c r="O1705" s="277"/>
      <c r="P1705" s="277"/>
      <c r="Q1705" s="277"/>
      <c r="R1705" s="277"/>
      <c r="S1705" s="277"/>
      <c r="T1705" s="277"/>
      <c r="U1705" s="278"/>
      <c r="V1705" s="103"/>
      <c r="W1705" s="72"/>
      <c r="X1705" s="72"/>
      <c r="Y1705" s="72"/>
      <c r="Z1705" s="45">
        <f>Z1704+1</f>
        <v>16</v>
      </c>
      <c r="AA1705" s="77">
        <f t="shared" si="718"/>
        <v>181</v>
      </c>
      <c r="AB1705" s="77">
        <f t="shared" si="719"/>
        <v>192</v>
      </c>
      <c r="AC1705" s="72">
        <f t="shared" si="706"/>
        <v>1</v>
      </c>
      <c r="AD1705" s="72">
        <f t="shared" si="707"/>
        <v>1</v>
      </c>
      <c r="AE1705" s="109" t="str">
        <f t="shared" si="708"/>
        <v>0-0</v>
      </c>
      <c r="AF1705" s="109" t="str">
        <f t="shared" si="709"/>
        <v>Y</v>
      </c>
      <c r="AG1705" s="109" t="str">
        <f t="shared" si="710"/>
        <v>B</v>
      </c>
      <c r="AM1705" s="109">
        <f t="shared" si="711"/>
        <v>0</v>
      </c>
      <c r="AN1705" s="109">
        <f t="shared" si="712"/>
        <v>0</v>
      </c>
      <c r="AO1705" s="109" t="str">
        <f t="shared" si="713"/>
        <v/>
      </c>
      <c r="AQ1705" s="109" t="str">
        <f t="shared" si="714"/>
        <v/>
      </c>
      <c r="BA1705" s="229">
        <f>MOD(SUM(E1698:E1706),12)</f>
        <v>0</v>
      </c>
    </row>
    <row r="1706" spans="1:53" ht="15.75" thickBot="1" x14ac:dyDescent="0.3">
      <c r="A1706" s="88"/>
      <c r="B1706" s="66" t="s">
        <v>286</v>
      </c>
      <c r="C1706" s="67"/>
      <c r="D1706" s="102"/>
      <c r="E1706" s="32"/>
      <c r="F1706" s="32"/>
      <c r="G1706" s="68" t="s">
        <v>277</v>
      </c>
      <c r="H1706" s="69">
        <f t="shared" si="715"/>
        <v>0</v>
      </c>
      <c r="I1706" s="70">
        <f t="shared" si="716"/>
        <v>0</v>
      </c>
      <c r="J1706" s="73" t="str">
        <f t="shared" si="717"/>
        <v>--</v>
      </c>
      <c r="K1706" s="32"/>
      <c r="L1706" s="233"/>
      <c r="M1706" s="277"/>
      <c r="N1706" s="277"/>
      <c r="O1706" s="277"/>
      <c r="P1706" s="277"/>
      <c r="Q1706" s="277"/>
      <c r="R1706" s="277"/>
      <c r="S1706" s="277"/>
      <c r="T1706" s="277"/>
      <c r="U1706" s="278"/>
      <c r="V1706" s="103"/>
      <c r="W1706" s="72"/>
      <c r="X1706" s="72"/>
      <c r="Y1706" s="72"/>
      <c r="Z1706" s="45">
        <f>Z1705+1</f>
        <v>17</v>
      </c>
      <c r="AA1706" s="77">
        <f t="shared" si="718"/>
        <v>193</v>
      </c>
      <c r="AB1706" s="77">
        <f t="shared" si="719"/>
        <v>204</v>
      </c>
      <c r="AC1706" s="72">
        <f t="shared" si="706"/>
        <v>1</v>
      </c>
      <c r="AD1706" s="72">
        <f t="shared" si="707"/>
        <v>1</v>
      </c>
      <c r="AE1706" s="109" t="str">
        <f t="shared" si="708"/>
        <v>0-0</v>
      </c>
      <c r="AF1706" s="109" t="str">
        <f t="shared" si="709"/>
        <v>Y</v>
      </c>
      <c r="AG1706" s="109" t="str">
        <f t="shared" si="710"/>
        <v>B</v>
      </c>
      <c r="AM1706" s="109">
        <f t="shared" si="711"/>
        <v>0</v>
      </c>
      <c r="AN1706" s="109">
        <f t="shared" si="712"/>
        <v>0</v>
      </c>
      <c r="AO1706" s="109" t="str">
        <f t="shared" si="713"/>
        <v/>
      </c>
      <c r="AQ1706" s="109" t="str">
        <f t="shared" si="714"/>
        <v/>
      </c>
      <c r="BA1706" s="229">
        <f>MOD(SUM(E1698:E1707),12)</f>
        <v>0</v>
      </c>
    </row>
    <row r="1707" spans="1:53" ht="15.75" thickBot="1" x14ac:dyDescent="0.3">
      <c r="A1707" s="88"/>
      <c r="B1707" s="66" t="s">
        <v>287</v>
      </c>
      <c r="C1707" s="67"/>
      <c r="D1707" s="102"/>
      <c r="E1707" s="32"/>
      <c r="F1707" s="32"/>
      <c r="G1707" s="68" t="s">
        <v>277</v>
      </c>
      <c r="H1707" s="69">
        <f t="shared" si="715"/>
        <v>0</v>
      </c>
      <c r="I1707" s="70">
        <f t="shared" si="716"/>
        <v>0</v>
      </c>
      <c r="J1707" s="73" t="str">
        <f t="shared" si="717"/>
        <v>--</v>
      </c>
      <c r="K1707" s="32"/>
      <c r="L1707" s="233"/>
      <c r="M1707" s="277"/>
      <c r="N1707" s="277"/>
      <c r="O1707" s="277"/>
      <c r="P1707" s="277"/>
      <c r="Q1707" s="277"/>
      <c r="R1707" s="277"/>
      <c r="S1707" s="277"/>
      <c r="T1707" s="277"/>
      <c r="U1707" s="278"/>
      <c r="V1707" s="103"/>
      <c r="W1707" s="72"/>
      <c r="X1707" s="72"/>
      <c r="Y1707" s="72"/>
      <c r="Z1707" s="45">
        <f>Z1706+1</f>
        <v>18</v>
      </c>
      <c r="AA1707" s="77">
        <f t="shared" si="718"/>
        <v>205</v>
      </c>
      <c r="AB1707" s="77">
        <f t="shared" si="719"/>
        <v>216</v>
      </c>
      <c r="AC1707" s="72">
        <f t="shared" si="706"/>
        <v>1</v>
      </c>
      <c r="AD1707" s="72">
        <f t="shared" si="707"/>
        <v>1</v>
      </c>
      <c r="AE1707" s="109" t="str">
        <f t="shared" si="708"/>
        <v>0-0</v>
      </c>
      <c r="AF1707" s="109" t="str">
        <f t="shared" si="709"/>
        <v>Y</v>
      </c>
      <c r="AG1707" s="109" t="str">
        <f t="shared" si="710"/>
        <v>B</v>
      </c>
      <c r="AM1707" s="109">
        <f t="shared" si="711"/>
        <v>0</v>
      </c>
      <c r="AN1707" s="109">
        <f t="shared" si="712"/>
        <v>0</v>
      </c>
      <c r="AO1707" s="109" t="str">
        <f t="shared" si="713"/>
        <v/>
      </c>
      <c r="AQ1707" s="109" t="str">
        <f t="shared" si="714"/>
        <v/>
      </c>
      <c r="BA1707" s="229">
        <f>MOD(SUM(E1698:E1708),12)</f>
        <v>0</v>
      </c>
    </row>
    <row r="1708" spans="1:53" ht="15.75" thickBot="1" x14ac:dyDescent="0.3">
      <c r="A1708" s="88"/>
      <c r="B1708" s="66" t="s">
        <v>288</v>
      </c>
      <c r="C1708" s="67"/>
      <c r="D1708" s="102"/>
      <c r="E1708" s="32"/>
      <c r="F1708" s="32"/>
      <c r="G1708" s="68" t="s">
        <v>277</v>
      </c>
      <c r="H1708" s="69">
        <f t="shared" si="715"/>
        <v>0</v>
      </c>
      <c r="I1708" s="70">
        <f t="shared" si="716"/>
        <v>0</v>
      </c>
      <c r="J1708" s="73" t="str">
        <f t="shared" si="717"/>
        <v>--</v>
      </c>
      <c r="K1708" s="32"/>
      <c r="L1708" s="233"/>
      <c r="M1708" s="277"/>
      <c r="N1708" s="277"/>
      <c r="O1708" s="277"/>
      <c r="P1708" s="277"/>
      <c r="Q1708" s="277"/>
      <c r="R1708" s="277"/>
      <c r="S1708" s="277"/>
      <c r="T1708" s="277"/>
      <c r="U1708" s="278"/>
      <c r="V1708" s="103"/>
      <c r="W1708" s="84"/>
      <c r="X1708" s="84"/>
      <c r="Y1708" s="72"/>
      <c r="Z1708" s="72"/>
      <c r="AA1708" s="72"/>
      <c r="AB1708" s="72"/>
      <c r="AC1708" s="72">
        <f t="shared" si="706"/>
        <v>1</v>
      </c>
      <c r="AD1708" s="72">
        <f t="shared" si="707"/>
        <v>1</v>
      </c>
      <c r="AE1708" s="109" t="str">
        <f t="shared" si="708"/>
        <v>0-0</v>
      </c>
      <c r="AF1708" s="109" t="str">
        <f t="shared" si="709"/>
        <v>Y</v>
      </c>
      <c r="AG1708" s="109" t="str">
        <f t="shared" si="710"/>
        <v>B</v>
      </c>
      <c r="AM1708" s="109">
        <f t="shared" si="711"/>
        <v>0</v>
      </c>
      <c r="AN1708" s="109">
        <f t="shared" si="712"/>
        <v>0</v>
      </c>
      <c r="AO1708" s="109" t="str">
        <f t="shared" si="713"/>
        <v/>
      </c>
      <c r="AQ1708" s="109" t="str">
        <f t="shared" si="714"/>
        <v/>
      </c>
      <c r="BA1708" s="229">
        <f>MOD(SUM(E1698:E1709),12)</f>
        <v>0</v>
      </c>
    </row>
    <row r="1709" spans="1:53" ht="15.75" thickBot="1" x14ac:dyDescent="0.3">
      <c r="A1709" s="88"/>
      <c r="B1709" s="66" t="s">
        <v>289</v>
      </c>
      <c r="C1709" s="67"/>
      <c r="D1709" s="102"/>
      <c r="E1709" s="32"/>
      <c r="F1709" s="32"/>
      <c r="G1709" s="68" t="s">
        <v>277</v>
      </c>
      <c r="H1709" s="69">
        <f t="shared" si="715"/>
        <v>0</v>
      </c>
      <c r="I1709" s="70">
        <f t="shared" si="716"/>
        <v>0</v>
      </c>
      <c r="J1709" s="73" t="str">
        <f t="shared" si="717"/>
        <v>--</v>
      </c>
      <c r="K1709" s="32"/>
      <c r="L1709" s="233"/>
      <c r="M1709" s="277"/>
      <c r="N1709" s="277"/>
      <c r="O1709" s="277"/>
      <c r="P1709" s="277"/>
      <c r="Q1709" s="277"/>
      <c r="R1709" s="277"/>
      <c r="S1709" s="277"/>
      <c r="T1709" s="277"/>
      <c r="U1709" s="278"/>
      <c r="V1709" s="103"/>
      <c r="W1709" s="84">
        <f>Y1709+1</f>
        <v>1</v>
      </c>
      <c r="X1709" s="84"/>
      <c r="Y1709" s="78">
        <f>SUM(E1698:E1709)</f>
        <v>0</v>
      </c>
      <c r="Z1709" s="72"/>
      <c r="AA1709" s="72"/>
      <c r="AB1709" s="72"/>
      <c r="AC1709" s="72">
        <f t="shared" si="706"/>
        <v>1</v>
      </c>
      <c r="AD1709" s="72">
        <f t="shared" si="707"/>
        <v>1</v>
      </c>
      <c r="AE1709" s="109" t="str">
        <f t="shared" si="708"/>
        <v>0-0</v>
      </c>
      <c r="AF1709" s="109" t="str">
        <f t="shared" si="709"/>
        <v>Y</v>
      </c>
      <c r="AG1709" s="109" t="str">
        <f t="shared" si="710"/>
        <v>B</v>
      </c>
      <c r="AM1709" s="109">
        <f t="shared" si="711"/>
        <v>0</v>
      </c>
      <c r="AN1709" s="109">
        <f t="shared" si="712"/>
        <v>0</v>
      </c>
      <c r="AO1709" s="109" t="str">
        <f t="shared" si="713"/>
        <v/>
      </c>
      <c r="AQ1709" s="109" t="str">
        <f t="shared" si="714"/>
        <v/>
      </c>
      <c r="BA1709" s="229">
        <f>MOD(SUM(E1698:E1710),12)</f>
        <v>0</v>
      </c>
    </row>
    <row r="1710" spans="1:53" ht="15.75" thickBot="1" x14ac:dyDescent="0.3">
      <c r="A1710" s="88"/>
      <c r="B1710" s="66" t="s">
        <v>290</v>
      </c>
      <c r="C1710" s="67"/>
      <c r="D1710" s="102"/>
      <c r="E1710" s="32"/>
      <c r="F1710" s="32"/>
      <c r="G1710" s="68" t="s">
        <v>277</v>
      </c>
      <c r="H1710" s="69">
        <f t="shared" si="715"/>
        <v>0</v>
      </c>
      <c r="I1710" s="70">
        <f t="shared" si="716"/>
        <v>0</v>
      </c>
      <c r="J1710" s="73" t="str">
        <f t="shared" si="717"/>
        <v>--</v>
      </c>
      <c r="K1710" s="32"/>
      <c r="L1710" s="233"/>
      <c r="M1710" s="277"/>
      <c r="N1710" s="277"/>
      <c r="O1710" s="277"/>
      <c r="P1710" s="277"/>
      <c r="Q1710" s="277"/>
      <c r="R1710" s="277"/>
      <c r="S1710" s="277"/>
      <c r="T1710" s="277"/>
      <c r="U1710" s="278"/>
      <c r="V1710" s="103"/>
      <c r="W1710" s="84">
        <f>Y1710+1</f>
        <v>1</v>
      </c>
      <c r="X1710" s="84"/>
      <c r="Y1710" s="78">
        <f>SUM(E1698:E1710)</f>
        <v>0</v>
      </c>
      <c r="Z1710" s="72" t="str">
        <f t="shared" ref="Z1710:Z1722" si="720">IF(OR(AND(E$8=216,C1709="DBL REV",C1710="DBL REV",Y1709&lt;=144,Y1710&gt;144),AND(E$8=216,C1709="TPL REV",C1710="TPL REV",Y1709&lt;=144,Y1710&gt;144),AND(E$8=216,C1709="QD REV",C1710="QD REV",Y1709&lt;=144,Y1710&gt;144)),"ERROR","")</f>
        <v/>
      </c>
      <c r="AA1710" s="72"/>
      <c r="AB1710" s="72"/>
      <c r="AC1710" s="72">
        <f t="shared" si="706"/>
        <v>1</v>
      </c>
      <c r="AD1710" s="72">
        <f t="shared" si="707"/>
        <v>1</v>
      </c>
      <c r="AE1710" s="109" t="str">
        <f t="shared" si="708"/>
        <v>0-0</v>
      </c>
      <c r="AF1710" s="109" t="str">
        <f t="shared" si="709"/>
        <v>Y</v>
      </c>
      <c r="AG1710" s="109" t="str">
        <f t="shared" si="710"/>
        <v>B</v>
      </c>
      <c r="AM1710" s="109">
        <f t="shared" si="711"/>
        <v>0</v>
      </c>
      <c r="AN1710" s="109">
        <f t="shared" si="712"/>
        <v>0</v>
      </c>
      <c r="AO1710" s="109" t="str">
        <f t="shared" si="713"/>
        <v/>
      </c>
      <c r="AQ1710" s="109" t="str">
        <f t="shared" si="714"/>
        <v/>
      </c>
      <c r="BA1710" s="229">
        <f>MOD(SUM(E1698:E1711),12)</f>
        <v>0</v>
      </c>
    </row>
    <row r="1711" spans="1:53" ht="15.75" thickBot="1" x14ac:dyDescent="0.3">
      <c r="A1711" s="88"/>
      <c r="B1711" s="66" t="s">
        <v>291</v>
      </c>
      <c r="C1711" s="67"/>
      <c r="D1711" s="102"/>
      <c r="E1711" s="32"/>
      <c r="F1711" s="32"/>
      <c r="G1711" s="68" t="s">
        <v>277</v>
      </c>
      <c r="H1711" s="69">
        <f t="shared" si="715"/>
        <v>0</v>
      </c>
      <c r="I1711" s="70">
        <f t="shared" si="716"/>
        <v>0</v>
      </c>
      <c r="J1711" s="73" t="str">
        <f t="shared" si="717"/>
        <v>--</v>
      </c>
      <c r="K1711" s="32"/>
      <c r="L1711" s="233"/>
      <c r="M1711" s="277"/>
      <c r="N1711" s="277"/>
      <c r="O1711" s="277"/>
      <c r="P1711" s="277"/>
      <c r="Q1711" s="277"/>
      <c r="R1711" s="277"/>
      <c r="S1711" s="277"/>
      <c r="T1711" s="277"/>
      <c r="U1711" s="278"/>
      <c r="V1711" s="103"/>
      <c r="W1711" s="84">
        <f>Y1711+1</f>
        <v>1</v>
      </c>
      <c r="X1711" s="84"/>
      <c r="Y1711" s="78">
        <f>SUM(E1698:E1711)</f>
        <v>0</v>
      </c>
      <c r="Z1711" s="72" t="str">
        <f t="shared" si="720"/>
        <v/>
      </c>
      <c r="AA1711" s="72"/>
      <c r="AB1711" s="72"/>
      <c r="AC1711" s="72">
        <f t="shared" si="706"/>
        <v>1</v>
      </c>
      <c r="AD1711" s="72">
        <f t="shared" si="707"/>
        <v>1</v>
      </c>
      <c r="AE1711" s="109" t="str">
        <f t="shared" si="708"/>
        <v>0-0</v>
      </c>
      <c r="AF1711" s="109" t="str">
        <f t="shared" si="709"/>
        <v>Y</v>
      </c>
      <c r="AG1711" s="109" t="str">
        <f t="shared" si="710"/>
        <v>B</v>
      </c>
      <c r="AM1711" s="109">
        <f t="shared" si="711"/>
        <v>0</v>
      </c>
      <c r="AN1711" s="109">
        <f t="shared" si="712"/>
        <v>0</v>
      </c>
      <c r="AO1711" s="109" t="str">
        <f t="shared" si="713"/>
        <v/>
      </c>
      <c r="AQ1711" s="109" t="str">
        <f t="shared" si="714"/>
        <v/>
      </c>
      <c r="BA1711" s="229">
        <f>MOD(SUM(E1698:E1712),12)</f>
        <v>0</v>
      </c>
    </row>
    <row r="1712" spans="1:53" ht="15.75" thickBot="1" x14ac:dyDescent="0.3">
      <c r="A1712" s="88"/>
      <c r="B1712" s="66" t="s">
        <v>292</v>
      </c>
      <c r="C1712" s="67"/>
      <c r="D1712" s="102"/>
      <c r="E1712" s="32"/>
      <c r="F1712" s="32"/>
      <c r="G1712" s="68" t="s">
        <v>277</v>
      </c>
      <c r="H1712" s="69">
        <f t="shared" si="715"/>
        <v>0</v>
      </c>
      <c r="I1712" s="70">
        <f t="shared" si="716"/>
        <v>0</v>
      </c>
      <c r="J1712" s="73" t="str">
        <f t="shared" si="717"/>
        <v>--</v>
      </c>
      <c r="K1712" s="32"/>
      <c r="L1712" s="233"/>
      <c r="M1712" s="277"/>
      <c r="N1712" s="277"/>
      <c r="O1712" s="277"/>
      <c r="P1712" s="277"/>
      <c r="Q1712" s="277"/>
      <c r="R1712" s="277"/>
      <c r="S1712" s="277"/>
      <c r="T1712" s="277"/>
      <c r="U1712" s="278"/>
      <c r="V1712" s="103"/>
      <c r="W1712" s="84">
        <f>Y1712+1</f>
        <v>1</v>
      </c>
      <c r="X1712" s="84"/>
      <c r="Y1712" s="78">
        <f>SUM(E1698:E1712)</f>
        <v>0</v>
      </c>
      <c r="Z1712" s="72" t="str">
        <f t="shared" si="720"/>
        <v/>
      </c>
      <c r="AA1712" s="72" t="str">
        <f t="shared" ref="AA1712:AA1724" si="721">IF(AND(C1710&lt;&gt;"Field SPL",W1709&lt;=144,Y1710&gt;144),"ERROR","")</f>
        <v/>
      </c>
      <c r="AB1712" s="72"/>
      <c r="AC1712" s="72">
        <f t="shared" si="706"/>
        <v>1</v>
      </c>
      <c r="AD1712" s="72">
        <f t="shared" si="707"/>
        <v>1</v>
      </c>
      <c r="AE1712" s="109" t="str">
        <f t="shared" si="708"/>
        <v>0-0</v>
      </c>
      <c r="AF1712" s="109" t="str">
        <f t="shared" si="709"/>
        <v>Y</v>
      </c>
      <c r="AG1712" s="109" t="str">
        <f t="shared" si="710"/>
        <v>B</v>
      </c>
      <c r="AM1712" s="109">
        <f t="shared" si="711"/>
        <v>0</v>
      </c>
      <c r="AN1712" s="109">
        <f t="shared" si="712"/>
        <v>0</v>
      </c>
      <c r="AO1712" s="109" t="str">
        <f t="shared" si="713"/>
        <v/>
      </c>
      <c r="AQ1712" s="109" t="str">
        <f t="shared" si="714"/>
        <v/>
      </c>
      <c r="BA1712" s="229">
        <f>MOD(SUM(E1698:E1713),12)</f>
        <v>0</v>
      </c>
    </row>
    <row r="1713" spans="1:53" ht="15.75" thickBot="1" x14ac:dyDescent="0.3">
      <c r="A1713" s="88"/>
      <c r="B1713" s="66" t="s">
        <v>293</v>
      </c>
      <c r="C1713" s="67"/>
      <c r="D1713" s="102"/>
      <c r="E1713" s="32"/>
      <c r="F1713" s="32"/>
      <c r="G1713" s="68" t="s">
        <v>277</v>
      </c>
      <c r="H1713" s="69">
        <f t="shared" si="715"/>
        <v>0</v>
      </c>
      <c r="I1713" s="70">
        <f t="shared" si="716"/>
        <v>0</v>
      </c>
      <c r="J1713" s="73" t="str">
        <f t="shared" si="717"/>
        <v>--</v>
      </c>
      <c r="K1713" s="32"/>
      <c r="L1713" s="233"/>
      <c r="M1713" s="277"/>
      <c r="N1713" s="277"/>
      <c r="O1713" s="277"/>
      <c r="P1713" s="277"/>
      <c r="Q1713" s="277"/>
      <c r="R1713" s="277"/>
      <c r="S1713" s="277"/>
      <c r="T1713" s="277"/>
      <c r="U1713" s="278"/>
      <c r="V1713" s="103"/>
      <c r="W1713" s="84">
        <f t="shared" ref="W1713:W1721" si="722">Y1713+1</f>
        <v>1</v>
      </c>
      <c r="X1713" s="84"/>
      <c r="Y1713" s="78">
        <f>SUM(E1698:E1713)</f>
        <v>0</v>
      </c>
      <c r="Z1713" s="72" t="str">
        <f t="shared" si="720"/>
        <v/>
      </c>
      <c r="AA1713" s="72" t="str">
        <f t="shared" si="721"/>
        <v/>
      </c>
      <c r="AB1713" s="72"/>
      <c r="AC1713" s="72">
        <f t="shared" si="706"/>
        <v>1</v>
      </c>
      <c r="AD1713" s="72">
        <f t="shared" si="707"/>
        <v>1</v>
      </c>
      <c r="AE1713" s="109" t="str">
        <f t="shared" si="708"/>
        <v>0-0</v>
      </c>
      <c r="AF1713" s="109" t="str">
        <f t="shared" si="709"/>
        <v>Y</v>
      </c>
      <c r="AG1713" s="109" t="str">
        <f t="shared" si="710"/>
        <v>B</v>
      </c>
      <c r="AM1713" s="109">
        <f t="shared" si="711"/>
        <v>0</v>
      </c>
      <c r="AN1713" s="109">
        <f t="shared" si="712"/>
        <v>0</v>
      </c>
      <c r="AO1713" s="109" t="str">
        <f t="shared" si="713"/>
        <v/>
      </c>
      <c r="AQ1713" s="109" t="str">
        <f t="shared" si="714"/>
        <v/>
      </c>
      <c r="BA1713" s="229">
        <f>MOD(SUM(E1698:E1714),12)</f>
        <v>0</v>
      </c>
    </row>
    <row r="1714" spans="1:53" ht="15.75" thickBot="1" x14ac:dyDescent="0.3">
      <c r="A1714" s="88"/>
      <c r="B1714" s="66" t="s">
        <v>294</v>
      </c>
      <c r="C1714" s="67"/>
      <c r="D1714" s="102"/>
      <c r="E1714" s="32"/>
      <c r="F1714" s="32"/>
      <c r="G1714" s="68" t="s">
        <v>277</v>
      </c>
      <c r="H1714" s="69">
        <f t="shared" si="715"/>
        <v>0</v>
      </c>
      <c r="I1714" s="70">
        <f t="shared" si="716"/>
        <v>0</v>
      </c>
      <c r="J1714" s="73" t="str">
        <f t="shared" si="717"/>
        <v>--</v>
      </c>
      <c r="K1714" s="32"/>
      <c r="L1714" s="233"/>
      <c r="M1714" s="277"/>
      <c r="N1714" s="277"/>
      <c r="O1714" s="277"/>
      <c r="P1714" s="277"/>
      <c r="Q1714" s="277"/>
      <c r="R1714" s="277"/>
      <c r="S1714" s="277"/>
      <c r="T1714" s="277"/>
      <c r="U1714" s="278"/>
      <c r="V1714" s="103"/>
      <c r="W1714" s="84">
        <f t="shared" si="722"/>
        <v>1</v>
      </c>
      <c r="X1714" s="84"/>
      <c r="Y1714" s="78">
        <f>SUM(E1698:E1714)</f>
        <v>0</v>
      </c>
      <c r="Z1714" s="72" t="str">
        <f t="shared" si="720"/>
        <v/>
      </c>
      <c r="AA1714" s="72" t="str">
        <f t="shared" si="721"/>
        <v/>
      </c>
      <c r="AB1714" s="72"/>
      <c r="AC1714" s="72">
        <f t="shared" si="706"/>
        <v>1</v>
      </c>
      <c r="AD1714" s="72">
        <f t="shared" si="707"/>
        <v>1</v>
      </c>
      <c r="AE1714" s="109" t="str">
        <f t="shared" si="708"/>
        <v>0-0</v>
      </c>
      <c r="AF1714" s="109" t="str">
        <f t="shared" si="709"/>
        <v>Y</v>
      </c>
      <c r="AG1714" s="109" t="str">
        <f t="shared" si="710"/>
        <v>B</v>
      </c>
      <c r="AM1714" s="109">
        <f t="shared" si="711"/>
        <v>0</v>
      </c>
      <c r="AN1714" s="109">
        <f t="shared" si="712"/>
        <v>0</v>
      </c>
      <c r="AO1714" s="109" t="str">
        <f t="shared" si="713"/>
        <v/>
      </c>
      <c r="AQ1714" s="109" t="str">
        <f t="shared" si="714"/>
        <v/>
      </c>
      <c r="BA1714" s="229">
        <f>MOD(SUM(E1698:E1715),12)</f>
        <v>0</v>
      </c>
    </row>
    <row r="1715" spans="1:53" ht="15.75" thickBot="1" x14ac:dyDescent="0.3">
      <c r="A1715" s="88"/>
      <c r="B1715" s="66" t="s">
        <v>295</v>
      </c>
      <c r="C1715" s="67"/>
      <c r="D1715" s="102"/>
      <c r="E1715" s="32"/>
      <c r="F1715" s="32"/>
      <c r="G1715" s="68" t="s">
        <v>277</v>
      </c>
      <c r="H1715" s="69">
        <f t="shared" si="715"/>
        <v>0</v>
      </c>
      <c r="I1715" s="70">
        <f t="shared" si="716"/>
        <v>0</v>
      </c>
      <c r="J1715" s="73" t="str">
        <f t="shared" si="717"/>
        <v>--</v>
      </c>
      <c r="K1715" s="32"/>
      <c r="L1715" s="233"/>
      <c r="M1715" s="277"/>
      <c r="N1715" s="277"/>
      <c r="O1715" s="277"/>
      <c r="P1715" s="277"/>
      <c r="Q1715" s="277"/>
      <c r="R1715" s="277"/>
      <c r="S1715" s="277"/>
      <c r="T1715" s="277"/>
      <c r="U1715" s="278"/>
      <c r="V1715" s="103"/>
      <c r="W1715" s="84">
        <f t="shared" si="722"/>
        <v>1</v>
      </c>
      <c r="X1715" s="84"/>
      <c r="Y1715" s="78">
        <f>SUM(E1698:E1715)</f>
        <v>0</v>
      </c>
      <c r="Z1715" s="72" t="str">
        <f t="shared" si="720"/>
        <v/>
      </c>
      <c r="AA1715" s="72" t="str">
        <f t="shared" si="721"/>
        <v/>
      </c>
      <c r="AB1715" s="72"/>
      <c r="AC1715" s="72">
        <f t="shared" si="706"/>
        <v>1</v>
      </c>
      <c r="AD1715" s="72">
        <f t="shared" si="707"/>
        <v>1</v>
      </c>
      <c r="AE1715" s="109" t="str">
        <f t="shared" si="708"/>
        <v>0-0</v>
      </c>
      <c r="AF1715" s="109" t="str">
        <f t="shared" si="709"/>
        <v>Y</v>
      </c>
      <c r="AG1715" s="109" t="str">
        <f t="shared" si="710"/>
        <v>B</v>
      </c>
      <c r="AM1715" s="109">
        <f t="shared" si="711"/>
        <v>0</v>
      </c>
      <c r="AN1715" s="109">
        <f t="shared" si="712"/>
        <v>0</v>
      </c>
      <c r="AO1715" s="109" t="str">
        <f t="shared" si="713"/>
        <v/>
      </c>
      <c r="AQ1715" s="109" t="str">
        <f t="shared" si="714"/>
        <v/>
      </c>
      <c r="BA1715" s="229">
        <f>MOD(SUM(E1698:E1716),12)</f>
        <v>0</v>
      </c>
    </row>
    <row r="1716" spans="1:53" ht="15.75" thickBot="1" x14ac:dyDescent="0.3">
      <c r="A1716" s="88"/>
      <c r="B1716" s="66" t="s">
        <v>296</v>
      </c>
      <c r="C1716" s="67"/>
      <c r="D1716" s="102"/>
      <c r="E1716" s="32"/>
      <c r="F1716" s="32"/>
      <c r="G1716" s="68" t="s">
        <v>277</v>
      </c>
      <c r="H1716" s="69">
        <f t="shared" si="715"/>
        <v>0</v>
      </c>
      <c r="I1716" s="70">
        <f t="shared" si="716"/>
        <v>0</v>
      </c>
      <c r="J1716" s="73" t="str">
        <f t="shared" si="717"/>
        <v>--</v>
      </c>
      <c r="K1716" s="32"/>
      <c r="L1716" s="233"/>
      <c r="M1716" s="277"/>
      <c r="N1716" s="277"/>
      <c r="O1716" s="277"/>
      <c r="P1716" s="277"/>
      <c r="Q1716" s="277"/>
      <c r="R1716" s="277"/>
      <c r="S1716" s="277"/>
      <c r="T1716" s="277"/>
      <c r="U1716" s="278"/>
      <c r="V1716" s="103"/>
      <c r="W1716" s="84">
        <f t="shared" si="722"/>
        <v>1</v>
      </c>
      <c r="X1716" s="84"/>
      <c r="Y1716" s="78">
        <f>SUM(E1698:E1716)</f>
        <v>0</v>
      </c>
      <c r="Z1716" s="72" t="str">
        <f t="shared" si="720"/>
        <v/>
      </c>
      <c r="AA1716" s="72" t="str">
        <f t="shared" si="721"/>
        <v/>
      </c>
      <c r="AB1716" s="72"/>
      <c r="AC1716" s="72">
        <f t="shared" si="706"/>
        <v>1</v>
      </c>
      <c r="AD1716" s="72">
        <f t="shared" si="707"/>
        <v>1</v>
      </c>
      <c r="AE1716" s="109" t="str">
        <f t="shared" si="708"/>
        <v>0-0</v>
      </c>
      <c r="AF1716" s="109" t="str">
        <f t="shared" si="709"/>
        <v>Y</v>
      </c>
      <c r="AG1716" s="109" t="str">
        <f t="shared" si="710"/>
        <v>B</v>
      </c>
      <c r="AM1716" s="109">
        <f t="shared" si="711"/>
        <v>0</v>
      </c>
      <c r="AN1716" s="109">
        <f t="shared" si="712"/>
        <v>0</v>
      </c>
      <c r="AO1716" s="109" t="str">
        <f t="shared" si="713"/>
        <v/>
      </c>
      <c r="AQ1716" s="109" t="str">
        <f t="shared" si="714"/>
        <v/>
      </c>
      <c r="BA1716" s="229">
        <f>MOD(SUM(E1698:E1717),12)</f>
        <v>0</v>
      </c>
    </row>
    <row r="1717" spans="1:53" ht="15.75" thickBot="1" x14ac:dyDescent="0.3">
      <c r="A1717" s="88"/>
      <c r="B1717" s="66" t="s">
        <v>297</v>
      </c>
      <c r="C1717" s="67"/>
      <c r="D1717" s="102"/>
      <c r="E1717" s="32"/>
      <c r="F1717" s="32"/>
      <c r="G1717" s="68" t="s">
        <v>277</v>
      </c>
      <c r="H1717" s="69">
        <f t="shared" si="715"/>
        <v>0</v>
      </c>
      <c r="I1717" s="70">
        <f t="shared" si="716"/>
        <v>0</v>
      </c>
      <c r="J1717" s="73" t="str">
        <f t="shared" si="717"/>
        <v>--</v>
      </c>
      <c r="K1717" s="32"/>
      <c r="L1717" s="233"/>
      <c r="M1717" s="277"/>
      <c r="N1717" s="277"/>
      <c r="O1717" s="277"/>
      <c r="P1717" s="277"/>
      <c r="Q1717" s="277"/>
      <c r="R1717" s="277"/>
      <c r="S1717" s="277"/>
      <c r="T1717" s="277"/>
      <c r="U1717" s="278"/>
      <c r="V1717" s="103"/>
      <c r="W1717" s="84">
        <f t="shared" si="722"/>
        <v>1</v>
      </c>
      <c r="X1717" s="84"/>
      <c r="Y1717" s="78">
        <f>SUM(E1698:E1717)</f>
        <v>0</v>
      </c>
      <c r="Z1717" s="72" t="str">
        <f t="shared" si="720"/>
        <v/>
      </c>
      <c r="AA1717" s="72" t="str">
        <f t="shared" si="721"/>
        <v/>
      </c>
      <c r="AB1717" s="72"/>
      <c r="AC1717" s="72">
        <f t="shared" si="706"/>
        <v>1</v>
      </c>
      <c r="AD1717" s="72">
        <f t="shared" si="707"/>
        <v>1</v>
      </c>
      <c r="AE1717" s="109" t="str">
        <f t="shared" si="708"/>
        <v>0-0</v>
      </c>
      <c r="AF1717" s="109" t="str">
        <f t="shared" si="709"/>
        <v>Y</v>
      </c>
      <c r="AG1717" s="109" t="str">
        <f t="shared" si="710"/>
        <v>B</v>
      </c>
      <c r="AM1717" s="109">
        <f t="shared" si="711"/>
        <v>0</v>
      </c>
      <c r="AN1717" s="109">
        <f t="shared" si="712"/>
        <v>0</v>
      </c>
      <c r="AO1717" s="109" t="str">
        <f t="shared" si="713"/>
        <v/>
      </c>
      <c r="AQ1717" s="109" t="str">
        <f t="shared" si="714"/>
        <v/>
      </c>
      <c r="BA1717" s="229">
        <f>MOD(SUM(E1698:E1718),12)</f>
        <v>0</v>
      </c>
    </row>
    <row r="1718" spans="1:53" ht="15.75" thickBot="1" x14ac:dyDescent="0.3">
      <c r="A1718" s="88"/>
      <c r="B1718" s="66" t="s">
        <v>298</v>
      </c>
      <c r="C1718" s="67"/>
      <c r="D1718" s="102"/>
      <c r="E1718" s="32"/>
      <c r="F1718" s="32"/>
      <c r="G1718" s="68" t="s">
        <v>277</v>
      </c>
      <c r="H1718" s="69">
        <f t="shared" si="715"/>
        <v>0</v>
      </c>
      <c r="I1718" s="70">
        <f t="shared" si="716"/>
        <v>0</v>
      </c>
      <c r="J1718" s="73" t="str">
        <f t="shared" si="717"/>
        <v>--</v>
      </c>
      <c r="K1718" s="32"/>
      <c r="L1718" s="233"/>
      <c r="M1718" s="277"/>
      <c r="N1718" s="277"/>
      <c r="O1718" s="277"/>
      <c r="P1718" s="277"/>
      <c r="Q1718" s="277"/>
      <c r="R1718" s="277"/>
      <c r="S1718" s="277"/>
      <c r="T1718" s="277"/>
      <c r="U1718" s="278"/>
      <c r="V1718" s="103"/>
      <c r="W1718" s="84">
        <f t="shared" si="722"/>
        <v>1</v>
      </c>
      <c r="X1718" s="84"/>
      <c r="Y1718" s="78">
        <f>SUM(E1698:E1718)</f>
        <v>0</v>
      </c>
      <c r="Z1718" s="72" t="str">
        <f t="shared" si="720"/>
        <v/>
      </c>
      <c r="AA1718" s="72" t="str">
        <f t="shared" si="721"/>
        <v/>
      </c>
      <c r="AB1718" s="72"/>
      <c r="AC1718" s="72">
        <f t="shared" si="706"/>
        <v>1</v>
      </c>
      <c r="AD1718" s="72">
        <f t="shared" si="707"/>
        <v>1</v>
      </c>
      <c r="AE1718" s="109" t="str">
        <f t="shared" si="708"/>
        <v>0-0</v>
      </c>
      <c r="AF1718" s="109" t="str">
        <f t="shared" si="709"/>
        <v>Y</v>
      </c>
      <c r="AG1718" s="109" t="str">
        <f t="shared" si="710"/>
        <v>B</v>
      </c>
      <c r="AM1718" s="109">
        <f t="shared" si="711"/>
        <v>0</v>
      </c>
      <c r="AN1718" s="109">
        <f t="shared" si="712"/>
        <v>0</v>
      </c>
      <c r="AO1718" s="109" t="str">
        <f t="shared" si="713"/>
        <v/>
      </c>
      <c r="AQ1718" s="109" t="str">
        <f t="shared" si="714"/>
        <v/>
      </c>
      <c r="BA1718" s="229">
        <f>MOD(SUM(E1698:E1719),12)</f>
        <v>0</v>
      </c>
    </row>
    <row r="1719" spans="1:53" ht="15.75" thickBot="1" x14ac:dyDescent="0.3">
      <c r="A1719" s="88"/>
      <c r="B1719" s="66" t="s">
        <v>299</v>
      </c>
      <c r="C1719" s="67"/>
      <c r="D1719" s="102"/>
      <c r="E1719" s="32"/>
      <c r="F1719" s="32"/>
      <c r="G1719" s="68" t="s">
        <v>277</v>
      </c>
      <c r="H1719" s="69">
        <f t="shared" si="715"/>
        <v>0</v>
      </c>
      <c r="I1719" s="70">
        <f t="shared" si="716"/>
        <v>0</v>
      </c>
      <c r="J1719" s="73" t="str">
        <f t="shared" si="717"/>
        <v>--</v>
      </c>
      <c r="K1719" s="32"/>
      <c r="L1719" s="233"/>
      <c r="M1719" s="277"/>
      <c r="N1719" s="277"/>
      <c r="O1719" s="277"/>
      <c r="P1719" s="277"/>
      <c r="Q1719" s="277"/>
      <c r="R1719" s="277"/>
      <c r="S1719" s="277"/>
      <c r="T1719" s="277"/>
      <c r="U1719" s="278"/>
      <c r="V1719" s="103"/>
      <c r="W1719" s="84">
        <f t="shared" si="722"/>
        <v>1</v>
      </c>
      <c r="X1719" s="84"/>
      <c r="Y1719" s="78">
        <f>SUM(E1698:E1719)</f>
        <v>0</v>
      </c>
      <c r="Z1719" s="72" t="str">
        <f t="shared" si="720"/>
        <v/>
      </c>
      <c r="AA1719" s="72" t="str">
        <f t="shared" si="721"/>
        <v/>
      </c>
      <c r="AB1719" s="72"/>
      <c r="AC1719" s="72">
        <f t="shared" si="706"/>
        <v>1</v>
      </c>
      <c r="AD1719" s="72">
        <f t="shared" si="707"/>
        <v>1</v>
      </c>
      <c r="AE1719" s="109" t="str">
        <f t="shared" si="708"/>
        <v>0-0</v>
      </c>
      <c r="AF1719" s="109" t="str">
        <f t="shared" si="709"/>
        <v>Y</v>
      </c>
      <c r="AG1719" s="109" t="str">
        <f t="shared" si="710"/>
        <v>B</v>
      </c>
      <c r="AM1719" s="109">
        <f t="shared" si="711"/>
        <v>0</v>
      </c>
      <c r="AN1719" s="109">
        <f t="shared" si="712"/>
        <v>0</v>
      </c>
      <c r="AO1719" s="109" t="str">
        <f t="shared" si="713"/>
        <v/>
      </c>
      <c r="AQ1719" s="109" t="str">
        <f t="shared" si="714"/>
        <v/>
      </c>
      <c r="BA1719" s="229">
        <f>MOD(SUM(E1698:E1720),12)</f>
        <v>0</v>
      </c>
    </row>
    <row r="1720" spans="1:53" ht="15.75" thickBot="1" x14ac:dyDescent="0.3">
      <c r="A1720" s="88"/>
      <c r="B1720" s="66" t="s">
        <v>300</v>
      </c>
      <c r="C1720" s="67"/>
      <c r="D1720" s="102"/>
      <c r="E1720" s="32"/>
      <c r="F1720" s="32"/>
      <c r="G1720" s="68" t="s">
        <v>277</v>
      </c>
      <c r="H1720" s="69">
        <f t="shared" si="715"/>
        <v>0</v>
      </c>
      <c r="I1720" s="70">
        <f t="shared" si="716"/>
        <v>0</v>
      </c>
      <c r="J1720" s="73" t="str">
        <f t="shared" si="717"/>
        <v>--</v>
      </c>
      <c r="K1720" s="32"/>
      <c r="L1720" s="233"/>
      <c r="M1720" s="277"/>
      <c r="N1720" s="277"/>
      <c r="O1720" s="277"/>
      <c r="P1720" s="277"/>
      <c r="Q1720" s="277"/>
      <c r="R1720" s="277"/>
      <c r="S1720" s="277"/>
      <c r="T1720" s="277"/>
      <c r="U1720" s="278"/>
      <c r="V1720" s="103"/>
      <c r="W1720" s="84">
        <f t="shared" si="722"/>
        <v>1</v>
      </c>
      <c r="X1720" s="84"/>
      <c r="Y1720" s="78">
        <f>SUM(E1698:E1720)</f>
        <v>0</v>
      </c>
      <c r="Z1720" s="72" t="str">
        <f t="shared" si="720"/>
        <v/>
      </c>
      <c r="AA1720" s="72" t="str">
        <f t="shared" si="721"/>
        <v/>
      </c>
      <c r="AB1720" s="72"/>
      <c r="AC1720" s="72">
        <f t="shared" si="706"/>
        <v>1</v>
      </c>
      <c r="AD1720" s="72">
        <f t="shared" si="707"/>
        <v>1</v>
      </c>
      <c r="AE1720" s="109" t="str">
        <f t="shared" si="708"/>
        <v>0-0</v>
      </c>
      <c r="AF1720" s="109" t="str">
        <f t="shared" si="709"/>
        <v>Y</v>
      </c>
      <c r="AG1720" s="109" t="str">
        <f t="shared" si="710"/>
        <v>B</v>
      </c>
      <c r="AM1720" s="109">
        <f t="shared" si="711"/>
        <v>0</v>
      </c>
      <c r="AN1720" s="109">
        <f t="shared" si="712"/>
        <v>0</v>
      </c>
      <c r="AO1720" s="109" t="str">
        <f t="shared" si="713"/>
        <v/>
      </c>
      <c r="AQ1720" s="109" t="str">
        <f t="shared" si="714"/>
        <v/>
      </c>
      <c r="BA1720" s="229">
        <f>MOD(SUM(E1698:E1721),12)</f>
        <v>0</v>
      </c>
    </row>
    <row r="1721" spans="1:53" ht="15.75" thickBot="1" x14ac:dyDescent="0.3">
      <c r="A1721" s="88"/>
      <c r="B1721" s="66" t="s">
        <v>301</v>
      </c>
      <c r="C1721" s="67"/>
      <c r="D1721" s="102"/>
      <c r="E1721" s="32"/>
      <c r="F1721" s="32"/>
      <c r="G1721" s="68" t="s">
        <v>277</v>
      </c>
      <c r="H1721" s="69">
        <f t="shared" si="715"/>
        <v>0</v>
      </c>
      <c r="I1721" s="70">
        <f t="shared" si="716"/>
        <v>0</v>
      </c>
      <c r="J1721" s="73" t="str">
        <f t="shared" si="717"/>
        <v>--</v>
      </c>
      <c r="K1721" s="32"/>
      <c r="L1721" s="233"/>
      <c r="M1721" s="277"/>
      <c r="N1721" s="277"/>
      <c r="O1721" s="277"/>
      <c r="P1721" s="277"/>
      <c r="Q1721" s="277"/>
      <c r="R1721" s="277"/>
      <c r="S1721" s="277"/>
      <c r="T1721" s="277"/>
      <c r="U1721" s="278"/>
      <c r="V1721" s="103"/>
      <c r="W1721" s="84">
        <f t="shared" si="722"/>
        <v>1</v>
      </c>
      <c r="X1721" s="84"/>
      <c r="Y1721" s="78">
        <f>SUM(E1698:E1721)</f>
        <v>0</v>
      </c>
      <c r="Z1721" s="72" t="str">
        <f t="shared" si="720"/>
        <v/>
      </c>
      <c r="AA1721" s="72" t="str">
        <f t="shared" si="721"/>
        <v/>
      </c>
      <c r="AB1721" s="72"/>
      <c r="AC1721" s="72">
        <f t="shared" si="706"/>
        <v>1</v>
      </c>
      <c r="AD1721" s="72">
        <f t="shared" si="707"/>
        <v>1</v>
      </c>
      <c r="AE1721" s="109" t="str">
        <f t="shared" si="708"/>
        <v>0-0</v>
      </c>
      <c r="AF1721" s="109" t="str">
        <f t="shared" si="709"/>
        <v>Y</v>
      </c>
      <c r="AG1721" s="109" t="str">
        <f t="shared" si="710"/>
        <v>B</v>
      </c>
      <c r="AM1721" s="109">
        <f t="shared" si="711"/>
        <v>0</v>
      </c>
      <c r="AN1721" s="109">
        <f t="shared" si="712"/>
        <v>0</v>
      </c>
      <c r="AO1721" s="109" t="str">
        <f t="shared" si="713"/>
        <v/>
      </c>
      <c r="AQ1721" s="109" t="str">
        <f t="shared" si="714"/>
        <v/>
      </c>
      <c r="BA1721" s="229">
        <f>MOD(SUM(E1698:E1722),12)</f>
        <v>0</v>
      </c>
    </row>
    <row r="1722" spans="1:53" ht="15.75" thickBot="1" x14ac:dyDescent="0.3">
      <c r="A1722" s="88"/>
      <c r="B1722" s="66" t="s">
        <v>302</v>
      </c>
      <c r="C1722" s="67"/>
      <c r="D1722" s="102"/>
      <c r="E1722" s="32"/>
      <c r="F1722" s="32"/>
      <c r="G1722" s="68" t="s">
        <v>277</v>
      </c>
      <c r="H1722" s="69">
        <f t="shared" si="715"/>
        <v>0</v>
      </c>
      <c r="I1722" s="70">
        <f t="shared" si="716"/>
        <v>0</v>
      </c>
      <c r="J1722" s="73" t="str">
        <f t="shared" si="717"/>
        <v>--</v>
      </c>
      <c r="K1722" s="32"/>
      <c r="L1722" s="234"/>
      <c r="M1722" s="277"/>
      <c r="N1722" s="277"/>
      <c r="O1722" s="277"/>
      <c r="P1722" s="277"/>
      <c r="Q1722" s="277"/>
      <c r="R1722" s="277"/>
      <c r="S1722" s="277"/>
      <c r="T1722" s="277"/>
      <c r="U1722" s="278"/>
      <c r="V1722" s="103"/>
      <c r="W1722" s="72"/>
      <c r="X1722" s="72"/>
      <c r="Y1722" s="78">
        <f>SUM(E1698:E1722)</f>
        <v>0</v>
      </c>
      <c r="Z1722" s="72" t="str">
        <f t="shared" si="720"/>
        <v/>
      </c>
      <c r="AA1722" s="72" t="str">
        <f t="shared" si="721"/>
        <v/>
      </c>
      <c r="AB1722" s="72"/>
      <c r="AC1722" s="72">
        <f t="shared" si="706"/>
        <v>1</v>
      </c>
      <c r="AD1722" s="72">
        <f t="shared" si="707"/>
        <v>1</v>
      </c>
      <c r="AE1722" s="109" t="str">
        <f t="shared" si="708"/>
        <v>0-0</v>
      </c>
      <c r="AF1722" s="109" t="str">
        <f t="shared" si="709"/>
        <v>Y</v>
      </c>
      <c r="AG1722" s="109" t="str">
        <f t="shared" si="710"/>
        <v>B</v>
      </c>
      <c r="AM1722" s="109">
        <f t="shared" si="711"/>
        <v>0</v>
      </c>
      <c r="AN1722" s="109">
        <f t="shared" si="712"/>
        <v>0</v>
      </c>
      <c r="AO1722" s="109" t="str">
        <f t="shared" si="713"/>
        <v/>
      </c>
      <c r="AQ1722" s="109" t="str">
        <f t="shared" si="714"/>
        <v/>
      </c>
      <c r="BA1722" s="228"/>
    </row>
    <row r="1723" spans="1:53" ht="16.5" thickBot="1" x14ac:dyDescent="0.3">
      <c r="A1723" s="88"/>
      <c r="B1723" s="319" t="s">
        <v>387</v>
      </c>
      <c r="C1723" s="320"/>
      <c r="D1723" s="79"/>
      <c r="E1723" s="80"/>
      <c r="F1723" s="80"/>
      <c r="G1723" s="81"/>
      <c r="H1723" s="192"/>
      <c r="I1723" s="192"/>
      <c r="J1723" s="192"/>
      <c r="K1723" s="82"/>
      <c r="L1723" s="319" t="s">
        <v>306</v>
      </c>
      <c r="M1723" s="330"/>
      <c r="N1723" s="330"/>
      <c r="O1723" s="330"/>
      <c r="P1723" s="330"/>
      <c r="Q1723" s="330"/>
      <c r="R1723" s="330"/>
      <c r="S1723" s="330"/>
      <c r="T1723" s="330"/>
      <c r="U1723" s="320"/>
      <c r="V1723" s="104"/>
      <c r="W1723" s="72"/>
      <c r="X1723" s="72"/>
      <c r="Y1723" s="72"/>
      <c r="Z1723" s="72"/>
      <c r="AA1723" s="72" t="str">
        <f t="shared" si="721"/>
        <v/>
      </c>
      <c r="AB1723" s="72"/>
      <c r="AC1723" s="72">
        <f>SUM(AC1698:AC1722)</f>
        <v>25</v>
      </c>
      <c r="AD1723" s="72">
        <f>SUM(AD1698:AD1722)</f>
        <v>25</v>
      </c>
      <c r="AE1723" s="109" t="str">
        <f t="shared" si="708"/>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319" t="s">
        <v>307</v>
      </c>
      <c r="C1724" s="320"/>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21"/>
        <v/>
      </c>
      <c r="AB1724" s="72"/>
      <c r="AC1724" s="72"/>
      <c r="AD1724" s="72"/>
      <c r="AE1724" s="109" t="str">
        <f t="shared" si="708"/>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312" t="s">
        <v>222</v>
      </c>
      <c r="C1728" s="313"/>
      <c r="D1728" s="314" t="s">
        <v>223</v>
      </c>
      <c r="E1728" s="305"/>
      <c r="F1728" s="88"/>
      <c r="G1728" s="315" t="s">
        <v>224</v>
      </c>
      <c r="H1728" s="316"/>
      <c r="I1728" s="28">
        <f>SUM(E1739:E1763)</f>
        <v>0</v>
      </c>
      <c r="J1728" s="317" t="s">
        <v>225</v>
      </c>
      <c r="K1728" s="318"/>
      <c r="L1728" s="305"/>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5" t="s">
        <v>226</v>
      </c>
      <c r="AA1728" s="296"/>
      <c r="AB1728" s="297"/>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4" t="s">
        <v>230</v>
      </c>
      <c r="H1729" s="305"/>
      <c r="I1729" s="33">
        <f>E1730-I1728</f>
        <v>0</v>
      </c>
      <c r="J1729" s="289" t="s">
        <v>231</v>
      </c>
      <c r="K1729" s="290"/>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298" t="s">
        <v>232</v>
      </c>
      <c r="AA1729" s="300" t="s">
        <v>233</v>
      </c>
      <c r="AB1729" s="301"/>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291" t="s">
        <v>237</v>
      </c>
      <c r="H1730" s="292"/>
      <c r="I1730" s="35">
        <f>IF(E1730=0,0,12-(MOD(I1728,12)))</f>
        <v>0</v>
      </c>
      <c r="J1730" s="289" t="s">
        <v>238</v>
      </c>
      <c r="K1730" s="290"/>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299"/>
      <c r="AA1730" s="302"/>
      <c r="AB1730" s="303"/>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321" t="s">
        <v>242</v>
      </c>
      <c r="H1731" s="43" t="s">
        <v>243</v>
      </c>
      <c r="I1731" s="35">
        <f>IF(E1731&lt;&gt;0,1,0)</f>
        <v>0</v>
      </c>
      <c r="J1731" s="291" t="s">
        <v>244</v>
      </c>
      <c r="K1731" s="292"/>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322"/>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321" t="s">
        <v>251</v>
      </c>
      <c r="H1733" s="51" t="s">
        <v>252</v>
      </c>
      <c r="I1733" s="112">
        <f>E1732</f>
        <v>0</v>
      </c>
      <c r="J1733" s="323" t="s">
        <v>253</v>
      </c>
      <c r="K1733" s="324"/>
      <c r="L1733" s="325"/>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322"/>
      <c r="H1734" s="47" t="s">
        <v>257</v>
      </c>
      <c r="I1734" s="35" t="str">
        <f>IF(E1732="","0",IF(AND(E1729="EUC",E1730=432), I1733+(203-E1731),IF(E1732=0,0,(E1732+(E1730-E1731)-1))))</f>
        <v>0</v>
      </c>
      <c r="J1734" s="285" t="str">
        <f>IFERROR(IF(OR(E1729="EUC",E1729="SS"),"---",IF(OR(P1728,S1728),"NO 2F Tethers for RPX!",IF(OR(P1730,S1730),"NO 6F Tethers for RPX!","---"))),"---")</f>
        <v>---</v>
      </c>
      <c r="K1734" s="286"/>
      <c r="L1734" s="287"/>
      <c r="M1734" s="285" t="str">
        <f>IF(E1731&gt;60,"Dead Count &gt;60: Consider Downsize","---")</f>
        <v>---</v>
      </c>
      <c r="N1734" s="286"/>
      <c r="O1734" s="286"/>
      <c r="P1734" s="286"/>
      <c r="Q1734" s="286"/>
      <c r="R1734" s="286"/>
      <c r="S1734" s="286"/>
      <c r="T1734" s="286"/>
      <c r="U1734" s="287"/>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85"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86"/>
      <c r="L1735" s="287"/>
      <c r="M1735" s="285" t="str">
        <f>IF(AND(OR(E1729="SS",E1729="RPX",E1729="EUC",E1729="RPX-T"),(OR(C1739="",C1739="Field SPL"))),"Cannot have FlexNap cables without tethers","---")</f>
        <v>---</v>
      </c>
      <c r="N1735" s="286"/>
      <c r="O1735" s="286"/>
      <c r="P1735" s="286"/>
      <c r="Q1735" s="286"/>
      <c r="R1735" s="286"/>
      <c r="S1735" s="286"/>
      <c r="T1735" s="286"/>
      <c r="U1735" s="287"/>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85" t="str">
        <f>IF(AND(OR(E1729="RPX", E1729="RPX-T", E1729="SS"),E1730=216),"NO 216 For RPX, RPX-T, OR SS CABLE","---")</f>
        <v>---</v>
      </c>
      <c r="K1736" s="286"/>
      <c r="L1736" s="287"/>
      <c r="M1736" s="285" t="str" cm="1">
        <f t="array" ref="M1736">IF(AND(E1729="",OR(C1739:C1763="FST",C1739:C1763="REV T",C1739:C1763="DBL REV",C1739:C1763="TPL REV", C1739:C1763="QD REV")),"Non-FlexNap cables cannot have tethers","---")</f>
        <v>---</v>
      </c>
      <c r="N1736" s="286"/>
      <c r="O1736" s="286"/>
      <c r="P1736" s="286"/>
      <c r="Q1736" s="286"/>
      <c r="R1736" s="286"/>
      <c r="S1736" s="286"/>
      <c r="T1736" s="286"/>
      <c r="U1736" s="287"/>
      <c r="V1736" s="25"/>
      <c r="W1736" s="58"/>
      <c r="X1736" s="58"/>
      <c r="Y1736" s="25"/>
      <c r="Z1736" s="45">
        <v>6</v>
      </c>
      <c r="AA1736" s="65">
        <v>61</v>
      </c>
      <c r="AB1736" s="65">
        <v>72</v>
      </c>
      <c r="AC1736" s="25"/>
      <c r="AD1736" s="25"/>
      <c r="BA1736" s="226"/>
    </row>
    <row r="1737" spans="1:53" ht="15.75" customHeight="1" thickBot="1" x14ac:dyDescent="0.3">
      <c r="A1737" s="88"/>
      <c r="B1737" s="321" t="s">
        <v>260</v>
      </c>
      <c r="C1737" s="293" t="s">
        <v>261</v>
      </c>
      <c r="D1737" s="293" t="s">
        <v>262</v>
      </c>
      <c r="E1737" s="306" t="s">
        <v>263</v>
      </c>
      <c r="F1737" s="293" t="s">
        <v>264</v>
      </c>
      <c r="G1737" s="308" t="s">
        <v>265</v>
      </c>
      <c r="H1737" s="308" t="s">
        <v>266</v>
      </c>
      <c r="I1737" s="308" t="s">
        <v>267</v>
      </c>
      <c r="J1737" s="310" t="s">
        <v>268</v>
      </c>
      <c r="K1737" s="293" t="s">
        <v>269</v>
      </c>
      <c r="L1737" s="279" t="s">
        <v>270</v>
      </c>
      <c r="M1737" s="281" t="s">
        <v>271</v>
      </c>
      <c r="N1737" s="281"/>
      <c r="O1737" s="281"/>
      <c r="P1737" s="281"/>
      <c r="Q1737" s="281"/>
      <c r="R1737" s="281"/>
      <c r="S1737" s="281"/>
      <c r="T1737" s="281"/>
      <c r="U1737" s="282"/>
      <c r="V1737" s="107"/>
      <c r="W1737" s="72"/>
      <c r="X1737" s="72"/>
      <c r="Y1737" s="72"/>
      <c r="Z1737" s="45">
        <v>7</v>
      </c>
      <c r="AA1737" s="65">
        <v>73</v>
      </c>
      <c r="AB1737" s="65">
        <v>84</v>
      </c>
      <c r="AC1737" s="25"/>
      <c r="AD1737" s="25"/>
      <c r="BA1737" s="228"/>
    </row>
    <row r="1738" spans="1:53" ht="15.75" thickBot="1" x14ac:dyDescent="0.3">
      <c r="A1738" s="88"/>
      <c r="B1738" s="322"/>
      <c r="C1738" s="294"/>
      <c r="D1738" s="294"/>
      <c r="E1738" s="307"/>
      <c r="F1738" s="294"/>
      <c r="G1738" s="309"/>
      <c r="H1738" s="309"/>
      <c r="I1738" s="309"/>
      <c r="J1738" s="311"/>
      <c r="K1738" s="294"/>
      <c r="L1738" s="280"/>
      <c r="M1738" s="283"/>
      <c r="N1738" s="283"/>
      <c r="O1738" s="283"/>
      <c r="P1738" s="283"/>
      <c r="Q1738" s="283"/>
      <c r="R1738" s="283"/>
      <c r="S1738" s="283"/>
      <c r="T1738" s="283"/>
      <c r="U1738" s="284"/>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77"/>
      <c r="N1739" s="277"/>
      <c r="O1739" s="277"/>
      <c r="P1739" s="277"/>
      <c r="Q1739" s="277"/>
      <c r="R1739" s="277"/>
      <c r="S1739" s="277"/>
      <c r="T1739" s="277"/>
      <c r="U1739" s="278"/>
      <c r="V1739" s="103"/>
      <c r="W1739" s="72"/>
      <c r="X1739" s="72"/>
      <c r="Y1739" s="72"/>
      <c r="Z1739" s="45">
        <v>9</v>
      </c>
      <c r="AA1739" s="46">
        <v>97</v>
      </c>
      <c r="AB1739" s="46">
        <v>108</v>
      </c>
      <c r="AC1739" s="72">
        <f t="shared" ref="AC1739:AC1763" si="723">IF(B1739&lt;&gt;"FST",1,0)</f>
        <v>1</v>
      </c>
      <c r="AD1739" s="72">
        <f t="shared" ref="AD1739:AD1763" si="724">IF(C1739&lt;&gt;"FST",1,0)</f>
        <v>1</v>
      </c>
      <c r="AE1739" s="109" t="str">
        <f t="shared" ref="AE1739:AE1765" si="725">CONCATENATE(H1739,"-",I1739)</f>
        <v>0-0</v>
      </c>
      <c r="AF1739" s="109" t="str">
        <f t="shared" ref="AF1739:AF1763" si="726">IF(C1739="Field SPL","N","Y")</f>
        <v>Y</v>
      </c>
      <c r="AG1739" s="109" t="str">
        <f t="shared" ref="AG1739:AG1763" si="727">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28">VALUE(IF(C1739="FST","0",IF(C1739="REV T","1",IF(C1739="DBL REV",".5","0"))))</f>
        <v>0</v>
      </c>
      <c r="AN1739" s="109">
        <f t="shared" ref="AN1739:AN1763" si="729">VALUE(IF(C1739="FST","0",IF(C1739="REV T","0",IF(C1739="DBL REV",".5","0"))))</f>
        <v>0</v>
      </c>
      <c r="AO1739" s="109" t="str">
        <f t="shared" ref="AO1739:AO1763" si="730">IF(C1739="TPL REV","Y","")</f>
        <v/>
      </c>
      <c r="AQ1739" s="109" t="str">
        <f t="shared" ref="AQ1739:AQ1763" si="731">IF(C1739="QD REV","Y","")</f>
        <v/>
      </c>
      <c r="BA1739" s="229">
        <f>MOD(E1739,12)</f>
        <v>0</v>
      </c>
    </row>
    <row r="1740" spans="1:53" ht="15.75" thickBot="1" x14ac:dyDescent="0.3">
      <c r="A1740" s="88"/>
      <c r="B1740" s="66" t="s">
        <v>279</v>
      </c>
      <c r="C1740" s="67"/>
      <c r="D1740" s="102"/>
      <c r="E1740" s="32"/>
      <c r="F1740" s="32"/>
      <c r="G1740" s="68" t="s">
        <v>277</v>
      </c>
      <c r="H1740" s="69">
        <f t="shared" ref="H1740:H1763" si="732">IF(E1740=0,0,I1740-(E1740-1))</f>
        <v>0</v>
      </c>
      <c r="I1740" s="70">
        <f t="shared" ref="I1740:I1763" si="733">IF(E1740=0,0,H1739-1)</f>
        <v>0</v>
      </c>
      <c r="J1740" s="73" t="str">
        <f>IF(C1740="","--",IF(AND(C1740&lt;&gt;"FST",C1740&lt;&gt;"TCF",BA1739&lt;&gt;0),BA1739,"--"))</f>
        <v>--</v>
      </c>
      <c r="K1740" s="32"/>
      <c r="L1740" s="233"/>
      <c r="M1740" s="277"/>
      <c r="N1740" s="277"/>
      <c r="O1740" s="277"/>
      <c r="P1740" s="277"/>
      <c r="Q1740" s="277"/>
      <c r="R1740" s="277"/>
      <c r="S1740" s="277"/>
      <c r="T1740" s="277"/>
      <c r="U1740" s="278"/>
      <c r="V1740" s="103"/>
      <c r="W1740" s="72"/>
      <c r="X1740" s="72"/>
      <c r="Y1740" s="72"/>
      <c r="Z1740" s="45">
        <v>10</v>
      </c>
      <c r="AA1740" s="46">
        <v>109</v>
      </c>
      <c r="AB1740" s="46">
        <v>120</v>
      </c>
      <c r="AC1740" s="72">
        <f t="shared" si="723"/>
        <v>1</v>
      </c>
      <c r="AD1740" s="72">
        <f t="shared" si="724"/>
        <v>1</v>
      </c>
      <c r="AE1740" s="109" t="str">
        <f t="shared" si="725"/>
        <v>0-0</v>
      </c>
      <c r="AF1740" s="109" t="str">
        <f t="shared" si="726"/>
        <v>Y</v>
      </c>
      <c r="AG1740" s="109" t="str">
        <f t="shared" si="727"/>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28"/>
        <v>0</v>
      </c>
      <c r="AN1740" s="109">
        <f t="shared" si="729"/>
        <v>0</v>
      </c>
      <c r="AO1740" s="109" t="str">
        <f t="shared" si="730"/>
        <v/>
      </c>
      <c r="AQ1740" s="109" t="str">
        <f t="shared" si="731"/>
        <v/>
      </c>
      <c r="BA1740" s="229">
        <f>MOD(SUM(E1739:E1740),12)</f>
        <v>0</v>
      </c>
    </row>
    <row r="1741" spans="1:53" ht="15.75" thickBot="1" x14ac:dyDescent="0.3">
      <c r="A1741" s="88"/>
      <c r="B1741" s="74" t="s">
        <v>280</v>
      </c>
      <c r="C1741" s="67"/>
      <c r="D1741" s="102"/>
      <c r="E1741" s="32"/>
      <c r="F1741" s="32"/>
      <c r="G1741" s="75" t="s">
        <v>277</v>
      </c>
      <c r="H1741" s="69">
        <f t="shared" si="732"/>
        <v>0</v>
      </c>
      <c r="I1741" s="70">
        <f t="shared" si="733"/>
        <v>0</v>
      </c>
      <c r="J1741" s="73" t="str">
        <f t="shared" ref="J1741:J1763" si="734">IF(C1741="","--",IF(AND(C1741&lt;&gt;"FST",C1741&lt;&gt;"TCF",BA1740&lt;&gt;0),BA1740,"--"))</f>
        <v>--</v>
      </c>
      <c r="K1741" s="32"/>
      <c r="L1741" s="233"/>
      <c r="M1741" s="277"/>
      <c r="N1741" s="277"/>
      <c r="O1741" s="277"/>
      <c r="P1741" s="277"/>
      <c r="Q1741" s="277"/>
      <c r="R1741" s="277"/>
      <c r="S1741" s="277"/>
      <c r="T1741" s="277"/>
      <c r="U1741" s="278"/>
      <c r="V1741" s="103"/>
      <c r="W1741" s="72"/>
      <c r="X1741" s="72"/>
      <c r="Y1741" s="72"/>
      <c r="Z1741" s="45">
        <v>11</v>
      </c>
      <c r="AA1741" s="46">
        <v>121</v>
      </c>
      <c r="AB1741" s="46">
        <v>132</v>
      </c>
      <c r="AC1741" s="72">
        <f t="shared" si="723"/>
        <v>1</v>
      </c>
      <c r="AD1741" s="72">
        <f t="shared" si="724"/>
        <v>1</v>
      </c>
      <c r="AE1741" s="109" t="str">
        <f t="shared" si="725"/>
        <v>0-0</v>
      </c>
      <c r="AF1741" s="109" t="str">
        <f t="shared" si="726"/>
        <v>Y</v>
      </c>
      <c r="AG1741" s="109" t="str">
        <f t="shared" si="727"/>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28"/>
        <v>0</v>
      </c>
      <c r="AN1741" s="109">
        <f t="shared" si="729"/>
        <v>0</v>
      </c>
      <c r="AO1741" s="109" t="str">
        <f t="shared" si="730"/>
        <v/>
      </c>
      <c r="AQ1741" s="109" t="str">
        <f t="shared" si="731"/>
        <v/>
      </c>
      <c r="BA1741" s="229">
        <f>MOD(SUM(E1739:E1742),12)</f>
        <v>0</v>
      </c>
    </row>
    <row r="1742" spans="1:53" ht="15.75" thickBot="1" x14ac:dyDescent="0.3">
      <c r="A1742" s="88"/>
      <c r="B1742" s="66" t="s">
        <v>281</v>
      </c>
      <c r="C1742" s="67"/>
      <c r="D1742" s="102"/>
      <c r="E1742" s="32"/>
      <c r="F1742" s="32"/>
      <c r="G1742" s="68" t="s">
        <v>277</v>
      </c>
      <c r="H1742" s="69">
        <f t="shared" si="732"/>
        <v>0</v>
      </c>
      <c r="I1742" s="70">
        <f t="shared" si="733"/>
        <v>0</v>
      </c>
      <c r="J1742" s="73" t="str">
        <f t="shared" si="734"/>
        <v>--</v>
      </c>
      <c r="K1742" s="32"/>
      <c r="L1742" s="233"/>
      <c r="M1742" s="277"/>
      <c r="N1742" s="277"/>
      <c r="O1742" s="277"/>
      <c r="P1742" s="277"/>
      <c r="Q1742" s="277"/>
      <c r="R1742" s="277"/>
      <c r="S1742" s="277"/>
      <c r="T1742" s="277"/>
      <c r="U1742" s="278"/>
      <c r="V1742" s="103"/>
      <c r="W1742" s="72"/>
      <c r="X1742" s="72"/>
      <c r="Y1742" s="72"/>
      <c r="Z1742" s="45">
        <v>12</v>
      </c>
      <c r="AA1742" s="76">
        <v>133</v>
      </c>
      <c r="AB1742" s="76">
        <v>144</v>
      </c>
      <c r="AC1742" s="72">
        <f t="shared" si="723"/>
        <v>1</v>
      </c>
      <c r="AD1742" s="72">
        <f t="shared" si="724"/>
        <v>1</v>
      </c>
      <c r="AE1742" s="109" t="str">
        <f t="shared" si="725"/>
        <v>0-0</v>
      </c>
      <c r="AF1742" s="109" t="str">
        <f t="shared" si="726"/>
        <v>Y</v>
      </c>
      <c r="AG1742" s="109" t="str">
        <f t="shared" si="727"/>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28"/>
        <v>0</v>
      </c>
      <c r="AN1742" s="109">
        <f t="shared" si="729"/>
        <v>0</v>
      </c>
      <c r="AO1742" s="109" t="str">
        <f t="shared" si="730"/>
        <v/>
      </c>
      <c r="AQ1742" s="109" t="str">
        <f t="shared" si="731"/>
        <v/>
      </c>
      <c r="BA1742" s="229">
        <f>MOD(SUM(E1739:E1743),12)</f>
        <v>0</v>
      </c>
    </row>
    <row r="1743" spans="1:53" ht="15.75" thickBot="1" x14ac:dyDescent="0.3">
      <c r="A1743" s="88"/>
      <c r="B1743" s="66" t="s">
        <v>282</v>
      </c>
      <c r="C1743" s="67"/>
      <c r="D1743" s="102"/>
      <c r="E1743" s="32"/>
      <c r="F1743" s="32"/>
      <c r="G1743" s="68" t="s">
        <v>277</v>
      </c>
      <c r="H1743" s="69">
        <f t="shared" si="732"/>
        <v>0</v>
      </c>
      <c r="I1743" s="70">
        <f t="shared" si="733"/>
        <v>0</v>
      </c>
      <c r="J1743" s="73" t="str">
        <f t="shared" si="734"/>
        <v>--</v>
      </c>
      <c r="K1743" s="32"/>
      <c r="L1743" s="233"/>
      <c r="M1743" s="277"/>
      <c r="N1743" s="277"/>
      <c r="O1743" s="277"/>
      <c r="P1743" s="277"/>
      <c r="Q1743" s="277"/>
      <c r="R1743" s="277"/>
      <c r="S1743" s="277"/>
      <c r="T1743" s="277"/>
      <c r="U1743" s="278"/>
      <c r="V1743" s="103"/>
      <c r="W1743" s="72"/>
      <c r="X1743" s="72"/>
      <c r="Y1743" s="72"/>
      <c r="Z1743" s="45">
        <v>13</v>
      </c>
      <c r="AA1743" s="77">
        <f t="shared" ref="AA1743:AA1748" si="735">AB1742+1</f>
        <v>145</v>
      </c>
      <c r="AB1743" s="77">
        <f t="shared" ref="AB1743:AB1748" si="736">AB1742+12</f>
        <v>156</v>
      </c>
      <c r="AC1743" s="72">
        <f t="shared" si="723"/>
        <v>1</v>
      </c>
      <c r="AD1743" s="72">
        <f t="shared" si="724"/>
        <v>1</v>
      </c>
      <c r="AE1743" s="109" t="str">
        <f t="shared" si="725"/>
        <v>0-0</v>
      </c>
      <c r="AF1743" s="109" t="str">
        <f t="shared" si="726"/>
        <v>Y</v>
      </c>
      <c r="AG1743" s="109" t="str">
        <f t="shared" si="727"/>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28"/>
        <v>0</v>
      </c>
      <c r="AN1743" s="109">
        <f t="shared" si="729"/>
        <v>0</v>
      </c>
      <c r="AO1743" s="109" t="str">
        <f t="shared" si="730"/>
        <v/>
      </c>
      <c r="AQ1743" s="109" t="str">
        <f t="shared" si="731"/>
        <v/>
      </c>
      <c r="BA1743" s="229">
        <f>MOD(SUM(E1739:E1744),12)</f>
        <v>0</v>
      </c>
    </row>
    <row r="1744" spans="1:53" ht="15.75" thickBot="1" x14ac:dyDescent="0.3">
      <c r="A1744" s="88"/>
      <c r="B1744" s="66" t="s">
        <v>283</v>
      </c>
      <c r="C1744" s="67"/>
      <c r="D1744" s="102"/>
      <c r="E1744" s="32"/>
      <c r="F1744" s="32"/>
      <c r="G1744" s="68" t="s">
        <v>277</v>
      </c>
      <c r="H1744" s="69">
        <f t="shared" si="732"/>
        <v>0</v>
      </c>
      <c r="I1744" s="70">
        <f t="shared" si="733"/>
        <v>0</v>
      </c>
      <c r="J1744" s="73" t="str">
        <f t="shared" si="734"/>
        <v>--</v>
      </c>
      <c r="K1744" s="32"/>
      <c r="L1744" s="233"/>
      <c r="M1744" s="277"/>
      <c r="N1744" s="277"/>
      <c r="O1744" s="277"/>
      <c r="P1744" s="277"/>
      <c r="Q1744" s="277"/>
      <c r="R1744" s="277"/>
      <c r="S1744" s="277"/>
      <c r="T1744" s="277"/>
      <c r="U1744" s="278"/>
      <c r="V1744" s="103"/>
      <c r="W1744" s="72"/>
      <c r="X1744" s="72"/>
      <c r="Y1744" s="72"/>
      <c r="Z1744" s="45">
        <v>14</v>
      </c>
      <c r="AA1744" s="77">
        <f t="shared" si="735"/>
        <v>157</v>
      </c>
      <c r="AB1744" s="77">
        <f t="shared" si="736"/>
        <v>168</v>
      </c>
      <c r="AC1744" s="72">
        <f t="shared" si="723"/>
        <v>1</v>
      </c>
      <c r="AD1744" s="72">
        <f t="shared" si="724"/>
        <v>1</v>
      </c>
      <c r="AE1744" s="109" t="str">
        <f t="shared" si="725"/>
        <v>0-0</v>
      </c>
      <c r="AF1744" s="109" t="str">
        <f t="shared" si="726"/>
        <v>Y</v>
      </c>
      <c r="AG1744" s="109" t="str">
        <f t="shared" si="727"/>
        <v>B</v>
      </c>
      <c r="AM1744" s="109">
        <f t="shared" si="728"/>
        <v>0</v>
      </c>
      <c r="AN1744" s="109">
        <f t="shared" si="729"/>
        <v>0</v>
      </c>
      <c r="AO1744" s="109" t="str">
        <f t="shared" si="730"/>
        <v/>
      </c>
      <c r="AQ1744" s="109" t="str">
        <f t="shared" si="731"/>
        <v/>
      </c>
      <c r="BA1744" s="229">
        <f>MOD(SUM(E1739:E1745),12)</f>
        <v>0</v>
      </c>
    </row>
    <row r="1745" spans="1:53" ht="15.75" thickBot="1" x14ac:dyDescent="0.3">
      <c r="A1745" s="88"/>
      <c r="B1745" s="66" t="s">
        <v>284</v>
      </c>
      <c r="C1745" s="67"/>
      <c r="D1745" s="102"/>
      <c r="E1745" s="32"/>
      <c r="F1745" s="32"/>
      <c r="G1745" s="68" t="s">
        <v>277</v>
      </c>
      <c r="H1745" s="69">
        <f t="shared" si="732"/>
        <v>0</v>
      </c>
      <c r="I1745" s="70">
        <f t="shared" si="733"/>
        <v>0</v>
      </c>
      <c r="J1745" s="73" t="str">
        <f t="shared" si="734"/>
        <v>--</v>
      </c>
      <c r="K1745" s="32"/>
      <c r="L1745" s="233"/>
      <c r="M1745" s="277"/>
      <c r="N1745" s="277"/>
      <c r="O1745" s="277"/>
      <c r="P1745" s="277"/>
      <c r="Q1745" s="277"/>
      <c r="R1745" s="277"/>
      <c r="S1745" s="277"/>
      <c r="T1745" s="277"/>
      <c r="U1745" s="278"/>
      <c r="V1745" s="103"/>
      <c r="W1745" s="72"/>
      <c r="X1745" s="72"/>
      <c r="Y1745" s="72"/>
      <c r="Z1745" s="45">
        <v>15</v>
      </c>
      <c r="AA1745" s="77">
        <f t="shared" si="735"/>
        <v>169</v>
      </c>
      <c r="AB1745" s="77">
        <f t="shared" si="736"/>
        <v>180</v>
      </c>
      <c r="AC1745" s="72">
        <f t="shared" si="723"/>
        <v>1</v>
      </c>
      <c r="AD1745" s="72">
        <f t="shared" si="724"/>
        <v>1</v>
      </c>
      <c r="AE1745" s="109" t="str">
        <f t="shared" si="725"/>
        <v>0-0</v>
      </c>
      <c r="AF1745" s="109" t="str">
        <f t="shared" si="726"/>
        <v>Y</v>
      </c>
      <c r="AG1745" s="109" t="str">
        <f t="shared" si="727"/>
        <v>B</v>
      </c>
      <c r="AM1745" s="109">
        <f t="shared" si="728"/>
        <v>0</v>
      </c>
      <c r="AN1745" s="109">
        <f t="shared" si="729"/>
        <v>0</v>
      </c>
      <c r="AO1745" s="109" t="str">
        <f t="shared" si="730"/>
        <v/>
      </c>
      <c r="AQ1745" s="109" t="str">
        <f t="shared" si="731"/>
        <v/>
      </c>
      <c r="BA1745" s="229">
        <f>MOD(SUM(E1739:E1746),12)</f>
        <v>0</v>
      </c>
    </row>
    <row r="1746" spans="1:53" ht="15.75" thickBot="1" x14ac:dyDescent="0.3">
      <c r="A1746" s="88"/>
      <c r="B1746" s="66" t="s">
        <v>285</v>
      </c>
      <c r="C1746" s="67"/>
      <c r="D1746" s="102"/>
      <c r="E1746" s="32"/>
      <c r="F1746" s="32"/>
      <c r="G1746" s="68" t="s">
        <v>277</v>
      </c>
      <c r="H1746" s="69">
        <f t="shared" si="732"/>
        <v>0</v>
      </c>
      <c r="I1746" s="70">
        <f t="shared" si="733"/>
        <v>0</v>
      </c>
      <c r="J1746" s="73" t="str">
        <f t="shared" si="734"/>
        <v>--</v>
      </c>
      <c r="K1746" s="32"/>
      <c r="L1746" s="233"/>
      <c r="M1746" s="277"/>
      <c r="N1746" s="277"/>
      <c r="O1746" s="277"/>
      <c r="P1746" s="277"/>
      <c r="Q1746" s="277"/>
      <c r="R1746" s="277"/>
      <c r="S1746" s="277"/>
      <c r="T1746" s="277"/>
      <c r="U1746" s="278"/>
      <c r="V1746" s="103"/>
      <c r="W1746" s="72"/>
      <c r="X1746" s="72"/>
      <c r="Y1746" s="72"/>
      <c r="Z1746" s="45">
        <f>Z1745+1</f>
        <v>16</v>
      </c>
      <c r="AA1746" s="77">
        <f t="shared" si="735"/>
        <v>181</v>
      </c>
      <c r="AB1746" s="77">
        <f t="shared" si="736"/>
        <v>192</v>
      </c>
      <c r="AC1746" s="72">
        <f t="shared" si="723"/>
        <v>1</v>
      </c>
      <c r="AD1746" s="72">
        <f t="shared" si="724"/>
        <v>1</v>
      </c>
      <c r="AE1746" s="109" t="str">
        <f t="shared" si="725"/>
        <v>0-0</v>
      </c>
      <c r="AF1746" s="109" t="str">
        <f t="shared" si="726"/>
        <v>Y</v>
      </c>
      <c r="AG1746" s="109" t="str">
        <f t="shared" si="727"/>
        <v>B</v>
      </c>
      <c r="AM1746" s="109">
        <f t="shared" si="728"/>
        <v>0</v>
      </c>
      <c r="AN1746" s="109">
        <f t="shared" si="729"/>
        <v>0</v>
      </c>
      <c r="AO1746" s="109" t="str">
        <f t="shared" si="730"/>
        <v/>
      </c>
      <c r="AQ1746" s="109" t="str">
        <f t="shared" si="731"/>
        <v/>
      </c>
      <c r="BA1746" s="229">
        <f>MOD(SUM(E1739:E1747),12)</f>
        <v>0</v>
      </c>
    </row>
    <row r="1747" spans="1:53" ht="15.75" thickBot="1" x14ac:dyDescent="0.3">
      <c r="A1747" s="88"/>
      <c r="B1747" s="66" t="s">
        <v>286</v>
      </c>
      <c r="C1747" s="67"/>
      <c r="D1747" s="102"/>
      <c r="E1747" s="32"/>
      <c r="F1747" s="32"/>
      <c r="G1747" s="68" t="s">
        <v>277</v>
      </c>
      <c r="H1747" s="69">
        <f t="shared" si="732"/>
        <v>0</v>
      </c>
      <c r="I1747" s="70">
        <f t="shared" si="733"/>
        <v>0</v>
      </c>
      <c r="J1747" s="73" t="str">
        <f t="shared" si="734"/>
        <v>--</v>
      </c>
      <c r="K1747" s="32"/>
      <c r="L1747" s="233"/>
      <c r="M1747" s="277"/>
      <c r="N1747" s="277"/>
      <c r="O1747" s="277"/>
      <c r="P1747" s="277"/>
      <c r="Q1747" s="277"/>
      <c r="R1747" s="277"/>
      <c r="S1747" s="277"/>
      <c r="T1747" s="277"/>
      <c r="U1747" s="278"/>
      <c r="V1747" s="103"/>
      <c r="W1747" s="72"/>
      <c r="X1747" s="72"/>
      <c r="Y1747" s="72"/>
      <c r="Z1747" s="45">
        <f>Z1746+1</f>
        <v>17</v>
      </c>
      <c r="AA1747" s="77">
        <f t="shared" si="735"/>
        <v>193</v>
      </c>
      <c r="AB1747" s="77">
        <f t="shared" si="736"/>
        <v>204</v>
      </c>
      <c r="AC1747" s="72">
        <f t="shared" si="723"/>
        <v>1</v>
      </c>
      <c r="AD1747" s="72">
        <f t="shared" si="724"/>
        <v>1</v>
      </c>
      <c r="AE1747" s="109" t="str">
        <f t="shared" si="725"/>
        <v>0-0</v>
      </c>
      <c r="AF1747" s="109" t="str">
        <f t="shared" si="726"/>
        <v>Y</v>
      </c>
      <c r="AG1747" s="109" t="str">
        <f t="shared" si="727"/>
        <v>B</v>
      </c>
      <c r="AM1747" s="109">
        <f t="shared" si="728"/>
        <v>0</v>
      </c>
      <c r="AN1747" s="109">
        <f t="shared" si="729"/>
        <v>0</v>
      </c>
      <c r="AO1747" s="109" t="str">
        <f t="shared" si="730"/>
        <v/>
      </c>
      <c r="AQ1747" s="109" t="str">
        <f t="shared" si="731"/>
        <v/>
      </c>
      <c r="BA1747" s="229">
        <f>MOD(SUM(E1739:E1748),12)</f>
        <v>0</v>
      </c>
    </row>
    <row r="1748" spans="1:53" ht="15.75" thickBot="1" x14ac:dyDescent="0.3">
      <c r="A1748" s="88"/>
      <c r="B1748" s="66" t="s">
        <v>287</v>
      </c>
      <c r="C1748" s="67"/>
      <c r="D1748" s="102"/>
      <c r="E1748" s="32"/>
      <c r="F1748" s="32"/>
      <c r="G1748" s="68" t="s">
        <v>277</v>
      </c>
      <c r="H1748" s="69">
        <f t="shared" si="732"/>
        <v>0</v>
      </c>
      <c r="I1748" s="70">
        <f t="shared" si="733"/>
        <v>0</v>
      </c>
      <c r="J1748" s="73" t="str">
        <f t="shared" si="734"/>
        <v>--</v>
      </c>
      <c r="K1748" s="32"/>
      <c r="L1748" s="233"/>
      <c r="M1748" s="277"/>
      <c r="N1748" s="277"/>
      <c r="O1748" s="277"/>
      <c r="P1748" s="277"/>
      <c r="Q1748" s="277"/>
      <c r="R1748" s="277"/>
      <c r="S1748" s="277"/>
      <c r="T1748" s="277"/>
      <c r="U1748" s="278"/>
      <c r="V1748" s="103"/>
      <c r="W1748" s="72"/>
      <c r="X1748" s="72"/>
      <c r="Y1748" s="72"/>
      <c r="Z1748" s="45">
        <f>Z1747+1</f>
        <v>18</v>
      </c>
      <c r="AA1748" s="77">
        <f t="shared" si="735"/>
        <v>205</v>
      </c>
      <c r="AB1748" s="77">
        <f t="shared" si="736"/>
        <v>216</v>
      </c>
      <c r="AC1748" s="72">
        <f t="shared" si="723"/>
        <v>1</v>
      </c>
      <c r="AD1748" s="72">
        <f t="shared" si="724"/>
        <v>1</v>
      </c>
      <c r="AE1748" s="109" t="str">
        <f t="shared" si="725"/>
        <v>0-0</v>
      </c>
      <c r="AF1748" s="109" t="str">
        <f t="shared" si="726"/>
        <v>Y</v>
      </c>
      <c r="AG1748" s="109" t="str">
        <f t="shared" si="727"/>
        <v>B</v>
      </c>
      <c r="AM1748" s="109">
        <f t="shared" si="728"/>
        <v>0</v>
      </c>
      <c r="AN1748" s="109">
        <f t="shared" si="729"/>
        <v>0</v>
      </c>
      <c r="AO1748" s="109" t="str">
        <f t="shared" si="730"/>
        <v/>
      </c>
      <c r="AQ1748" s="109" t="str">
        <f t="shared" si="731"/>
        <v/>
      </c>
      <c r="BA1748" s="229">
        <f>MOD(SUM(E1739:E1749),12)</f>
        <v>0</v>
      </c>
    </row>
    <row r="1749" spans="1:53" ht="15.75" thickBot="1" x14ac:dyDescent="0.3">
      <c r="A1749" s="88"/>
      <c r="B1749" s="66" t="s">
        <v>288</v>
      </c>
      <c r="C1749" s="67"/>
      <c r="D1749" s="102"/>
      <c r="E1749" s="32"/>
      <c r="F1749" s="32"/>
      <c r="G1749" s="68" t="s">
        <v>277</v>
      </c>
      <c r="H1749" s="69">
        <f t="shared" si="732"/>
        <v>0</v>
      </c>
      <c r="I1749" s="70">
        <f t="shared" si="733"/>
        <v>0</v>
      </c>
      <c r="J1749" s="73" t="str">
        <f t="shared" si="734"/>
        <v>--</v>
      </c>
      <c r="K1749" s="32"/>
      <c r="L1749" s="233"/>
      <c r="M1749" s="277"/>
      <c r="N1749" s="277"/>
      <c r="O1749" s="277"/>
      <c r="P1749" s="277"/>
      <c r="Q1749" s="277"/>
      <c r="R1749" s="277"/>
      <c r="S1749" s="277"/>
      <c r="T1749" s="277"/>
      <c r="U1749" s="278"/>
      <c r="V1749" s="103"/>
      <c r="W1749" s="84"/>
      <c r="X1749" s="84"/>
      <c r="Y1749" s="72"/>
      <c r="Z1749" s="72"/>
      <c r="AA1749" s="72"/>
      <c r="AB1749" s="72"/>
      <c r="AC1749" s="72">
        <f t="shared" si="723"/>
        <v>1</v>
      </c>
      <c r="AD1749" s="72">
        <f t="shared" si="724"/>
        <v>1</v>
      </c>
      <c r="AE1749" s="109" t="str">
        <f t="shared" si="725"/>
        <v>0-0</v>
      </c>
      <c r="AF1749" s="109" t="str">
        <f t="shared" si="726"/>
        <v>Y</v>
      </c>
      <c r="AG1749" s="109" t="str">
        <f t="shared" si="727"/>
        <v>B</v>
      </c>
      <c r="AM1749" s="109">
        <f t="shared" si="728"/>
        <v>0</v>
      </c>
      <c r="AN1749" s="109">
        <f t="shared" si="729"/>
        <v>0</v>
      </c>
      <c r="AO1749" s="109" t="str">
        <f t="shared" si="730"/>
        <v/>
      </c>
      <c r="AQ1749" s="109" t="str">
        <f t="shared" si="731"/>
        <v/>
      </c>
      <c r="BA1749" s="229">
        <f>MOD(SUM(E1739:E1750),12)</f>
        <v>0</v>
      </c>
    </row>
    <row r="1750" spans="1:53" ht="15.75" thickBot="1" x14ac:dyDescent="0.3">
      <c r="A1750" s="88"/>
      <c r="B1750" s="66" t="s">
        <v>289</v>
      </c>
      <c r="C1750" s="67"/>
      <c r="D1750" s="102"/>
      <c r="E1750" s="32"/>
      <c r="F1750" s="32"/>
      <c r="G1750" s="68" t="s">
        <v>277</v>
      </c>
      <c r="H1750" s="69">
        <f t="shared" si="732"/>
        <v>0</v>
      </c>
      <c r="I1750" s="70">
        <f t="shared" si="733"/>
        <v>0</v>
      </c>
      <c r="J1750" s="73" t="str">
        <f t="shared" si="734"/>
        <v>--</v>
      </c>
      <c r="K1750" s="32"/>
      <c r="L1750" s="233"/>
      <c r="M1750" s="277"/>
      <c r="N1750" s="277"/>
      <c r="O1750" s="277"/>
      <c r="P1750" s="277"/>
      <c r="Q1750" s="277"/>
      <c r="R1750" s="277"/>
      <c r="S1750" s="277"/>
      <c r="T1750" s="277"/>
      <c r="U1750" s="278"/>
      <c r="V1750" s="103"/>
      <c r="W1750" s="84">
        <f>Y1750+1</f>
        <v>1</v>
      </c>
      <c r="X1750" s="84"/>
      <c r="Y1750" s="78">
        <f>SUM(E1739:E1750)</f>
        <v>0</v>
      </c>
      <c r="Z1750" s="72"/>
      <c r="AA1750" s="72"/>
      <c r="AB1750" s="72"/>
      <c r="AC1750" s="72">
        <f t="shared" si="723"/>
        <v>1</v>
      </c>
      <c r="AD1750" s="72">
        <f t="shared" si="724"/>
        <v>1</v>
      </c>
      <c r="AE1750" s="109" t="str">
        <f t="shared" si="725"/>
        <v>0-0</v>
      </c>
      <c r="AF1750" s="109" t="str">
        <f t="shared" si="726"/>
        <v>Y</v>
      </c>
      <c r="AG1750" s="109" t="str">
        <f t="shared" si="727"/>
        <v>B</v>
      </c>
      <c r="AM1750" s="109">
        <f t="shared" si="728"/>
        <v>0</v>
      </c>
      <c r="AN1750" s="109">
        <f t="shared" si="729"/>
        <v>0</v>
      </c>
      <c r="AO1750" s="109" t="str">
        <f t="shared" si="730"/>
        <v/>
      </c>
      <c r="AQ1750" s="109" t="str">
        <f t="shared" si="731"/>
        <v/>
      </c>
      <c r="BA1750" s="229">
        <f>MOD(SUM(E1739:E1751),12)</f>
        <v>0</v>
      </c>
    </row>
    <row r="1751" spans="1:53" ht="15.75" thickBot="1" x14ac:dyDescent="0.3">
      <c r="A1751" s="88"/>
      <c r="B1751" s="66" t="s">
        <v>290</v>
      </c>
      <c r="C1751" s="67"/>
      <c r="D1751" s="102"/>
      <c r="E1751" s="32"/>
      <c r="F1751" s="32"/>
      <c r="G1751" s="68" t="s">
        <v>277</v>
      </c>
      <c r="H1751" s="69">
        <f t="shared" si="732"/>
        <v>0</v>
      </c>
      <c r="I1751" s="70">
        <f t="shared" si="733"/>
        <v>0</v>
      </c>
      <c r="J1751" s="73" t="str">
        <f t="shared" si="734"/>
        <v>--</v>
      </c>
      <c r="K1751" s="32"/>
      <c r="L1751" s="233"/>
      <c r="M1751" s="277"/>
      <c r="N1751" s="277"/>
      <c r="O1751" s="277"/>
      <c r="P1751" s="277"/>
      <c r="Q1751" s="277"/>
      <c r="R1751" s="277"/>
      <c r="S1751" s="277"/>
      <c r="T1751" s="277"/>
      <c r="U1751" s="278"/>
      <c r="V1751" s="103"/>
      <c r="W1751" s="84">
        <f>Y1751+1</f>
        <v>1</v>
      </c>
      <c r="X1751" s="84"/>
      <c r="Y1751" s="78">
        <f>SUM(E1739:E1751)</f>
        <v>0</v>
      </c>
      <c r="Z1751" s="72" t="str">
        <f t="shared" ref="Z1751:Z1763" si="737">IF(OR(AND(E$8=216,C1750="DBL REV",C1751="DBL REV",Y1750&lt;=144,Y1751&gt;144),AND(E$8=216,C1750="TPL REV",C1751="TPL REV",Y1750&lt;=144,Y1751&gt;144),AND(E$8=216,C1750="QD REV",C1751="QD REV",Y1750&lt;=144,Y1751&gt;144)),"ERROR","")</f>
        <v/>
      </c>
      <c r="AA1751" s="72"/>
      <c r="AB1751" s="72"/>
      <c r="AC1751" s="72">
        <f t="shared" si="723"/>
        <v>1</v>
      </c>
      <c r="AD1751" s="72">
        <f t="shared" si="724"/>
        <v>1</v>
      </c>
      <c r="AE1751" s="109" t="str">
        <f t="shared" si="725"/>
        <v>0-0</v>
      </c>
      <c r="AF1751" s="109" t="str">
        <f t="shared" si="726"/>
        <v>Y</v>
      </c>
      <c r="AG1751" s="109" t="str">
        <f t="shared" si="727"/>
        <v>B</v>
      </c>
      <c r="AM1751" s="109">
        <f t="shared" si="728"/>
        <v>0</v>
      </c>
      <c r="AN1751" s="109">
        <f t="shared" si="729"/>
        <v>0</v>
      </c>
      <c r="AO1751" s="109" t="str">
        <f t="shared" si="730"/>
        <v/>
      </c>
      <c r="AQ1751" s="109" t="str">
        <f t="shared" si="731"/>
        <v/>
      </c>
      <c r="BA1751" s="229">
        <f>MOD(SUM(E1739:E1752),12)</f>
        <v>0</v>
      </c>
    </row>
    <row r="1752" spans="1:53" ht="15.75" thickBot="1" x14ac:dyDescent="0.3">
      <c r="A1752" s="88"/>
      <c r="B1752" s="66" t="s">
        <v>291</v>
      </c>
      <c r="C1752" s="67"/>
      <c r="D1752" s="102"/>
      <c r="E1752" s="32"/>
      <c r="F1752" s="32"/>
      <c r="G1752" s="68" t="s">
        <v>277</v>
      </c>
      <c r="H1752" s="69">
        <f t="shared" si="732"/>
        <v>0</v>
      </c>
      <c r="I1752" s="70">
        <f t="shared" si="733"/>
        <v>0</v>
      </c>
      <c r="J1752" s="73" t="str">
        <f t="shared" si="734"/>
        <v>--</v>
      </c>
      <c r="K1752" s="32"/>
      <c r="L1752" s="233"/>
      <c r="M1752" s="277"/>
      <c r="N1752" s="277"/>
      <c r="O1752" s="277"/>
      <c r="P1752" s="277"/>
      <c r="Q1752" s="277"/>
      <c r="R1752" s="277"/>
      <c r="S1752" s="277"/>
      <c r="T1752" s="277"/>
      <c r="U1752" s="278"/>
      <c r="V1752" s="103"/>
      <c r="W1752" s="84">
        <f>Y1752+1</f>
        <v>1</v>
      </c>
      <c r="X1752" s="84"/>
      <c r="Y1752" s="78">
        <f>SUM(E1739:E1752)</f>
        <v>0</v>
      </c>
      <c r="Z1752" s="72" t="str">
        <f t="shared" si="737"/>
        <v/>
      </c>
      <c r="AA1752" s="72"/>
      <c r="AB1752" s="72"/>
      <c r="AC1752" s="72">
        <f t="shared" si="723"/>
        <v>1</v>
      </c>
      <c r="AD1752" s="72">
        <f t="shared" si="724"/>
        <v>1</v>
      </c>
      <c r="AE1752" s="109" t="str">
        <f t="shared" si="725"/>
        <v>0-0</v>
      </c>
      <c r="AF1752" s="109" t="str">
        <f t="shared" si="726"/>
        <v>Y</v>
      </c>
      <c r="AG1752" s="109" t="str">
        <f t="shared" si="727"/>
        <v>B</v>
      </c>
      <c r="AM1752" s="109">
        <f t="shared" si="728"/>
        <v>0</v>
      </c>
      <c r="AN1752" s="109">
        <f t="shared" si="729"/>
        <v>0</v>
      </c>
      <c r="AO1752" s="109" t="str">
        <f t="shared" si="730"/>
        <v/>
      </c>
      <c r="AQ1752" s="109" t="str">
        <f t="shared" si="731"/>
        <v/>
      </c>
      <c r="BA1752" s="229">
        <f>MOD(SUM(E1739:E1753),12)</f>
        <v>0</v>
      </c>
    </row>
    <row r="1753" spans="1:53" ht="15.75" thickBot="1" x14ac:dyDescent="0.3">
      <c r="A1753" s="88"/>
      <c r="B1753" s="66" t="s">
        <v>292</v>
      </c>
      <c r="C1753" s="67"/>
      <c r="D1753" s="102"/>
      <c r="E1753" s="32"/>
      <c r="F1753" s="32"/>
      <c r="G1753" s="68" t="s">
        <v>277</v>
      </c>
      <c r="H1753" s="69">
        <f t="shared" si="732"/>
        <v>0</v>
      </c>
      <c r="I1753" s="70">
        <f t="shared" si="733"/>
        <v>0</v>
      </c>
      <c r="J1753" s="73" t="str">
        <f t="shared" si="734"/>
        <v>--</v>
      </c>
      <c r="K1753" s="32"/>
      <c r="L1753" s="233"/>
      <c r="M1753" s="277"/>
      <c r="N1753" s="277"/>
      <c r="O1753" s="277"/>
      <c r="P1753" s="277"/>
      <c r="Q1753" s="277"/>
      <c r="R1753" s="277"/>
      <c r="S1753" s="277"/>
      <c r="T1753" s="277"/>
      <c r="U1753" s="278"/>
      <c r="V1753" s="103"/>
      <c r="W1753" s="84">
        <f>Y1753+1</f>
        <v>1</v>
      </c>
      <c r="X1753" s="84"/>
      <c r="Y1753" s="78">
        <f>SUM(E1739:E1753)</f>
        <v>0</v>
      </c>
      <c r="Z1753" s="72" t="str">
        <f t="shared" si="737"/>
        <v/>
      </c>
      <c r="AA1753" s="72" t="str">
        <f t="shared" ref="AA1753:AA1765" si="738">IF(AND(C1751&lt;&gt;"Field SPL",W1750&lt;=144,Y1751&gt;144),"ERROR","")</f>
        <v/>
      </c>
      <c r="AB1753" s="72"/>
      <c r="AC1753" s="72">
        <f t="shared" si="723"/>
        <v>1</v>
      </c>
      <c r="AD1753" s="72">
        <f t="shared" si="724"/>
        <v>1</v>
      </c>
      <c r="AE1753" s="109" t="str">
        <f t="shared" si="725"/>
        <v>0-0</v>
      </c>
      <c r="AF1753" s="109" t="str">
        <f t="shared" si="726"/>
        <v>Y</v>
      </c>
      <c r="AG1753" s="109" t="str">
        <f t="shared" si="727"/>
        <v>B</v>
      </c>
      <c r="AM1753" s="109">
        <f t="shared" si="728"/>
        <v>0</v>
      </c>
      <c r="AN1753" s="109">
        <f t="shared" si="729"/>
        <v>0</v>
      </c>
      <c r="AO1753" s="109" t="str">
        <f t="shared" si="730"/>
        <v/>
      </c>
      <c r="AQ1753" s="109" t="str">
        <f t="shared" si="731"/>
        <v/>
      </c>
      <c r="BA1753" s="229">
        <f>MOD(SUM(E1739:E1754),12)</f>
        <v>0</v>
      </c>
    </row>
    <row r="1754" spans="1:53" ht="15.75" thickBot="1" x14ac:dyDescent="0.3">
      <c r="A1754" s="88"/>
      <c r="B1754" s="66" t="s">
        <v>293</v>
      </c>
      <c r="C1754" s="67"/>
      <c r="D1754" s="102"/>
      <c r="E1754" s="32"/>
      <c r="F1754" s="32"/>
      <c r="G1754" s="68" t="s">
        <v>277</v>
      </c>
      <c r="H1754" s="69">
        <f t="shared" si="732"/>
        <v>0</v>
      </c>
      <c r="I1754" s="70">
        <f t="shared" si="733"/>
        <v>0</v>
      </c>
      <c r="J1754" s="73" t="str">
        <f t="shared" si="734"/>
        <v>--</v>
      </c>
      <c r="K1754" s="32"/>
      <c r="L1754" s="233"/>
      <c r="M1754" s="277"/>
      <c r="N1754" s="277"/>
      <c r="O1754" s="277"/>
      <c r="P1754" s="277"/>
      <c r="Q1754" s="277"/>
      <c r="R1754" s="277"/>
      <c r="S1754" s="277"/>
      <c r="T1754" s="277"/>
      <c r="U1754" s="278"/>
      <c r="V1754" s="103"/>
      <c r="W1754" s="84">
        <f t="shared" ref="W1754:W1762" si="739">Y1754+1</f>
        <v>1</v>
      </c>
      <c r="X1754" s="84"/>
      <c r="Y1754" s="78">
        <f>SUM(E1739:E1754)</f>
        <v>0</v>
      </c>
      <c r="Z1754" s="72" t="str">
        <f t="shared" si="737"/>
        <v/>
      </c>
      <c r="AA1754" s="72" t="str">
        <f t="shared" si="738"/>
        <v/>
      </c>
      <c r="AB1754" s="72"/>
      <c r="AC1754" s="72">
        <f t="shared" si="723"/>
        <v>1</v>
      </c>
      <c r="AD1754" s="72">
        <f t="shared" si="724"/>
        <v>1</v>
      </c>
      <c r="AE1754" s="109" t="str">
        <f t="shared" si="725"/>
        <v>0-0</v>
      </c>
      <c r="AF1754" s="109" t="str">
        <f t="shared" si="726"/>
        <v>Y</v>
      </c>
      <c r="AG1754" s="109" t="str">
        <f t="shared" si="727"/>
        <v>B</v>
      </c>
      <c r="AM1754" s="109">
        <f t="shared" si="728"/>
        <v>0</v>
      </c>
      <c r="AN1754" s="109">
        <f t="shared" si="729"/>
        <v>0</v>
      </c>
      <c r="AO1754" s="109" t="str">
        <f t="shared" si="730"/>
        <v/>
      </c>
      <c r="AQ1754" s="109" t="str">
        <f t="shared" si="731"/>
        <v/>
      </c>
      <c r="BA1754" s="229">
        <f>MOD(SUM(E1739:E1755),12)</f>
        <v>0</v>
      </c>
    </row>
    <row r="1755" spans="1:53" ht="15.75" thickBot="1" x14ac:dyDescent="0.3">
      <c r="A1755" s="88"/>
      <c r="B1755" s="66" t="s">
        <v>294</v>
      </c>
      <c r="C1755" s="67"/>
      <c r="D1755" s="102"/>
      <c r="E1755" s="32"/>
      <c r="F1755" s="32"/>
      <c r="G1755" s="68" t="s">
        <v>277</v>
      </c>
      <c r="H1755" s="69">
        <f t="shared" si="732"/>
        <v>0</v>
      </c>
      <c r="I1755" s="70">
        <f t="shared" si="733"/>
        <v>0</v>
      </c>
      <c r="J1755" s="73" t="str">
        <f t="shared" si="734"/>
        <v>--</v>
      </c>
      <c r="K1755" s="32"/>
      <c r="L1755" s="233"/>
      <c r="M1755" s="277"/>
      <c r="N1755" s="277"/>
      <c r="O1755" s="277"/>
      <c r="P1755" s="277"/>
      <c r="Q1755" s="277"/>
      <c r="R1755" s="277"/>
      <c r="S1755" s="277"/>
      <c r="T1755" s="277"/>
      <c r="U1755" s="278"/>
      <c r="V1755" s="103"/>
      <c r="W1755" s="84">
        <f t="shared" si="739"/>
        <v>1</v>
      </c>
      <c r="X1755" s="84"/>
      <c r="Y1755" s="78">
        <f>SUM(E1739:E1755)</f>
        <v>0</v>
      </c>
      <c r="Z1755" s="72" t="str">
        <f t="shared" si="737"/>
        <v/>
      </c>
      <c r="AA1755" s="72" t="str">
        <f t="shared" si="738"/>
        <v/>
      </c>
      <c r="AB1755" s="72"/>
      <c r="AC1755" s="72">
        <f t="shared" si="723"/>
        <v>1</v>
      </c>
      <c r="AD1755" s="72">
        <f t="shared" si="724"/>
        <v>1</v>
      </c>
      <c r="AE1755" s="109" t="str">
        <f t="shared" si="725"/>
        <v>0-0</v>
      </c>
      <c r="AF1755" s="109" t="str">
        <f t="shared" si="726"/>
        <v>Y</v>
      </c>
      <c r="AG1755" s="109" t="str">
        <f t="shared" si="727"/>
        <v>B</v>
      </c>
      <c r="AM1755" s="109">
        <f t="shared" si="728"/>
        <v>0</v>
      </c>
      <c r="AN1755" s="109">
        <f t="shared" si="729"/>
        <v>0</v>
      </c>
      <c r="AO1755" s="109" t="str">
        <f t="shared" si="730"/>
        <v/>
      </c>
      <c r="AQ1755" s="109" t="str">
        <f t="shared" si="731"/>
        <v/>
      </c>
      <c r="BA1755" s="229">
        <f>MOD(SUM(E1739:E1756),12)</f>
        <v>0</v>
      </c>
    </row>
    <row r="1756" spans="1:53" ht="15.75" thickBot="1" x14ac:dyDescent="0.3">
      <c r="A1756" s="88"/>
      <c r="B1756" s="66" t="s">
        <v>295</v>
      </c>
      <c r="C1756" s="67"/>
      <c r="D1756" s="102"/>
      <c r="E1756" s="32"/>
      <c r="F1756" s="32"/>
      <c r="G1756" s="68" t="s">
        <v>277</v>
      </c>
      <c r="H1756" s="69">
        <f t="shared" si="732"/>
        <v>0</v>
      </c>
      <c r="I1756" s="70">
        <f t="shared" si="733"/>
        <v>0</v>
      </c>
      <c r="J1756" s="73" t="str">
        <f t="shared" si="734"/>
        <v>--</v>
      </c>
      <c r="K1756" s="32"/>
      <c r="L1756" s="233"/>
      <c r="M1756" s="277"/>
      <c r="N1756" s="277"/>
      <c r="O1756" s="277"/>
      <c r="P1756" s="277"/>
      <c r="Q1756" s="277"/>
      <c r="R1756" s="277"/>
      <c r="S1756" s="277"/>
      <c r="T1756" s="277"/>
      <c r="U1756" s="278"/>
      <c r="V1756" s="103"/>
      <c r="W1756" s="84">
        <f t="shared" si="739"/>
        <v>1</v>
      </c>
      <c r="X1756" s="84"/>
      <c r="Y1756" s="78">
        <f>SUM(E1739:E1756)</f>
        <v>0</v>
      </c>
      <c r="Z1756" s="72" t="str">
        <f t="shared" si="737"/>
        <v/>
      </c>
      <c r="AA1756" s="72" t="str">
        <f t="shared" si="738"/>
        <v/>
      </c>
      <c r="AB1756" s="72"/>
      <c r="AC1756" s="72">
        <f t="shared" si="723"/>
        <v>1</v>
      </c>
      <c r="AD1756" s="72">
        <f t="shared" si="724"/>
        <v>1</v>
      </c>
      <c r="AE1756" s="109" t="str">
        <f t="shared" si="725"/>
        <v>0-0</v>
      </c>
      <c r="AF1756" s="109" t="str">
        <f t="shared" si="726"/>
        <v>Y</v>
      </c>
      <c r="AG1756" s="109" t="str">
        <f t="shared" si="727"/>
        <v>B</v>
      </c>
      <c r="AM1756" s="109">
        <f t="shared" si="728"/>
        <v>0</v>
      </c>
      <c r="AN1756" s="109">
        <f t="shared" si="729"/>
        <v>0</v>
      </c>
      <c r="AO1756" s="109" t="str">
        <f t="shared" si="730"/>
        <v/>
      </c>
      <c r="AQ1756" s="109" t="str">
        <f t="shared" si="731"/>
        <v/>
      </c>
      <c r="BA1756" s="229">
        <f>MOD(SUM(E1739:E1757),12)</f>
        <v>0</v>
      </c>
    </row>
    <row r="1757" spans="1:53" ht="15.75" thickBot="1" x14ac:dyDescent="0.3">
      <c r="A1757" s="88"/>
      <c r="B1757" s="66" t="s">
        <v>296</v>
      </c>
      <c r="C1757" s="67"/>
      <c r="D1757" s="102"/>
      <c r="E1757" s="32"/>
      <c r="F1757" s="32"/>
      <c r="G1757" s="68" t="s">
        <v>277</v>
      </c>
      <c r="H1757" s="69">
        <f t="shared" si="732"/>
        <v>0</v>
      </c>
      <c r="I1757" s="70">
        <f t="shared" si="733"/>
        <v>0</v>
      </c>
      <c r="J1757" s="73" t="str">
        <f t="shared" si="734"/>
        <v>--</v>
      </c>
      <c r="K1757" s="32"/>
      <c r="L1757" s="233"/>
      <c r="M1757" s="277"/>
      <c r="N1757" s="277"/>
      <c r="O1757" s="277"/>
      <c r="P1757" s="277"/>
      <c r="Q1757" s="277"/>
      <c r="R1757" s="277"/>
      <c r="S1757" s="277"/>
      <c r="T1757" s="277"/>
      <c r="U1757" s="278"/>
      <c r="V1757" s="103"/>
      <c r="W1757" s="84">
        <f t="shared" si="739"/>
        <v>1</v>
      </c>
      <c r="X1757" s="84"/>
      <c r="Y1757" s="78">
        <f>SUM(E1739:E1757)</f>
        <v>0</v>
      </c>
      <c r="Z1757" s="72" t="str">
        <f t="shared" si="737"/>
        <v/>
      </c>
      <c r="AA1757" s="72" t="str">
        <f t="shared" si="738"/>
        <v/>
      </c>
      <c r="AB1757" s="72"/>
      <c r="AC1757" s="72">
        <f t="shared" si="723"/>
        <v>1</v>
      </c>
      <c r="AD1757" s="72">
        <f t="shared" si="724"/>
        <v>1</v>
      </c>
      <c r="AE1757" s="109" t="str">
        <f t="shared" si="725"/>
        <v>0-0</v>
      </c>
      <c r="AF1757" s="109" t="str">
        <f t="shared" si="726"/>
        <v>Y</v>
      </c>
      <c r="AG1757" s="109" t="str">
        <f t="shared" si="727"/>
        <v>B</v>
      </c>
      <c r="AM1757" s="109">
        <f t="shared" si="728"/>
        <v>0</v>
      </c>
      <c r="AN1757" s="109">
        <f t="shared" si="729"/>
        <v>0</v>
      </c>
      <c r="AO1757" s="109" t="str">
        <f t="shared" si="730"/>
        <v/>
      </c>
      <c r="AQ1757" s="109" t="str">
        <f t="shared" si="731"/>
        <v/>
      </c>
      <c r="BA1757" s="229">
        <f>MOD(SUM(E1739:E1758),12)</f>
        <v>0</v>
      </c>
    </row>
    <row r="1758" spans="1:53" ht="15.75" thickBot="1" x14ac:dyDescent="0.3">
      <c r="A1758" s="88"/>
      <c r="B1758" s="66" t="s">
        <v>297</v>
      </c>
      <c r="C1758" s="67"/>
      <c r="D1758" s="102"/>
      <c r="E1758" s="32"/>
      <c r="F1758" s="32"/>
      <c r="G1758" s="68" t="s">
        <v>277</v>
      </c>
      <c r="H1758" s="69">
        <f t="shared" si="732"/>
        <v>0</v>
      </c>
      <c r="I1758" s="70">
        <f t="shared" si="733"/>
        <v>0</v>
      </c>
      <c r="J1758" s="73" t="str">
        <f t="shared" si="734"/>
        <v>--</v>
      </c>
      <c r="K1758" s="32"/>
      <c r="L1758" s="233"/>
      <c r="M1758" s="277"/>
      <c r="N1758" s="277"/>
      <c r="O1758" s="277"/>
      <c r="P1758" s="277"/>
      <c r="Q1758" s="277"/>
      <c r="R1758" s="277"/>
      <c r="S1758" s="277"/>
      <c r="T1758" s="277"/>
      <c r="U1758" s="278"/>
      <c r="V1758" s="103"/>
      <c r="W1758" s="84">
        <f t="shared" si="739"/>
        <v>1</v>
      </c>
      <c r="X1758" s="84"/>
      <c r="Y1758" s="78">
        <f>SUM(E1739:E1758)</f>
        <v>0</v>
      </c>
      <c r="Z1758" s="72" t="str">
        <f t="shared" si="737"/>
        <v/>
      </c>
      <c r="AA1758" s="72" t="str">
        <f t="shared" si="738"/>
        <v/>
      </c>
      <c r="AB1758" s="72"/>
      <c r="AC1758" s="72">
        <f t="shared" si="723"/>
        <v>1</v>
      </c>
      <c r="AD1758" s="72">
        <f t="shared" si="724"/>
        <v>1</v>
      </c>
      <c r="AE1758" s="109" t="str">
        <f t="shared" si="725"/>
        <v>0-0</v>
      </c>
      <c r="AF1758" s="109" t="str">
        <f t="shared" si="726"/>
        <v>Y</v>
      </c>
      <c r="AG1758" s="109" t="str">
        <f t="shared" si="727"/>
        <v>B</v>
      </c>
      <c r="AM1758" s="109">
        <f t="shared" si="728"/>
        <v>0</v>
      </c>
      <c r="AN1758" s="109">
        <f t="shared" si="729"/>
        <v>0</v>
      </c>
      <c r="AO1758" s="109" t="str">
        <f t="shared" si="730"/>
        <v/>
      </c>
      <c r="AQ1758" s="109" t="str">
        <f t="shared" si="731"/>
        <v/>
      </c>
      <c r="BA1758" s="229">
        <f>MOD(SUM(E1739:E1759),12)</f>
        <v>0</v>
      </c>
    </row>
    <row r="1759" spans="1:53" ht="15.75" thickBot="1" x14ac:dyDescent="0.3">
      <c r="A1759" s="88"/>
      <c r="B1759" s="66" t="s">
        <v>298</v>
      </c>
      <c r="C1759" s="67"/>
      <c r="D1759" s="102"/>
      <c r="E1759" s="32"/>
      <c r="F1759" s="32"/>
      <c r="G1759" s="68" t="s">
        <v>277</v>
      </c>
      <c r="H1759" s="69">
        <f t="shared" si="732"/>
        <v>0</v>
      </c>
      <c r="I1759" s="70">
        <f t="shared" si="733"/>
        <v>0</v>
      </c>
      <c r="J1759" s="73" t="str">
        <f t="shared" si="734"/>
        <v>--</v>
      </c>
      <c r="K1759" s="32"/>
      <c r="L1759" s="233"/>
      <c r="M1759" s="277"/>
      <c r="N1759" s="277"/>
      <c r="O1759" s="277"/>
      <c r="P1759" s="277"/>
      <c r="Q1759" s="277"/>
      <c r="R1759" s="277"/>
      <c r="S1759" s="277"/>
      <c r="T1759" s="277"/>
      <c r="U1759" s="278"/>
      <c r="V1759" s="103"/>
      <c r="W1759" s="84">
        <f t="shared" si="739"/>
        <v>1</v>
      </c>
      <c r="X1759" s="84"/>
      <c r="Y1759" s="78">
        <f>SUM(E1739:E1759)</f>
        <v>0</v>
      </c>
      <c r="Z1759" s="72" t="str">
        <f t="shared" si="737"/>
        <v/>
      </c>
      <c r="AA1759" s="72" t="str">
        <f t="shared" si="738"/>
        <v/>
      </c>
      <c r="AB1759" s="72"/>
      <c r="AC1759" s="72">
        <f t="shared" si="723"/>
        <v>1</v>
      </c>
      <c r="AD1759" s="72">
        <f t="shared" si="724"/>
        <v>1</v>
      </c>
      <c r="AE1759" s="109" t="str">
        <f t="shared" si="725"/>
        <v>0-0</v>
      </c>
      <c r="AF1759" s="109" t="str">
        <f t="shared" si="726"/>
        <v>Y</v>
      </c>
      <c r="AG1759" s="109" t="str">
        <f t="shared" si="727"/>
        <v>B</v>
      </c>
      <c r="AM1759" s="109">
        <f t="shared" si="728"/>
        <v>0</v>
      </c>
      <c r="AN1759" s="109">
        <f t="shared" si="729"/>
        <v>0</v>
      </c>
      <c r="AO1759" s="109" t="str">
        <f t="shared" si="730"/>
        <v/>
      </c>
      <c r="AQ1759" s="109" t="str">
        <f t="shared" si="731"/>
        <v/>
      </c>
      <c r="BA1759" s="229">
        <f>MOD(SUM(E1739:E1760),12)</f>
        <v>0</v>
      </c>
    </row>
    <row r="1760" spans="1:53" ht="15.75" thickBot="1" x14ac:dyDescent="0.3">
      <c r="A1760" s="88"/>
      <c r="B1760" s="66" t="s">
        <v>299</v>
      </c>
      <c r="C1760" s="67"/>
      <c r="D1760" s="102"/>
      <c r="E1760" s="32"/>
      <c r="F1760" s="32"/>
      <c r="G1760" s="68" t="s">
        <v>277</v>
      </c>
      <c r="H1760" s="69">
        <f t="shared" si="732"/>
        <v>0</v>
      </c>
      <c r="I1760" s="70">
        <f t="shared" si="733"/>
        <v>0</v>
      </c>
      <c r="J1760" s="73" t="str">
        <f t="shared" si="734"/>
        <v>--</v>
      </c>
      <c r="K1760" s="32"/>
      <c r="L1760" s="233"/>
      <c r="M1760" s="277"/>
      <c r="N1760" s="277"/>
      <c r="O1760" s="277"/>
      <c r="P1760" s="277"/>
      <c r="Q1760" s="277"/>
      <c r="R1760" s="277"/>
      <c r="S1760" s="277"/>
      <c r="T1760" s="277"/>
      <c r="U1760" s="278"/>
      <c r="V1760" s="103"/>
      <c r="W1760" s="84">
        <f t="shared" si="739"/>
        <v>1</v>
      </c>
      <c r="X1760" s="84"/>
      <c r="Y1760" s="78">
        <f>SUM(E1739:E1760)</f>
        <v>0</v>
      </c>
      <c r="Z1760" s="72" t="str">
        <f t="shared" si="737"/>
        <v/>
      </c>
      <c r="AA1760" s="72" t="str">
        <f t="shared" si="738"/>
        <v/>
      </c>
      <c r="AB1760" s="72"/>
      <c r="AC1760" s="72">
        <f t="shared" si="723"/>
        <v>1</v>
      </c>
      <c r="AD1760" s="72">
        <f t="shared" si="724"/>
        <v>1</v>
      </c>
      <c r="AE1760" s="109" t="str">
        <f t="shared" si="725"/>
        <v>0-0</v>
      </c>
      <c r="AF1760" s="109" t="str">
        <f t="shared" si="726"/>
        <v>Y</v>
      </c>
      <c r="AG1760" s="109" t="str">
        <f t="shared" si="727"/>
        <v>B</v>
      </c>
      <c r="AM1760" s="109">
        <f t="shared" si="728"/>
        <v>0</v>
      </c>
      <c r="AN1760" s="109">
        <f t="shared" si="729"/>
        <v>0</v>
      </c>
      <c r="AO1760" s="109" t="str">
        <f t="shared" si="730"/>
        <v/>
      </c>
      <c r="AQ1760" s="109" t="str">
        <f t="shared" si="731"/>
        <v/>
      </c>
      <c r="BA1760" s="229">
        <f>MOD(SUM(E1739:E1761),12)</f>
        <v>0</v>
      </c>
    </row>
    <row r="1761" spans="1:53" ht="15.75" thickBot="1" x14ac:dyDescent="0.3">
      <c r="A1761" s="88"/>
      <c r="B1761" s="66" t="s">
        <v>300</v>
      </c>
      <c r="C1761" s="67"/>
      <c r="D1761" s="102"/>
      <c r="E1761" s="32"/>
      <c r="F1761" s="32"/>
      <c r="G1761" s="68" t="s">
        <v>277</v>
      </c>
      <c r="H1761" s="69">
        <f t="shared" si="732"/>
        <v>0</v>
      </c>
      <c r="I1761" s="70">
        <f t="shared" si="733"/>
        <v>0</v>
      </c>
      <c r="J1761" s="73" t="str">
        <f t="shared" si="734"/>
        <v>--</v>
      </c>
      <c r="K1761" s="32"/>
      <c r="L1761" s="233"/>
      <c r="M1761" s="277"/>
      <c r="N1761" s="277"/>
      <c r="O1761" s="277"/>
      <c r="P1761" s="277"/>
      <c r="Q1761" s="277"/>
      <c r="R1761" s="277"/>
      <c r="S1761" s="277"/>
      <c r="T1761" s="277"/>
      <c r="U1761" s="278"/>
      <c r="V1761" s="103"/>
      <c r="W1761" s="84">
        <f t="shared" si="739"/>
        <v>1</v>
      </c>
      <c r="X1761" s="84"/>
      <c r="Y1761" s="78">
        <f>SUM(E1739:E1761)</f>
        <v>0</v>
      </c>
      <c r="Z1761" s="72" t="str">
        <f t="shared" si="737"/>
        <v/>
      </c>
      <c r="AA1761" s="72" t="str">
        <f t="shared" si="738"/>
        <v/>
      </c>
      <c r="AB1761" s="72"/>
      <c r="AC1761" s="72">
        <f t="shared" si="723"/>
        <v>1</v>
      </c>
      <c r="AD1761" s="72">
        <f t="shared" si="724"/>
        <v>1</v>
      </c>
      <c r="AE1761" s="109" t="str">
        <f t="shared" si="725"/>
        <v>0-0</v>
      </c>
      <c r="AF1761" s="109" t="str">
        <f t="shared" si="726"/>
        <v>Y</v>
      </c>
      <c r="AG1761" s="109" t="str">
        <f t="shared" si="727"/>
        <v>B</v>
      </c>
      <c r="AM1761" s="109">
        <f t="shared" si="728"/>
        <v>0</v>
      </c>
      <c r="AN1761" s="109">
        <f t="shared" si="729"/>
        <v>0</v>
      </c>
      <c r="AO1761" s="109" t="str">
        <f t="shared" si="730"/>
        <v/>
      </c>
      <c r="AQ1761" s="109" t="str">
        <f t="shared" si="731"/>
        <v/>
      </c>
      <c r="BA1761" s="229">
        <f>MOD(SUM(E1739:E1762),12)</f>
        <v>0</v>
      </c>
    </row>
    <row r="1762" spans="1:53" ht="15.75" thickBot="1" x14ac:dyDescent="0.3">
      <c r="A1762" s="88"/>
      <c r="B1762" s="66" t="s">
        <v>301</v>
      </c>
      <c r="C1762" s="67"/>
      <c r="D1762" s="102"/>
      <c r="E1762" s="32"/>
      <c r="F1762" s="32"/>
      <c r="G1762" s="68" t="s">
        <v>277</v>
      </c>
      <c r="H1762" s="69">
        <f t="shared" si="732"/>
        <v>0</v>
      </c>
      <c r="I1762" s="70">
        <f t="shared" si="733"/>
        <v>0</v>
      </c>
      <c r="J1762" s="73" t="str">
        <f t="shared" si="734"/>
        <v>--</v>
      </c>
      <c r="K1762" s="32"/>
      <c r="L1762" s="233"/>
      <c r="M1762" s="277"/>
      <c r="N1762" s="277"/>
      <c r="O1762" s="277"/>
      <c r="P1762" s="277"/>
      <c r="Q1762" s="277"/>
      <c r="R1762" s="277"/>
      <c r="S1762" s="277"/>
      <c r="T1762" s="277"/>
      <c r="U1762" s="278"/>
      <c r="V1762" s="103"/>
      <c r="W1762" s="84">
        <f t="shared" si="739"/>
        <v>1</v>
      </c>
      <c r="X1762" s="84"/>
      <c r="Y1762" s="78">
        <f>SUM(E1739:E1762)</f>
        <v>0</v>
      </c>
      <c r="Z1762" s="72" t="str">
        <f t="shared" si="737"/>
        <v/>
      </c>
      <c r="AA1762" s="72" t="str">
        <f t="shared" si="738"/>
        <v/>
      </c>
      <c r="AB1762" s="72"/>
      <c r="AC1762" s="72">
        <f t="shared" si="723"/>
        <v>1</v>
      </c>
      <c r="AD1762" s="72">
        <f t="shared" si="724"/>
        <v>1</v>
      </c>
      <c r="AE1762" s="109" t="str">
        <f t="shared" si="725"/>
        <v>0-0</v>
      </c>
      <c r="AF1762" s="109" t="str">
        <f t="shared" si="726"/>
        <v>Y</v>
      </c>
      <c r="AG1762" s="109" t="str">
        <f t="shared" si="727"/>
        <v>B</v>
      </c>
      <c r="AM1762" s="109">
        <f t="shared" si="728"/>
        <v>0</v>
      </c>
      <c r="AN1762" s="109">
        <f t="shared" si="729"/>
        <v>0</v>
      </c>
      <c r="AO1762" s="109" t="str">
        <f t="shared" si="730"/>
        <v/>
      </c>
      <c r="AQ1762" s="109" t="str">
        <f t="shared" si="731"/>
        <v/>
      </c>
      <c r="BA1762" s="229">
        <f>MOD(SUM(E1739:E1763),12)</f>
        <v>0</v>
      </c>
    </row>
    <row r="1763" spans="1:53" ht="15.75" thickBot="1" x14ac:dyDescent="0.3">
      <c r="A1763" s="88"/>
      <c r="B1763" s="66" t="s">
        <v>302</v>
      </c>
      <c r="C1763" s="67"/>
      <c r="D1763" s="102"/>
      <c r="E1763" s="32"/>
      <c r="F1763" s="32"/>
      <c r="G1763" s="68" t="s">
        <v>277</v>
      </c>
      <c r="H1763" s="69">
        <f t="shared" si="732"/>
        <v>0</v>
      </c>
      <c r="I1763" s="70">
        <f t="shared" si="733"/>
        <v>0</v>
      </c>
      <c r="J1763" s="73" t="str">
        <f t="shared" si="734"/>
        <v>--</v>
      </c>
      <c r="K1763" s="32"/>
      <c r="L1763" s="234"/>
      <c r="M1763" s="277"/>
      <c r="N1763" s="277"/>
      <c r="O1763" s="277"/>
      <c r="P1763" s="277"/>
      <c r="Q1763" s="277"/>
      <c r="R1763" s="277"/>
      <c r="S1763" s="277"/>
      <c r="T1763" s="277"/>
      <c r="U1763" s="278"/>
      <c r="V1763" s="103"/>
      <c r="W1763" s="72"/>
      <c r="X1763" s="72"/>
      <c r="Y1763" s="78">
        <f>SUM(E1739:E1763)</f>
        <v>0</v>
      </c>
      <c r="Z1763" s="72" t="str">
        <f t="shared" si="737"/>
        <v/>
      </c>
      <c r="AA1763" s="72" t="str">
        <f t="shared" si="738"/>
        <v/>
      </c>
      <c r="AB1763" s="72"/>
      <c r="AC1763" s="72">
        <f t="shared" si="723"/>
        <v>1</v>
      </c>
      <c r="AD1763" s="72">
        <f t="shared" si="724"/>
        <v>1</v>
      </c>
      <c r="AE1763" s="109" t="str">
        <f t="shared" si="725"/>
        <v>0-0</v>
      </c>
      <c r="AF1763" s="109" t="str">
        <f t="shared" si="726"/>
        <v>Y</v>
      </c>
      <c r="AG1763" s="109" t="str">
        <f t="shared" si="727"/>
        <v>B</v>
      </c>
      <c r="AM1763" s="109">
        <f t="shared" si="728"/>
        <v>0</v>
      </c>
      <c r="AN1763" s="109">
        <f t="shared" si="729"/>
        <v>0</v>
      </c>
      <c r="AO1763" s="109" t="str">
        <f t="shared" si="730"/>
        <v/>
      </c>
      <c r="AQ1763" s="109" t="str">
        <f t="shared" si="731"/>
        <v/>
      </c>
      <c r="BA1763" s="228"/>
    </row>
    <row r="1764" spans="1:53" ht="16.5" thickBot="1" x14ac:dyDescent="0.3">
      <c r="A1764" s="88"/>
      <c r="B1764" s="319" t="s">
        <v>389</v>
      </c>
      <c r="C1764" s="320"/>
      <c r="D1764" s="79"/>
      <c r="E1764" s="80"/>
      <c r="F1764" s="80"/>
      <c r="G1764" s="81"/>
      <c r="H1764" s="192"/>
      <c r="I1764" s="192"/>
      <c r="J1764" s="192"/>
      <c r="K1764" s="82"/>
      <c r="L1764" s="319" t="s">
        <v>306</v>
      </c>
      <c r="M1764" s="330"/>
      <c r="N1764" s="330"/>
      <c r="O1764" s="330"/>
      <c r="P1764" s="330"/>
      <c r="Q1764" s="330"/>
      <c r="R1764" s="330"/>
      <c r="S1764" s="330"/>
      <c r="T1764" s="330"/>
      <c r="U1764" s="320"/>
      <c r="V1764" s="104"/>
      <c r="W1764" s="72"/>
      <c r="X1764" s="72"/>
      <c r="Y1764" s="72"/>
      <c r="Z1764" s="72"/>
      <c r="AA1764" s="72" t="str">
        <f t="shared" si="738"/>
        <v/>
      </c>
      <c r="AB1764" s="72"/>
      <c r="AC1764" s="72">
        <f>SUM(AC1739:AC1763)</f>
        <v>25</v>
      </c>
      <c r="AD1764" s="72">
        <f>SUM(AD1739:AD1763)</f>
        <v>25</v>
      </c>
      <c r="AE1764" s="109" t="str">
        <f t="shared" si="725"/>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319" t="s">
        <v>307</v>
      </c>
      <c r="C1765" s="320"/>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38"/>
        <v/>
      </c>
      <c r="AB1765" s="72"/>
      <c r="AC1765" s="72"/>
      <c r="AD1765" s="72"/>
      <c r="AE1765" s="109" t="str">
        <f t="shared" si="725"/>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312" t="s">
        <v>222</v>
      </c>
      <c r="C1769" s="313"/>
      <c r="D1769" s="314" t="s">
        <v>223</v>
      </c>
      <c r="E1769" s="305"/>
      <c r="F1769" s="88"/>
      <c r="G1769" s="315" t="s">
        <v>224</v>
      </c>
      <c r="H1769" s="316"/>
      <c r="I1769" s="28">
        <f>SUM(E1780:E1804)</f>
        <v>0</v>
      </c>
      <c r="J1769" s="317" t="s">
        <v>225</v>
      </c>
      <c r="K1769" s="318"/>
      <c r="L1769" s="305"/>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5" t="s">
        <v>226</v>
      </c>
      <c r="AA1769" s="296"/>
      <c r="AB1769" s="297"/>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4" t="s">
        <v>230</v>
      </c>
      <c r="H1770" s="305"/>
      <c r="I1770" s="33">
        <f>E1771-I1769</f>
        <v>0</v>
      </c>
      <c r="J1770" s="289" t="s">
        <v>231</v>
      </c>
      <c r="K1770" s="290"/>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298" t="s">
        <v>232</v>
      </c>
      <c r="AA1770" s="300" t="s">
        <v>233</v>
      </c>
      <c r="AB1770" s="301"/>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291" t="s">
        <v>237</v>
      </c>
      <c r="H1771" s="292"/>
      <c r="I1771" s="35">
        <f>IF(E1771=0,0,12-(MOD(I1769,12)))</f>
        <v>0</v>
      </c>
      <c r="J1771" s="289" t="s">
        <v>238</v>
      </c>
      <c r="K1771" s="290"/>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299"/>
      <c r="AA1771" s="302"/>
      <c r="AB1771" s="303"/>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321" t="s">
        <v>242</v>
      </c>
      <c r="H1772" s="43" t="s">
        <v>243</v>
      </c>
      <c r="I1772" s="35">
        <f>IF(E1772&lt;&gt;0,1,0)</f>
        <v>0</v>
      </c>
      <c r="J1772" s="291" t="s">
        <v>244</v>
      </c>
      <c r="K1772" s="292"/>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322"/>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321" t="s">
        <v>251</v>
      </c>
      <c r="H1774" s="51" t="s">
        <v>252</v>
      </c>
      <c r="I1774" s="112">
        <f>E1773</f>
        <v>0</v>
      </c>
      <c r="J1774" s="323" t="s">
        <v>253</v>
      </c>
      <c r="K1774" s="324"/>
      <c r="L1774" s="325"/>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322"/>
      <c r="H1775" s="47" t="s">
        <v>257</v>
      </c>
      <c r="I1775" s="35" t="str">
        <f>IF(E1773="","0",IF(AND(E1770="EUC",E1771=432), I1774+(203-E1772),IF(E1773=0,0,(E1773+(E1771-E1772)-1))))</f>
        <v>0</v>
      </c>
      <c r="J1775" s="285" t="str">
        <f>IFERROR(IF(OR(E1770="EUC",E1770="SS"),"---",IF(OR(P1769,S1769),"NO 2F Tethers for RPX!",IF(OR(P1771,S1771),"NO 6F Tethers for RPX!","---"))),"---")</f>
        <v>---</v>
      </c>
      <c r="K1775" s="286"/>
      <c r="L1775" s="287"/>
      <c r="M1775" s="285" t="str">
        <f>IF(E1772&gt;60,"Dead Count &gt;60: Consider Downsize","---")</f>
        <v>---</v>
      </c>
      <c r="N1775" s="286"/>
      <c r="O1775" s="286"/>
      <c r="P1775" s="286"/>
      <c r="Q1775" s="286"/>
      <c r="R1775" s="286"/>
      <c r="S1775" s="286"/>
      <c r="T1775" s="286"/>
      <c r="U1775" s="287"/>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85"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86"/>
      <c r="L1776" s="287"/>
      <c r="M1776" s="285" t="str">
        <f>IF(AND(OR(E1770="SS",E1770="RPX",E1770="EUC",E1770="RPX-T"),(OR(C1780="",C1780="Field SPL"))),"Cannot have FlexNap cables without tethers","---")</f>
        <v>---</v>
      </c>
      <c r="N1776" s="286"/>
      <c r="O1776" s="286"/>
      <c r="P1776" s="286"/>
      <c r="Q1776" s="286"/>
      <c r="R1776" s="286"/>
      <c r="S1776" s="286"/>
      <c r="T1776" s="286"/>
      <c r="U1776" s="287"/>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85" t="str">
        <f>IF(AND(OR(E1770="RPX", E1770="RPX-T", E1770="SS"),E1771=216),"NO 216 For RPX, RPX-T, OR SS CABLE","---")</f>
        <v>---</v>
      </c>
      <c r="K1777" s="286"/>
      <c r="L1777" s="287"/>
      <c r="M1777" s="285" t="str" cm="1">
        <f t="array" ref="M1777">IF(AND(E1770="",OR(C1780:C1804="FST",C1780:C1804="REV T",C1780:C1804="DBL REV",C1780:C1804="TPL REV", C1780:C1804="QD REV")),"Non-FlexNap cables cannot have tethers","---")</f>
        <v>---</v>
      </c>
      <c r="N1777" s="286"/>
      <c r="O1777" s="286"/>
      <c r="P1777" s="286"/>
      <c r="Q1777" s="286"/>
      <c r="R1777" s="286"/>
      <c r="S1777" s="286"/>
      <c r="T1777" s="286"/>
      <c r="U1777" s="287"/>
      <c r="V1777" s="25"/>
      <c r="W1777" s="58"/>
      <c r="X1777" s="58"/>
      <c r="Y1777" s="25"/>
      <c r="Z1777" s="45">
        <v>6</v>
      </c>
      <c r="AA1777" s="65">
        <v>61</v>
      </c>
      <c r="AB1777" s="65">
        <v>72</v>
      </c>
      <c r="AC1777" s="25"/>
      <c r="AD1777" s="25"/>
      <c r="BA1777" s="226"/>
    </row>
    <row r="1778" spans="1:53" ht="15.75" customHeight="1" thickBot="1" x14ac:dyDescent="0.3">
      <c r="A1778" s="88"/>
      <c r="B1778" s="321" t="s">
        <v>260</v>
      </c>
      <c r="C1778" s="293" t="s">
        <v>261</v>
      </c>
      <c r="D1778" s="293" t="s">
        <v>262</v>
      </c>
      <c r="E1778" s="306" t="s">
        <v>263</v>
      </c>
      <c r="F1778" s="293" t="s">
        <v>264</v>
      </c>
      <c r="G1778" s="308" t="s">
        <v>265</v>
      </c>
      <c r="H1778" s="308" t="s">
        <v>266</v>
      </c>
      <c r="I1778" s="308" t="s">
        <v>267</v>
      </c>
      <c r="J1778" s="310" t="s">
        <v>268</v>
      </c>
      <c r="K1778" s="293" t="s">
        <v>269</v>
      </c>
      <c r="L1778" s="279" t="s">
        <v>270</v>
      </c>
      <c r="M1778" s="281" t="s">
        <v>271</v>
      </c>
      <c r="N1778" s="281"/>
      <c r="O1778" s="281"/>
      <c r="P1778" s="281"/>
      <c r="Q1778" s="281"/>
      <c r="R1778" s="281"/>
      <c r="S1778" s="281"/>
      <c r="T1778" s="281"/>
      <c r="U1778" s="282"/>
      <c r="V1778" s="107"/>
      <c r="W1778" s="72"/>
      <c r="X1778" s="72"/>
      <c r="Y1778" s="72"/>
      <c r="Z1778" s="45">
        <v>7</v>
      </c>
      <c r="AA1778" s="65">
        <v>73</v>
      </c>
      <c r="AB1778" s="65">
        <v>84</v>
      </c>
      <c r="AC1778" s="25"/>
      <c r="AD1778" s="25"/>
      <c r="BA1778" s="228"/>
    </row>
    <row r="1779" spans="1:53" ht="15.75" thickBot="1" x14ac:dyDescent="0.3">
      <c r="A1779" s="88"/>
      <c r="B1779" s="322"/>
      <c r="C1779" s="294"/>
      <c r="D1779" s="294"/>
      <c r="E1779" s="307"/>
      <c r="F1779" s="294"/>
      <c r="G1779" s="309"/>
      <c r="H1779" s="309"/>
      <c r="I1779" s="309"/>
      <c r="J1779" s="311"/>
      <c r="K1779" s="294"/>
      <c r="L1779" s="280"/>
      <c r="M1779" s="283"/>
      <c r="N1779" s="283"/>
      <c r="O1779" s="283"/>
      <c r="P1779" s="283"/>
      <c r="Q1779" s="283"/>
      <c r="R1779" s="283"/>
      <c r="S1779" s="283"/>
      <c r="T1779" s="283"/>
      <c r="U1779" s="284"/>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77"/>
      <c r="N1780" s="277"/>
      <c r="O1780" s="277"/>
      <c r="P1780" s="277"/>
      <c r="Q1780" s="277"/>
      <c r="R1780" s="277"/>
      <c r="S1780" s="277"/>
      <c r="T1780" s="277"/>
      <c r="U1780" s="278"/>
      <c r="V1780" s="103"/>
      <c r="W1780" s="72"/>
      <c r="X1780" s="72"/>
      <c r="Y1780" s="72"/>
      <c r="Z1780" s="45">
        <v>9</v>
      </c>
      <c r="AA1780" s="46">
        <v>97</v>
      </c>
      <c r="AB1780" s="46">
        <v>108</v>
      </c>
      <c r="AC1780" s="72">
        <f t="shared" ref="AC1780:AC1804" si="740">IF(B1780&lt;&gt;"FST",1,0)</f>
        <v>1</v>
      </c>
      <c r="AD1780" s="72">
        <f t="shared" ref="AD1780:AD1804" si="741">IF(C1780&lt;&gt;"FST",1,0)</f>
        <v>1</v>
      </c>
      <c r="AE1780" s="109" t="str">
        <f t="shared" ref="AE1780:AE1806" si="742">CONCATENATE(H1780,"-",I1780)</f>
        <v>0-0</v>
      </c>
      <c r="AF1780" s="109" t="str">
        <f t="shared" ref="AF1780:AF1804" si="743">IF(C1780="Field SPL","N","Y")</f>
        <v>Y</v>
      </c>
      <c r="AG1780" s="109" t="str">
        <f t="shared" ref="AG1780:AG1804" si="744">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45">VALUE(IF(C1780="FST","0",IF(C1780="REV T","1",IF(C1780="DBL REV",".5","0"))))</f>
        <v>0</v>
      </c>
      <c r="AN1780" s="109">
        <f t="shared" ref="AN1780:AN1804" si="746">VALUE(IF(C1780="FST","0",IF(C1780="REV T","0",IF(C1780="DBL REV",".5","0"))))</f>
        <v>0</v>
      </c>
      <c r="AO1780" s="109" t="str">
        <f t="shared" ref="AO1780:AO1804" si="747">IF(C1780="TPL REV","Y","")</f>
        <v/>
      </c>
      <c r="AQ1780" s="109" t="str">
        <f t="shared" ref="AQ1780:AQ1804" si="748">IF(C1780="QD REV","Y","")</f>
        <v/>
      </c>
      <c r="BA1780" s="229">
        <f>MOD(E1780,12)</f>
        <v>0</v>
      </c>
    </row>
    <row r="1781" spans="1:53" ht="15.75" thickBot="1" x14ac:dyDescent="0.3">
      <c r="A1781" s="88"/>
      <c r="B1781" s="66" t="s">
        <v>279</v>
      </c>
      <c r="C1781" s="67"/>
      <c r="D1781" s="102"/>
      <c r="E1781" s="32"/>
      <c r="F1781" s="32"/>
      <c r="G1781" s="68" t="s">
        <v>277</v>
      </c>
      <c r="H1781" s="69">
        <f t="shared" ref="H1781:H1804" si="749">IF(E1781=0,0,I1781-(E1781-1))</f>
        <v>0</v>
      </c>
      <c r="I1781" s="70">
        <f t="shared" ref="I1781:I1804" si="750">IF(E1781=0,0,H1780-1)</f>
        <v>0</v>
      </c>
      <c r="J1781" s="73" t="str">
        <f>IF(C1781="","--",IF(AND(C1781&lt;&gt;"FST",C1781&lt;&gt;"TCF",BA1780&lt;&gt;0),BA1780,"--"))</f>
        <v>--</v>
      </c>
      <c r="K1781" s="32"/>
      <c r="L1781" s="233"/>
      <c r="M1781" s="277"/>
      <c r="N1781" s="277"/>
      <c r="O1781" s="277"/>
      <c r="P1781" s="277"/>
      <c r="Q1781" s="277"/>
      <c r="R1781" s="277"/>
      <c r="S1781" s="277"/>
      <c r="T1781" s="277"/>
      <c r="U1781" s="278"/>
      <c r="V1781" s="103"/>
      <c r="W1781" s="72"/>
      <c r="X1781" s="72"/>
      <c r="Y1781" s="72"/>
      <c r="Z1781" s="45">
        <v>10</v>
      </c>
      <c r="AA1781" s="46">
        <v>109</v>
      </c>
      <c r="AB1781" s="46">
        <v>120</v>
      </c>
      <c r="AC1781" s="72">
        <f t="shared" si="740"/>
        <v>1</v>
      </c>
      <c r="AD1781" s="72">
        <f t="shared" si="741"/>
        <v>1</v>
      </c>
      <c r="AE1781" s="109" t="str">
        <f t="shared" si="742"/>
        <v>0-0</v>
      </c>
      <c r="AF1781" s="109" t="str">
        <f t="shared" si="743"/>
        <v>Y</v>
      </c>
      <c r="AG1781" s="109" t="str">
        <f t="shared" si="744"/>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45"/>
        <v>0</v>
      </c>
      <c r="AN1781" s="109">
        <f t="shared" si="746"/>
        <v>0</v>
      </c>
      <c r="AO1781" s="109" t="str">
        <f t="shared" si="747"/>
        <v/>
      </c>
      <c r="AQ1781" s="109" t="str">
        <f t="shared" si="748"/>
        <v/>
      </c>
      <c r="BA1781" s="229">
        <f>MOD(SUM(E1780:E1781),12)</f>
        <v>0</v>
      </c>
    </row>
    <row r="1782" spans="1:53" ht="15.75" thickBot="1" x14ac:dyDescent="0.3">
      <c r="A1782" s="88"/>
      <c r="B1782" s="74" t="s">
        <v>280</v>
      </c>
      <c r="C1782" s="67"/>
      <c r="D1782" s="102"/>
      <c r="E1782" s="32"/>
      <c r="F1782" s="32"/>
      <c r="G1782" s="75" t="s">
        <v>277</v>
      </c>
      <c r="H1782" s="69">
        <f t="shared" si="749"/>
        <v>0</v>
      </c>
      <c r="I1782" s="70">
        <f t="shared" si="750"/>
        <v>0</v>
      </c>
      <c r="J1782" s="73" t="str">
        <f t="shared" ref="J1782:J1804" si="751">IF(C1782="","--",IF(AND(C1782&lt;&gt;"FST",C1782&lt;&gt;"TCF",BA1781&lt;&gt;0),BA1781,"--"))</f>
        <v>--</v>
      </c>
      <c r="K1782" s="32"/>
      <c r="L1782" s="233"/>
      <c r="M1782" s="277"/>
      <c r="N1782" s="277"/>
      <c r="O1782" s="277"/>
      <c r="P1782" s="277"/>
      <c r="Q1782" s="277"/>
      <c r="R1782" s="277"/>
      <c r="S1782" s="277"/>
      <c r="T1782" s="277"/>
      <c r="U1782" s="278"/>
      <c r="V1782" s="103"/>
      <c r="W1782" s="72"/>
      <c r="X1782" s="72"/>
      <c r="Y1782" s="72"/>
      <c r="Z1782" s="45">
        <v>11</v>
      </c>
      <c r="AA1782" s="46">
        <v>121</v>
      </c>
      <c r="AB1782" s="46">
        <v>132</v>
      </c>
      <c r="AC1782" s="72">
        <f t="shared" si="740"/>
        <v>1</v>
      </c>
      <c r="AD1782" s="72">
        <f t="shared" si="741"/>
        <v>1</v>
      </c>
      <c r="AE1782" s="109" t="str">
        <f t="shared" si="742"/>
        <v>0-0</v>
      </c>
      <c r="AF1782" s="109" t="str">
        <f t="shared" si="743"/>
        <v>Y</v>
      </c>
      <c r="AG1782" s="109" t="str">
        <f t="shared" si="744"/>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45"/>
        <v>0</v>
      </c>
      <c r="AN1782" s="109">
        <f t="shared" si="746"/>
        <v>0</v>
      </c>
      <c r="AO1782" s="109" t="str">
        <f t="shared" si="747"/>
        <v/>
      </c>
      <c r="AQ1782" s="109" t="str">
        <f t="shared" si="748"/>
        <v/>
      </c>
      <c r="BA1782" s="229">
        <f>MOD(SUM(E1780:E1783),12)</f>
        <v>0</v>
      </c>
    </row>
    <row r="1783" spans="1:53" ht="15.75" thickBot="1" x14ac:dyDescent="0.3">
      <c r="A1783" s="88"/>
      <c r="B1783" s="66" t="s">
        <v>281</v>
      </c>
      <c r="C1783" s="67"/>
      <c r="D1783" s="102"/>
      <c r="E1783" s="32"/>
      <c r="F1783" s="32"/>
      <c r="G1783" s="68" t="s">
        <v>277</v>
      </c>
      <c r="H1783" s="69">
        <f t="shared" si="749"/>
        <v>0</v>
      </c>
      <c r="I1783" s="70">
        <f t="shared" si="750"/>
        <v>0</v>
      </c>
      <c r="J1783" s="73" t="str">
        <f t="shared" si="751"/>
        <v>--</v>
      </c>
      <c r="K1783" s="32"/>
      <c r="L1783" s="233"/>
      <c r="M1783" s="277"/>
      <c r="N1783" s="277"/>
      <c r="O1783" s="277"/>
      <c r="P1783" s="277"/>
      <c r="Q1783" s="277"/>
      <c r="R1783" s="277"/>
      <c r="S1783" s="277"/>
      <c r="T1783" s="277"/>
      <c r="U1783" s="278"/>
      <c r="V1783" s="103"/>
      <c r="W1783" s="72"/>
      <c r="X1783" s="72"/>
      <c r="Y1783" s="72"/>
      <c r="Z1783" s="45">
        <v>12</v>
      </c>
      <c r="AA1783" s="76">
        <v>133</v>
      </c>
      <c r="AB1783" s="76">
        <v>144</v>
      </c>
      <c r="AC1783" s="72">
        <f t="shared" si="740"/>
        <v>1</v>
      </c>
      <c r="AD1783" s="72">
        <f t="shared" si="741"/>
        <v>1</v>
      </c>
      <c r="AE1783" s="109" t="str">
        <f t="shared" si="742"/>
        <v>0-0</v>
      </c>
      <c r="AF1783" s="109" t="str">
        <f t="shared" si="743"/>
        <v>Y</v>
      </c>
      <c r="AG1783" s="109" t="str">
        <f t="shared" si="744"/>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45"/>
        <v>0</v>
      </c>
      <c r="AN1783" s="109">
        <f t="shared" si="746"/>
        <v>0</v>
      </c>
      <c r="AO1783" s="109" t="str">
        <f t="shared" si="747"/>
        <v/>
      </c>
      <c r="AQ1783" s="109" t="str">
        <f t="shared" si="748"/>
        <v/>
      </c>
      <c r="BA1783" s="229">
        <f>MOD(SUM(E1780:E1784),12)</f>
        <v>0</v>
      </c>
    </row>
    <row r="1784" spans="1:53" ht="15.75" thickBot="1" x14ac:dyDescent="0.3">
      <c r="A1784" s="88"/>
      <c r="B1784" s="66" t="s">
        <v>282</v>
      </c>
      <c r="C1784" s="67"/>
      <c r="D1784" s="102"/>
      <c r="E1784" s="32"/>
      <c r="F1784" s="32"/>
      <c r="G1784" s="68" t="s">
        <v>277</v>
      </c>
      <c r="H1784" s="69">
        <f t="shared" si="749"/>
        <v>0</v>
      </c>
      <c r="I1784" s="70">
        <f t="shared" si="750"/>
        <v>0</v>
      </c>
      <c r="J1784" s="73" t="str">
        <f t="shared" si="751"/>
        <v>--</v>
      </c>
      <c r="K1784" s="32"/>
      <c r="L1784" s="233"/>
      <c r="M1784" s="277"/>
      <c r="N1784" s="277"/>
      <c r="O1784" s="277"/>
      <c r="P1784" s="277"/>
      <c r="Q1784" s="277"/>
      <c r="R1784" s="277"/>
      <c r="S1784" s="277"/>
      <c r="T1784" s="277"/>
      <c r="U1784" s="278"/>
      <c r="V1784" s="103"/>
      <c r="W1784" s="72"/>
      <c r="X1784" s="72"/>
      <c r="Y1784" s="72"/>
      <c r="Z1784" s="45">
        <v>13</v>
      </c>
      <c r="AA1784" s="77">
        <f t="shared" ref="AA1784:AA1789" si="752">AB1783+1</f>
        <v>145</v>
      </c>
      <c r="AB1784" s="77">
        <f t="shared" ref="AB1784:AB1789" si="753">AB1783+12</f>
        <v>156</v>
      </c>
      <c r="AC1784" s="72">
        <f t="shared" si="740"/>
        <v>1</v>
      </c>
      <c r="AD1784" s="72">
        <f t="shared" si="741"/>
        <v>1</v>
      </c>
      <c r="AE1784" s="109" t="str">
        <f t="shared" si="742"/>
        <v>0-0</v>
      </c>
      <c r="AF1784" s="109" t="str">
        <f t="shared" si="743"/>
        <v>Y</v>
      </c>
      <c r="AG1784" s="109" t="str">
        <f t="shared" si="744"/>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45"/>
        <v>0</v>
      </c>
      <c r="AN1784" s="109">
        <f t="shared" si="746"/>
        <v>0</v>
      </c>
      <c r="AO1784" s="109" t="str">
        <f t="shared" si="747"/>
        <v/>
      </c>
      <c r="AQ1784" s="109" t="str">
        <f t="shared" si="748"/>
        <v/>
      </c>
      <c r="BA1784" s="229">
        <f>MOD(SUM(E1780:E1785),12)</f>
        <v>0</v>
      </c>
    </row>
    <row r="1785" spans="1:53" ht="15.75" thickBot="1" x14ac:dyDescent="0.3">
      <c r="A1785" s="88"/>
      <c r="B1785" s="66" t="s">
        <v>283</v>
      </c>
      <c r="C1785" s="67"/>
      <c r="D1785" s="102"/>
      <c r="E1785" s="32"/>
      <c r="F1785" s="32"/>
      <c r="G1785" s="68" t="s">
        <v>277</v>
      </c>
      <c r="H1785" s="69">
        <f t="shared" si="749"/>
        <v>0</v>
      </c>
      <c r="I1785" s="70">
        <f t="shared" si="750"/>
        <v>0</v>
      </c>
      <c r="J1785" s="73" t="str">
        <f t="shared" si="751"/>
        <v>--</v>
      </c>
      <c r="K1785" s="32"/>
      <c r="L1785" s="233"/>
      <c r="M1785" s="277"/>
      <c r="N1785" s="277"/>
      <c r="O1785" s="277"/>
      <c r="P1785" s="277"/>
      <c r="Q1785" s="277"/>
      <c r="R1785" s="277"/>
      <c r="S1785" s="277"/>
      <c r="T1785" s="277"/>
      <c r="U1785" s="278"/>
      <c r="V1785" s="103"/>
      <c r="W1785" s="72"/>
      <c r="X1785" s="72"/>
      <c r="Y1785" s="72"/>
      <c r="Z1785" s="45">
        <v>14</v>
      </c>
      <c r="AA1785" s="77">
        <f t="shared" si="752"/>
        <v>157</v>
      </c>
      <c r="AB1785" s="77">
        <f t="shared" si="753"/>
        <v>168</v>
      </c>
      <c r="AC1785" s="72">
        <f t="shared" si="740"/>
        <v>1</v>
      </c>
      <c r="AD1785" s="72">
        <f t="shared" si="741"/>
        <v>1</v>
      </c>
      <c r="AE1785" s="109" t="str">
        <f t="shared" si="742"/>
        <v>0-0</v>
      </c>
      <c r="AF1785" s="109" t="str">
        <f t="shared" si="743"/>
        <v>Y</v>
      </c>
      <c r="AG1785" s="109" t="str">
        <f t="shared" si="744"/>
        <v>B</v>
      </c>
      <c r="AM1785" s="109">
        <f t="shared" si="745"/>
        <v>0</v>
      </c>
      <c r="AN1785" s="109">
        <f t="shared" si="746"/>
        <v>0</v>
      </c>
      <c r="AO1785" s="109" t="str">
        <f t="shared" si="747"/>
        <v/>
      </c>
      <c r="AQ1785" s="109" t="str">
        <f t="shared" si="748"/>
        <v/>
      </c>
      <c r="BA1785" s="229">
        <f>MOD(SUM(E1780:E1786),12)</f>
        <v>0</v>
      </c>
    </row>
    <row r="1786" spans="1:53" ht="15.75" thickBot="1" x14ac:dyDescent="0.3">
      <c r="A1786" s="88"/>
      <c r="B1786" s="66" t="s">
        <v>284</v>
      </c>
      <c r="C1786" s="67"/>
      <c r="D1786" s="102"/>
      <c r="E1786" s="32"/>
      <c r="F1786" s="32"/>
      <c r="G1786" s="68" t="s">
        <v>277</v>
      </c>
      <c r="H1786" s="69">
        <f t="shared" si="749"/>
        <v>0</v>
      </c>
      <c r="I1786" s="70">
        <f t="shared" si="750"/>
        <v>0</v>
      </c>
      <c r="J1786" s="73" t="str">
        <f t="shared" si="751"/>
        <v>--</v>
      </c>
      <c r="K1786" s="32"/>
      <c r="L1786" s="233"/>
      <c r="M1786" s="277"/>
      <c r="N1786" s="277"/>
      <c r="O1786" s="277"/>
      <c r="P1786" s="277"/>
      <c r="Q1786" s="277"/>
      <c r="R1786" s="277"/>
      <c r="S1786" s="277"/>
      <c r="T1786" s="277"/>
      <c r="U1786" s="278"/>
      <c r="V1786" s="103"/>
      <c r="W1786" s="72"/>
      <c r="X1786" s="72"/>
      <c r="Y1786" s="72"/>
      <c r="Z1786" s="45">
        <v>15</v>
      </c>
      <c r="AA1786" s="77">
        <f t="shared" si="752"/>
        <v>169</v>
      </c>
      <c r="AB1786" s="77">
        <f t="shared" si="753"/>
        <v>180</v>
      </c>
      <c r="AC1786" s="72">
        <f t="shared" si="740"/>
        <v>1</v>
      </c>
      <c r="AD1786" s="72">
        <f t="shared" si="741"/>
        <v>1</v>
      </c>
      <c r="AE1786" s="109" t="str">
        <f t="shared" si="742"/>
        <v>0-0</v>
      </c>
      <c r="AF1786" s="109" t="str">
        <f t="shared" si="743"/>
        <v>Y</v>
      </c>
      <c r="AG1786" s="109" t="str">
        <f t="shared" si="744"/>
        <v>B</v>
      </c>
      <c r="AM1786" s="109">
        <f t="shared" si="745"/>
        <v>0</v>
      </c>
      <c r="AN1786" s="109">
        <f t="shared" si="746"/>
        <v>0</v>
      </c>
      <c r="AO1786" s="109" t="str">
        <f t="shared" si="747"/>
        <v/>
      </c>
      <c r="AQ1786" s="109" t="str">
        <f t="shared" si="748"/>
        <v/>
      </c>
      <c r="BA1786" s="229">
        <f>MOD(SUM(E1780:E1787),12)</f>
        <v>0</v>
      </c>
    </row>
    <row r="1787" spans="1:53" ht="15.75" thickBot="1" x14ac:dyDescent="0.3">
      <c r="A1787" s="88"/>
      <c r="B1787" s="66" t="s">
        <v>285</v>
      </c>
      <c r="C1787" s="67"/>
      <c r="D1787" s="102"/>
      <c r="E1787" s="32"/>
      <c r="F1787" s="32"/>
      <c r="G1787" s="68" t="s">
        <v>277</v>
      </c>
      <c r="H1787" s="69">
        <f t="shared" si="749"/>
        <v>0</v>
      </c>
      <c r="I1787" s="70">
        <f t="shared" si="750"/>
        <v>0</v>
      </c>
      <c r="J1787" s="73" t="str">
        <f t="shared" si="751"/>
        <v>--</v>
      </c>
      <c r="K1787" s="32"/>
      <c r="L1787" s="233"/>
      <c r="M1787" s="277"/>
      <c r="N1787" s="277"/>
      <c r="O1787" s="277"/>
      <c r="P1787" s="277"/>
      <c r="Q1787" s="277"/>
      <c r="R1787" s="277"/>
      <c r="S1787" s="277"/>
      <c r="T1787" s="277"/>
      <c r="U1787" s="278"/>
      <c r="V1787" s="103"/>
      <c r="W1787" s="72"/>
      <c r="X1787" s="72"/>
      <c r="Y1787" s="72"/>
      <c r="Z1787" s="45">
        <f>Z1786+1</f>
        <v>16</v>
      </c>
      <c r="AA1787" s="77">
        <f t="shared" si="752"/>
        <v>181</v>
      </c>
      <c r="AB1787" s="77">
        <f t="shared" si="753"/>
        <v>192</v>
      </c>
      <c r="AC1787" s="72">
        <f t="shared" si="740"/>
        <v>1</v>
      </c>
      <c r="AD1787" s="72">
        <f t="shared" si="741"/>
        <v>1</v>
      </c>
      <c r="AE1787" s="109" t="str">
        <f t="shared" si="742"/>
        <v>0-0</v>
      </c>
      <c r="AF1787" s="109" t="str">
        <f t="shared" si="743"/>
        <v>Y</v>
      </c>
      <c r="AG1787" s="109" t="str">
        <f t="shared" si="744"/>
        <v>B</v>
      </c>
      <c r="AM1787" s="109">
        <f t="shared" si="745"/>
        <v>0</v>
      </c>
      <c r="AN1787" s="109">
        <f t="shared" si="746"/>
        <v>0</v>
      </c>
      <c r="AO1787" s="109" t="str">
        <f t="shared" si="747"/>
        <v/>
      </c>
      <c r="AQ1787" s="109" t="str">
        <f t="shared" si="748"/>
        <v/>
      </c>
      <c r="BA1787" s="229">
        <f>MOD(SUM(E1780:E1788),12)</f>
        <v>0</v>
      </c>
    </row>
    <row r="1788" spans="1:53" ht="15.75" thickBot="1" x14ac:dyDescent="0.3">
      <c r="A1788" s="88"/>
      <c r="B1788" s="66" t="s">
        <v>286</v>
      </c>
      <c r="C1788" s="67"/>
      <c r="D1788" s="102"/>
      <c r="E1788" s="32"/>
      <c r="F1788" s="32"/>
      <c r="G1788" s="68" t="s">
        <v>277</v>
      </c>
      <c r="H1788" s="69">
        <f t="shared" si="749"/>
        <v>0</v>
      </c>
      <c r="I1788" s="70">
        <f t="shared" si="750"/>
        <v>0</v>
      </c>
      <c r="J1788" s="73" t="str">
        <f t="shared" si="751"/>
        <v>--</v>
      </c>
      <c r="K1788" s="32"/>
      <c r="L1788" s="233"/>
      <c r="M1788" s="277"/>
      <c r="N1788" s="277"/>
      <c r="O1788" s="277"/>
      <c r="P1788" s="277"/>
      <c r="Q1788" s="277"/>
      <c r="R1788" s="277"/>
      <c r="S1788" s="277"/>
      <c r="T1788" s="277"/>
      <c r="U1788" s="278"/>
      <c r="V1788" s="103"/>
      <c r="W1788" s="72"/>
      <c r="X1788" s="72"/>
      <c r="Y1788" s="72"/>
      <c r="Z1788" s="45">
        <f>Z1787+1</f>
        <v>17</v>
      </c>
      <c r="AA1788" s="77">
        <f t="shared" si="752"/>
        <v>193</v>
      </c>
      <c r="AB1788" s="77">
        <f t="shared" si="753"/>
        <v>204</v>
      </c>
      <c r="AC1788" s="72">
        <f t="shared" si="740"/>
        <v>1</v>
      </c>
      <c r="AD1788" s="72">
        <f t="shared" si="741"/>
        <v>1</v>
      </c>
      <c r="AE1788" s="109" t="str">
        <f t="shared" si="742"/>
        <v>0-0</v>
      </c>
      <c r="AF1788" s="109" t="str">
        <f t="shared" si="743"/>
        <v>Y</v>
      </c>
      <c r="AG1788" s="109" t="str">
        <f t="shared" si="744"/>
        <v>B</v>
      </c>
      <c r="AM1788" s="109">
        <f t="shared" si="745"/>
        <v>0</v>
      </c>
      <c r="AN1788" s="109">
        <f t="shared" si="746"/>
        <v>0</v>
      </c>
      <c r="AO1788" s="109" t="str">
        <f t="shared" si="747"/>
        <v/>
      </c>
      <c r="AQ1788" s="109" t="str">
        <f t="shared" si="748"/>
        <v/>
      </c>
      <c r="BA1788" s="229">
        <f>MOD(SUM(E1780:E1789),12)</f>
        <v>0</v>
      </c>
    </row>
    <row r="1789" spans="1:53" ht="15.75" thickBot="1" x14ac:dyDescent="0.3">
      <c r="A1789" s="88"/>
      <c r="B1789" s="66" t="s">
        <v>287</v>
      </c>
      <c r="C1789" s="67"/>
      <c r="D1789" s="102"/>
      <c r="E1789" s="32"/>
      <c r="F1789" s="32"/>
      <c r="G1789" s="68" t="s">
        <v>277</v>
      </c>
      <c r="H1789" s="69">
        <f t="shared" si="749"/>
        <v>0</v>
      </c>
      <c r="I1789" s="70">
        <f t="shared" si="750"/>
        <v>0</v>
      </c>
      <c r="J1789" s="73" t="str">
        <f t="shared" si="751"/>
        <v>--</v>
      </c>
      <c r="K1789" s="32"/>
      <c r="L1789" s="233"/>
      <c r="M1789" s="277"/>
      <c r="N1789" s="277"/>
      <c r="O1789" s="277"/>
      <c r="P1789" s="277"/>
      <c r="Q1789" s="277"/>
      <c r="R1789" s="277"/>
      <c r="S1789" s="277"/>
      <c r="T1789" s="277"/>
      <c r="U1789" s="278"/>
      <c r="V1789" s="103"/>
      <c r="W1789" s="72"/>
      <c r="X1789" s="72"/>
      <c r="Y1789" s="72"/>
      <c r="Z1789" s="45">
        <f>Z1788+1</f>
        <v>18</v>
      </c>
      <c r="AA1789" s="77">
        <f t="shared" si="752"/>
        <v>205</v>
      </c>
      <c r="AB1789" s="77">
        <f t="shared" si="753"/>
        <v>216</v>
      </c>
      <c r="AC1789" s="72">
        <f t="shared" si="740"/>
        <v>1</v>
      </c>
      <c r="AD1789" s="72">
        <f t="shared" si="741"/>
        <v>1</v>
      </c>
      <c r="AE1789" s="109" t="str">
        <f t="shared" si="742"/>
        <v>0-0</v>
      </c>
      <c r="AF1789" s="109" t="str">
        <f t="shared" si="743"/>
        <v>Y</v>
      </c>
      <c r="AG1789" s="109" t="str">
        <f t="shared" si="744"/>
        <v>B</v>
      </c>
      <c r="AM1789" s="109">
        <f t="shared" si="745"/>
        <v>0</v>
      </c>
      <c r="AN1789" s="109">
        <f t="shared" si="746"/>
        <v>0</v>
      </c>
      <c r="AO1789" s="109" t="str">
        <f t="shared" si="747"/>
        <v/>
      </c>
      <c r="AQ1789" s="109" t="str">
        <f t="shared" si="748"/>
        <v/>
      </c>
      <c r="BA1789" s="229">
        <f>MOD(SUM(E1780:E1790),12)</f>
        <v>0</v>
      </c>
    </row>
    <row r="1790" spans="1:53" ht="15.75" thickBot="1" x14ac:dyDescent="0.3">
      <c r="A1790" s="88"/>
      <c r="B1790" s="66" t="s">
        <v>288</v>
      </c>
      <c r="C1790" s="67"/>
      <c r="D1790" s="102"/>
      <c r="E1790" s="32"/>
      <c r="F1790" s="32"/>
      <c r="G1790" s="68" t="s">
        <v>277</v>
      </c>
      <c r="H1790" s="69">
        <f t="shared" si="749"/>
        <v>0</v>
      </c>
      <c r="I1790" s="70">
        <f t="shared" si="750"/>
        <v>0</v>
      </c>
      <c r="J1790" s="73" t="str">
        <f t="shared" si="751"/>
        <v>--</v>
      </c>
      <c r="K1790" s="32"/>
      <c r="L1790" s="233"/>
      <c r="M1790" s="277"/>
      <c r="N1790" s="277"/>
      <c r="O1790" s="277"/>
      <c r="P1790" s="277"/>
      <c r="Q1790" s="277"/>
      <c r="R1790" s="277"/>
      <c r="S1790" s="277"/>
      <c r="T1790" s="277"/>
      <c r="U1790" s="278"/>
      <c r="V1790" s="103"/>
      <c r="W1790" s="84"/>
      <c r="X1790" s="84"/>
      <c r="Y1790" s="72"/>
      <c r="Z1790" s="72"/>
      <c r="AA1790" s="72"/>
      <c r="AB1790" s="72"/>
      <c r="AC1790" s="72">
        <f t="shared" si="740"/>
        <v>1</v>
      </c>
      <c r="AD1790" s="72">
        <f t="shared" si="741"/>
        <v>1</v>
      </c>
      <c r="AE1790" s="109" t="str">
        <f t="shared" si="742"/>
        <v>0-0</v>
      </c>
      <c r="AF1790" s="109" t="str">
        <f t="shared" si="743"/>
        <v>Y</v>
      </c>
      <c r="AG1790" s="109" t="str">
        <f t="shared" si="744"/>
        <v>B</v>
      </c>
      <c r="AM1790" s="109">
        <f t="shared" si="745"/>
        <v>0</v>
      </c>
      <c r="AN1790" s="109">
        <f t="shared" si="746"/>
        <v>0</v>
      </c>
      <c r="AO1790" s="109" t="str">
        <f t="shared" si="747"/>
        <v/>
      </c>
      <c r="AQ1790" s="109" t="str">
        <f t="shared" si="748"/>
        <v/>
      </c>
      <c r="BA1790" s="229">
        <f>MOD(SUM(E1780:E1791),12)</f>
        <v>0</v>
      </c>
    </row>
    <row r="1791" spans="1:53" ht="15.75" thickBot="1" x14ac:dyDescent="0.3">
      <c r="A1791" s="88"/>
      <c r="B1791" s="66" t="s">
        <v>289</v>
      </c>
      <c r="C1791" s="67"/>
      <c r="D1791" s="102"/>
      <c r="E1791" s="32"/>
      <c r="F1791" s="32"/>
      <c r="G1791" s="68" t="s">
        <v>277</v>
      </c>
      <c r="H1791" s="69">
        <f t="shared" si="749"/>
        <v>0</v>
      </c>
      <c r="I1791" s="70">
        <f t="shared" si="750"/>
        <v>0</v>
      </c>
      <c r="J1791" s="73" t="str">
        <f t="shared" si="751"/>
        <v>--</v>
      </c>
      <c r="K1791" s="32"/>
      <c r="L1791" s="233"/>
      <c r="M1791" s="277"/>
      <c r="N1791" s="277"/>
      <c r="O1791" s="277"/>
      <c r="P1791" s="277"/>
      <c r="Q1791" s="277"/>
      <c r="R1791" s="277"/>
      <c r="S1791" s="277"/>
      <c r="T1791" s="277"/>
      <c r="U1791" s="278"/>
      <c r="V1791" s="103"/>
      <c r="W1791" s="84">
        <f>Y1791+1</f>
        <v>1</v>
      </c>
      <c r="X1791" s="84"/>
      <c r="Y1791" s="78">
        <f>SUM(E1780:E1791)</f>
        <v>0</v>
      </c>
      <c r="Z1791" s="72"/>
      <c r="AA1791" s="72"/>
      <c r="AB1791" s="72"/>
      <c r="AC1791" s="72">
        <f t="shared" si="740"/>
        <v>1</v>
      </c>
      <c r="AD1791" s="72">
        <f t="shared" si="741"/>
        <v>1</v>
      </c>
      <c r="AE1791" s="109" t="str">
        <f t="shared" si="742"/>
        <v>0-0</v>
      </c>
      <c r="AF1791" s="109" t="str">
        <f t="shared" si="743"/>
        <v>Y</v>
      </c>
      <c r="AG1791" s="109" t="str">
        <f t="shared" si="744"/>
        <v>B</v>
      </c>
      <c r="AM1791" s="109">
        <f t="shared" si="745"/>
        <v>0</v>
      </c>
      <c r="AN1791" s="109">
        <f t="shared" si="746"/>
        <v>0</v>
      </c>
      <c r="AO1791" s="109" t="str">
        <f t="shared" si="747"/>
        <v/>
      </c>
      <c r="AQ1791" s="109" t="str">
        <f t="shared" si="748"/>
        <v/>
      </c>
      <c r="BA1791" s="229">
        <f>MOD(SUM(E1780:E1792),12)</f>
        <v>0</v>
      </c>
    </row>
    <row r="1792" spans="1:53" ht="15.75" thickBot="1" x14ac:dyDescent="0.3">
      <c r="A1792" s="88"/>
      <c r="B1792" s="66" t="s">
        <v>290</v>
      </c>
      <c r="C1792" s="67"/>
      <c r="D1792" s="102"/>
      <c r="E1792" s="32"/>
      <c r="F1792" s="32"/>
      <c r="G1792" s="68" t="s">
        <v>277</v>
      </c>
      <c r="H1792" s="69">
        <f t="shared" si="749"/>
        <v>0</v>
      </c>
      <c r="I1792" s="70">
        <f t="shared" si="750"/>
        <v>0</v>
      </c>
      <c r="J1792" s="73" t="str">
        <f t="shared" si="751"/>
        <v>--</v>
      </c>
      <c r="K1792" s="32"/>
      <c r="L1792" s="233"/>
      <c r="M1792" s="277"/>
      <c r="N1792" s="277"/>
      <c r="O1792" s="277"/>
      <c r="P1792" s="277"/>
      <c r="Q1792" s="277"/>
      <c r="R1792" s="277"/>
      <c r="S1792" s="277"/>
      <c r="T1792" s="277"/>
      <c r="U1792" s="278"/>
      <c r="V1792" s="103"/>
      <c r="W1792" s="84">
        <f>Y1792+1</f>
        <v>1</v>
      </c>
      <c r="X1792" s="84"/>
      <c r="Y1792" s="78">
        <f>SUM(E1780:E1792)</f>
        <v>0</v>
      </c>
      <c r="Z1792" s="72" t="str">
        <f t="shared" ref="Z1792:Z1804" si="754">IF(OR(AND(E$8=216,C1791="DBL REV",C1792="DBL REV",Y1791&lt;=144,Y1792&gt;144),AND(E$8=216,C1791="TPL REV",C1792="TPL REV",Y1791&lt;=144,Y1792&gt;144),AND(E$8=216,C1791="QD REV",C1792="QD REV",Y1791&lt;=144,Y1792&gt;144)),"ERROR","")</f>
        <v/>
      </c>
      <c r="AA1792" s="72"/>
      <c r="AB1792" s="72"/>
      <c r="AC1792" s="72">
        <f t="shared" si="740"/>
        <v>1</v>
      </c>
      <c r="AD1792" s="72">
        <f t="shared" si="741"/>
        <v>1</v>
      </c>
      <c r="AE1792" s="109" t="str">
        <f t="shared" si="742"/>
        <v>0-0</v>
      </c>
      <c r="AF1792" s="109" t="str">
        <f t="shared" si="743"/>
        <v>Y</v>
      </c>
      <c r="AG1792" s="109" t="str">
        <f t="shared" si="744"/>
        <v>B</v>
      </c>
      <c r="AM1792" s="109">
        <f t="shared" si="745"/>
        <v>0</v>
      </c>
      <c r="AN1792" s="109">
        <f t="shared" si="746"/>
        <v>0</v>
      </c>
      <c r="AO1792" s="109" t="str">
        <f t="shared" si="747"/>
        <v/>
      </c>
      <c r="AQ1792" s="109" t="str">
        <f t="shared" si="748"/>
        <v/>
      </c>
      <c r="BA1792" s="229">
        <f>MOD(SUM(E1780:E1793),12)</f>
        <v>0</v>
      </c>
    </row>
    <row r="1793" spans="1:53" ht="15.75" thickBot="1" x14ac:dyDescent="0.3">
      <c r="A1793" s="88"/>
      <c r="B1793" s="66" t="s">
        <v>291</v>
      </c>
      <c r="C1793" s="67"/>
      <c r="D1793" s="102"/>
      <c r="E1793" s="32"/>
      <c r="F1793" s="32"/>
      <c r="G1793" s="68" t="s">
        <v>277</v>
      </c>
      <c r="H1793" s="69">
        <f t="shared" si="749"/>
        <v>0</v>
      </c>
      <c r="I1793" s="70">
        <f t="shared" si="750"/>
        <v>0</v>
      </c>
      <c r="J1793" s="73" t="str">
        <f t="shared" si="751"/>
        <v>--</v>
      </c>
      <c r="K1793" s="32"/>
      <c r="L1793" s="233"/>
      <c r="M1793" s="277"/>
      <c r="N1793" s="277"/>
      <c r="O1793" s="277"/>
      <c r="P1793" s="277"/>
      <c r="Q1793" s="277"/>
      <c r="R1793" s="277"/>
      <c r="S1793" s="277"/>
      <c r="T1793" s="277"/>
      <c r="U1793" s="278"/>
      <c r="V1793" s="103"/>
      <c r="W1793" s="84">
        <f>Y1793+1</f>
        <v>1</v>
      </c>
      <c r="X1793" s="84"/>
      <c r="Y1793" s="78">
        <f>SUM(E1780:E1793)</f>
        <v>0</v>
      </c>
      <c r="Z1793" s="72" t="str">
        <f t="shared" si="754"/>
        <v/>
      </c>
      <c r="AA1793" s="72"/>
      <c r="AB1793" s="72"/>
      <c r="AC1793" s="72">
        <f t="shared" si="740"/>
        <v>1</v>
      </c>
      <c r="AD1793" s="72">
        <f t="shared" si="741"/>
        <v>1</v>
      </c>
      <c r="AE1793" s="109" t="str">
        <f t="shared" si="742"/>
        <v>0-0</v>
      </c>
      <c r="AF1793" s="109" t="str">
        <f t="shared" si="743"/>
        <v>Y</v>
      </c>
      <c r="AG1793" s="109" t="str">
        <f t="shared" si="744"/>
        <v>B</v>
      </c>
      <c r="AM1793" s="109">
        <f t="shared" si="745"/>
        <v>0</v>
      </c>
      <c r="AN1793" s="109">
        <f t="shared" si="746"/>
        <v>0</v>
      </c>
      <c r="AO1793" s="109" t="str">
        <f t="shared" si="747"/>
        <v/>
      </c>
      <c r="AQ1793" s="109" t="str">
        <f t="shared" si="748"/>
        <v/>
      </c>
      <c r="BA1793" s="229">
        <f>MOD(SUM(E1780:E1794),12)</f>
        <v>0</v>
      </c>
    </row>
    <row r="1794" spans="1:53" ht="15.75" thickBot="1" x14ac:dyDescent="0.3">
      <c r="A1794" s="88"/>
      <c r="B1794" s="66" t="s">
        <v>292</v>
      </c>
      <c r="C1794" s="67"/>
      <c r="D1794" s="102"/>
      <c r="E1794" s="32"/>
      <c r="F1794" s="32"/>
      <c r="G1794" s="68" t="s">
        <v>277</v>
      </c>
      <c r="H1794" s="69">
        <f t="shared" si="749"/>
        <v>0</v>
      </c>
      <c r="I1794" s="70">
        <f t="shared" si="750"/>
        <v>0</v>
      </c>
      <c r="J1794" s="73" t="str">
        <f t="shared" si="751"/>
        <v>--</v>
      </c>
      <c r="K1794" s="32"/>
      <c r="L1794" s="233"/>
      <c r="M1794" s="277"/>
      <c r="N1794" s="277"/>
      <c r="O1794" s="277"/>
      <c r="P1794" s="277"/>
      <c r="Q1794" s="277"/>
      <c r="R1794" s="277"/>
      <c r="S1794" s="277"/>
      <c r="T1794" s="277"/>
      <c r="U1794" s="278"/>
      <c r="V1794" s="103"/>
      <c r="W1794" s="84">
        <f>Y1794+1</f>
        <v>1</v>
      </c>
      <c r="X1794" s="84"/>
      <c r="Y1794" s="78">
        <f>SUM(E1780:E1794)</f>
        <v>0</v>
      </c>
      <c r="Z1794" s="72" t="str">
        <f t="shared" si="754"/>
        <v/>
      </c>
      <c r="AA1794" s="72" t="str">
        <f t="shared" ref="AA1794:AA1806" si="755">IF(AND(C1792&lt;&gt;"Field SPL",W1791&lt;=144,Y1792&gt;144),"ERROR","")</f>
        <v/>
      </c>
      <c r="AB1794" s="72"/>
      <c r="AC1794" s="72">
        <f t="shared" si="740"/>
        <v>1</v>
      </c>
      <c r="AD1794" s="72">
        <f t="shared" si="741"/>
        <v>1</v>
      </c>
      <c r="AE1794" s="109" t="str">
        <f t="shared" si="742"/>
        <v>0-0</v>
      </c>
      <c r="AF1794" s="109" t="str">
        <f t="shared" si="743"/>
        <v>Y</v>
      </c>
      <c r="AG1794" s="109" t="str">
        <f t="shared" si="744"/>
        <v>B</v>
      </c>
      <c r="AM1794" s="109">
        <f t="shared" si="745"/>
        <v>0</v>
      </c>
      <c r="AN1794" s="109">
        <f t="shared" si="746"/>
        <v>0</v>
      </c>
      <c r="AO1794" s="109" t="str">
        <f t="shared" si="747"/>
        <v/>
      </c>
      <c r="AQ1794" s="109" t="str">
        <f t="shared" si="748"/>
        <v/>
      </c>
      <c r="BA1794" s="229">
        <f>MOD(SUM(E1780:E1795),12)</f>
        <v>0</v>
      </c>
    </row>
    <row r="1795" spans="1:53" ht="15.75" thickBot="1" x14ac:dyDescent="0.3">
      <c r="A1795" s="88"/>
      <c r="B1795" s="66" t="s">
        <v>293</v>
      </c>
      <c r="C1795" s="67"/>
      <c r="D1795" s="102"/>
      <c r="E1795" s="32"/>
      <c r="F1795" s="32"/>
      <c r="G1795" s="68" t="s">
        <v>277</v>
      </c>
      <c r="H1795" s="69">
        <f t="shared" si="749"/>
        <v>0</v>
      </c>
      <c r="I1795" s="70">
        <f t="shared" si="750"/>
        <v>0</v>
      </c>
      <c r="J1795" s="73" t="str">
        <f t="shared" si="751"/>
        <v>--</v>
      </c>
      <c r="K1795" s="32"/>
      <c r="L1795" s="233"/>
      <c r="M1795" s="277"/>
      <c r="N1795" s="277"/>
      <c r="O1795" s="277"/>
      <c r="P1795" s="277"/>
      <c r="Q1795" s="277"/>
      <c r="R1795" s="277"/>
      <c r="S1795" s="277"/>
      <c r="T1795" s="277"/>
      <c r="U1795" s="278"/>
      <c r="V1795" s="103"/>
      <c r="W1795" s="84">
        <f t="shared" ref="W1795:W1803" si="756">Y1795+1</f>
        <v>1</v>
      </c>
      <c r="X1795" s="84"/>
      <c r="Y1795" s="78">
        <f>SUM(E1780:E1795)</f>
        <v>0</v>
      </c>
      <c r="Z1795" s="72" t="str">
        <f t="shared" si="754"/>
        <v/>
      </c>
      <c r="AA1795" s="72" t="str">
        <f t="shared" si="755"/>
        <v/>
      </c>
      <c r="AB1795" s="72"/>
      <c r="AC1795" s="72">
        <f t="shared" si="740"/>
        <v>1</v>
      </c>
      <c r="AD1795" s="72">
        <f t="shared" si="741"/>
        <v>1</v>
      </c>
      <c r="AE1795" s="109" t="str">
        <f t="shared" si="742"/>
        <v>0-0</v>
      </c>
      <c r="AF1795" s="109" t="str">
        <f t="shared" si="743"/>
        <v>Y</v>
      </c>
      <c r="AG1795" s="109" t="str">
        <f t="shared" si="744"/>
        <v>B</v>
      </c>
      <c r="AM1795" s="109">
        <f t="shared" si="745"/>
        <v>0</v>
      </c>
      <c r="AN1795" s="109">
        <f t="shared" si="746"/>
        <v>0</v>
      </c>
      <c r="AO1795" s="109" t="str">
        <f t="shared" si="747"/>
        <v/>
      </c>
      <c r="AQ1795" s="109" t="str">
        <f t="shared" si="748"/>
        <v/>
      </c>
      <c r="BA1795" s="229">
        <f>MOD(SUM(E1780:E1796),12)</f>
        <v>0</v>
      </c>
    </row>
    <row r="1796" spans="1:53" ht="15.75" thickBot="1" x14ac:dyDescent="0.3">
      <c r="A1796" s="88"/>
      <c r="B1796" s="66" t="s">
        <v>294</v>
      </c>
      <c r="C1796" s="67"/>
      <c r="D1796" s="102"/>
      <c r="E1796" s="32"/>
      <c r="F1796" s="32"/>
      <c r="G1796" s="68" t="s">
        <v>277</v>
      </c>
      <c r="H1796" s="69">
        <f t="shared" si="749"/>
        <v>0</v>
      </c>
      <c r="I1796" s="70">
        <f t="shared" si="750"/>
        <v>0</v>
      </c>
      <c r="J1796" s="73" t="str">
        <f t="shared" si="751"/>
        <v>--</v>
      </c>
      <c r="K1796" s="32"/>
      <c r="L1796" s="233"/>
      <c r="M1796" s="277"/>
      <c r="N1796" s="277"/>
      <c r="O1796" s="277"/>
      <c r="P1796" s="277"/>
      <c r="Q1796" s="277"/>
      <c r="R1796" s="277"/>
      <c r="S1796" s="277"/>
      <c r="T1796" s="277"/>
      <c r="U1796" s="278"/>
      <c r="V1796" s="103"/>
      <c r="W1796" s="84">
        <f t="shared" si="756"/>
        <v>1</v>
      </c>
      <c r="X1796" s="84"/>
      <c r="Y1796" s="78">
        <f>SUM(E1780:E1796)</f>
        <v>0</v>
      </c>
      <c r="Z1796" s="72" t="str">
        <f t="shared" si="754"/>
        <v/>
      </c>
      <c r="AA1796" s="72" t="str">
        <f t="shared" si="755"/>
        <v/>
      </c>
      <c r="AB1796" s="72"/>
      <c r="AC1796" s="72">
        <f t="shared" si="740"/>
        <v>1</v>
      </c>
      <c r="AD1796" s="72">
        <f t="shared" si="741"/>
        <v>1</v>
      </c>
      <c r="AE1796" s="109" t="str">
        <f t="shared" si="742"/>
        <v>0-0</v>
      </c>
      <c r="AF1796" s="109" t="str">
        <f t="shared" si="743"/>
        <v>Y</v>
      </c>
      <c r="AG1796" s="109" t="str">
        <f t="shared" si="744"/>
        <v>B</v>
      </c>
      <c r="AM1796" s="109">
        <f t="shared" si="745"/>
        <v>0</v>
      </c>
      <c r="AN1796" s="109">
        <f t="shared" si="746"/>
        <v>0</v>
      </c>
      <c r="AO1796" s="109" t="str">
        <f t="shared" si="747"/>
        <v/>
      </c>
      <c r="AQ1796" s="109" t="str">
        <f t="shared" si="748"/>
        <v/>
      </c>
      <c r="BA1796" s="229">
        <f>MOD(SUM(E1780:E1797),12)</f>
        <v>0</v>
      </c>
    </row>
    <row r="1797" spans="1:53" ht="15.75" thickBot="1" x14ac:dyDescent="0.3">
      <c r="A1797" s="88"/>
      <c r="B1797" s="66" t="s">
        <v>295</v>
      </c>
      <c r="C1797" s="67"/>
      <c r="D1797" s="102"/>
      <c r="E1797" s="32"/>
      <c r="F1797" s="32"/>
      <c r="G1797" s="68" t="s">
        <v>277</v>
      </c>
      <c r="H1797" s="69">
        <f t="shared" si="749"/>
        <v>0</v>
      </c>
      <c r="I1797" s="70">
        <f t="shared" si="750"/>
        <v>0</v>
      </c>
      <c r="J1797" s="73" t="str">
        <f t="shared" si="751"/>
        <v>--</v>
      </c>
      <c r="K1797" s="32"/>
      <c r="L1797" s="233"/>
      <c r="M1797" s="277"/>
      <c r="N1797" s="277"/>
      <c r="O1797" s="277"/>
      <c r="P1797" s="277"/>
      <c r="Q1797" s="277"/>
      <c r="R1797" s="277"/>
      <c r="S1797" s="277"/>
      <c r="T1797" s="277"/>
      <c r="U1797" s="278"/>
      <c r="V1797" s="103"/>
      <c r="W1797" s="84">
        <f t="shared" si="756"/>
        <v>1</v>
      </c>
      <c r="X1797" s="84"/>
      <c r="Y1797" s="78">
        <f>SUM(E1780:E1797)</f>
        <v>0</v>
      </c>
      <c r="Z1797" s="72" t="str">
        <f t="shared" si="754"/>
        <v/>
      </c>
      <c r="AA1797" s="72" t="str">
        <f t="shared" si="755"/>
        <v/>
      </c>
      <c r="AB1797" s="72"/>
      <c r="AC1797" s="72">
        <f t="shared" si="740"/>
        <v>1</v>
      </c>
      <c r="AD1797" s="72">
        <f t="shared" si="741"/>
        <v>1</v>
      </c>
      <c r="AE1797" s="109" t="str">
        <f t="shared" si="742"/>
        <v>0-0</v>
      </c>
      <c r="AF1797" s="109" t="str">
        <f t="shared" si="743"/>
        <v>Y</v>
      </c>
      <c r="AG1797" s="109" t="str">
        <f t="shared" si="744"/>
        <v>B</v>
      </c>
      <c r="AM1797" s="109">
        <f t="shared" si="745"/>
        <v>0</v>
      </c>
      <c r="AN1797" s="109">
        <f t="shared" si="746"/>
        <v>0</v>
      </c>
      <c r="AO1797" s="109" t="str">
        <f t="shared" si="747"/>
        <v/>
      </c>
      <c r="AQ1797" s="109" t="str">
        <f t="shared" si="748"/>
        <v/>
      </c>
      <c r="BA1797" s="229">
        <f>MOD(SUM(E1780:E1798),12)</f>
        <v>0</v>
      </c>
    </row>
    <row r="1798" spans="1:53" ht="15.75" thickBot="1" x14ac:dyDescent="0.3">
      <c r="A1798" s="88"/>
      <c r="B1798" s="66" t="s">
        <v>296</v>
      </c>
      <c r="C1798" s="67"/>
      <c r="D1798" s="102"/>
      <c r="E1798" s="32"/>
      <c r="F1798" s="32"/>
      <c r="G1798" s="68" t="s">
        <v>277</v>
      </c>
      <c r="H1798" s="69">
        <f t="shared" si="749"/>
        <v>0</v>
      </c>
      <c r="I1798" s="70">
        <f t="shared" si="750"/>
        <v>0</v>
      </c>
      <c r="J1798" s="73" t="str">
        <f t="shared" si="751"/>
        <v>--</v>
      </c>
      <c r="K1798" s="32"/>
      <c r="L1798" s="233"/>
      <c r="M1798" s="277"/>
      <c r="N1798" s="277"/>
      <c r="O1798" s="277"/>
      <c r="P1798" s="277"/>
      <c r="Q1798" s="277"/>
      <c r="R1798" s="277"/>
      <c r="S1798" s="277"/>
      <c r="T1798" s="277"/>
      <c r="U1798" s="278"/>
      <c r="V1798" s="103"/>
      <c r="W1798" s="84">
        <f t="shared" si="756"/>
        <v>1</v>
      </c>
      <c r="X1798" s="84"/>
      <c r="Y1798" s="78">
        <f>SUM(E1780:E1798)</f>
        <v>0</v>
      </c>
      <c r="Z1798" s="72" t="str">
        <f t="shared" si="754"/>
        <v/>
      </c>
      <c r="AA1798" s="72" t="str">
        <f t="shared" si="755"/>
        <v/>
      </c>
      <c r="AB1798" s="72"/>
      <c r="AC1798" s="72">
        <f t="shared" si="740"/>
        <v>1</v>
      </c>
      <c r="AD1798" s="72">
        <f t="shared" si="741"/>
        <v>1</v>
      </c>
      <c r="AE1798" s="109" t="str">
        <f t="shared" si="742"/>
        <v>0-0</v>
      </c>
      <c r="AF1798" s="109" t="str">
        <f t="shared" si="743"/>
        <v>Y</v>
      </c>
      <c r="AG1798" s="109" t="str">
        <f t="shared" si="744"/>
        <v>B</v>
      </c>
      <c r="AM1798" s="109">
        <f t="shared" si="745"/>
        <v>0</v>
      </c>
      <c r="AN1798" s="109">
        <f t="shared" si="746"/>
        <v>0</v>
      </c>
      <c r="AO1798" s="109" t="str">
        <f t="shared" si="747"/>
        <v/>
      </c>
      <c r="AQ1798" s="109" t="str">
        <f t="shared" si="748"/>
        <v/>
      </c>
      <c r="BA1798" s="229">
        <f>MOD(SUM(E1780:E1799),12)</f>
        <v>0</v>
      </c>
    </row>
    <row r="1799" spans="1:53" ht="15.75" thickBot="1" x14ac:dyDescent="0.3">
      <c r="A1799" s="88"/>
      <c r="B1799" s="66" t="s">
        <v>297</v>
      </c>
      <c r="C1799" s="67"/>
      <c r="D1799" s="102"/>
      <c r="E1799" s="32"/>
      <c r="F1799" s="32"/>
      <c r="G1799" s="68" t="s">
        <v>277</v>
      </c>
      <c r="H1799" s="69">
        <f t="shared" si="749"/>
        <v>0</v>
      </c>
      <c r="I1799" s="70">
        <f t="shared" si="750"/>
        <v>0</v>
      </c>
      <c r="J1799" s="73" t="str">
        <f t="shared" si="751"/>
        <v>--</v>
      </c>
      <c r="K1799" s="32"/>
      <c r="L1799" s="233"/>
      <c r="M1799" s="277"/>
      <c r="N1799" s="277"/>
      <c r="O1799" s="277"/>
      <c r="P1799" s="277"/>
      <c r="Q1799" s="277"/>
      <c r="R1799" s="277"/>
      <c r="S1799" s="277"/>
      <c r="T1799" s="277"/>
      <c r="U1799" s="278"/>
      <c r="V1799" s="103"/>
      <c r="W1799" s="84">
        <f t="shared" si="756"/>
        <v>1</v>
      </c>
      <c r="X1799" s="84"/>
      <c r="Y1799" s="78">
        <f>SUM(E1780:E1799)</f>
        <v>0</v>
      </c>
      <c r="Z1799" s="72" t="str">
        <f t="shared" si="754"/>
        <v/>
      </c>
      <c r="AA1799" s="72" t="str">
        <f t="shared" si="755"/>
        <v/>
      </c>
      <c r="AB1799" s="72"/>
      <c r="AC1799" s="72">
        <f t="shared" si="740"/>
        <v>1</v>
      </c>
      <c r="AD1799" s="72">
        <f t="shared" si="741"/>
        <v>1</v>
      </c>
      <c r="AE1799" s="109" t="str">
        <f t="shared" si="742"/>
        <v>0-0</v>
      </c>
      <c r="AF1799" s="109" t="str">
        <f t="shared" si="743"/>
        <v>Y</v>
      </c>
      <c r="AG1799" s="109" t="str">
        <f t="shared" si="744"/>
        <v>B</v>
      </c>
      <c r="AM1799" s="109">
        <f t="shared" si="745"/>
        <v>0</v>
      </c>
      <c r="AN1799" s="109">
        <f t="shared" si="746"/>
        <v>0</v>
      </c>
      <c r="AO1799" s="109" t="str">
        <f t="shared" si="747"/>
        <v/>
      </c>
      <c r="AQ1799" s="109" t="str">
        <f t="shared" si="748"/>
        <v/>
      </c>
      <c r="BA1799" s="229">
        <f>MOD(SUM(E1780:E1800),12)</f>
        <v>0</v>
      </c>
    </row>
    <row r="1800" spans="1:53" ht="15.75" thickBot="1" x14ac:dyDescent="0.3">
      <c r="A1800" s="88"/>
      <c r="B1800" s="66" t="s">
        <v>298</v>
      </c>
      <c r="C1800" s="67"/>
      <c r="D1800" s="102"/>
      <c r="E1800" s="32"/>
      <c r="F1800" s="32"/>
      <c r="G1800" s="68" t="s">
        <v>277</v>
      </c>
      <c r="H1800" s="69">
        <f t="shared" si="749"/>
        <v>0</v>
      </c>
      <c r="I1800" s="70">
        <f t="shared" si="750"/>
        <v>0</v>
      </c>
      <c r="J1800" s="73" t="str">
        <f t="shared" si="751"/>
        <v>--</v>
      </c>
      <c r="K1800" s="32"/>
      <c r="L1800" s="233"/>
      <c r="M1800" s="277"/>
      <c r="N1800" s="277"/>
      <c r="O1800" s="277"/>
      <c r="P1800" s="277"/>
      <c r="Q1800" s="277"/>
      <c r="R1800" s="277"/>
      <c r="S1800" s="277"/>
      <c r="T1800" s="277"/>
      <c r="U1800" s="278"/>
      <c r="V1800" s="103"/>
      <c r="W1800" s="84">
        <f t="shared" si="756"/>
        <v>1</v>
      </c>
      <c r="X1800" s="84"/>
      <c r="Y1800" s="78">
        <f>SUM(E1780:E1800)</f>
        <v>0</v>
      </c>
      <c r="Z1800" s="72" t="str">
        <f t="shared" si="754"/>
        <v/>
      </c>
      <c r="AA1800" s="72" t="str">
        <f t="shared" si="755"/>
        <v/>
      </c>
      <c r="AB1800" s="72"/>
      <c r="AC1800" s="72">
        <f t="shared" si="740"/>
        <v>1</v>
      </c>
      <c r="AD1800" s="72">
        <f t="shared" si="741"/>
        <v>1</v>
      </c>
      <c r="AE1800" s="109" t="str">
        <f t="shared" si="742"/>
        <v>0-0</v>
      </c>
      <c r="AF1800" s="109" t="str">
        <f t="shared" si="743"/>
        <v>Y</v>
      </c>
      <c r="AG1800" s="109" t="str">
        <f t="shared" si="744"/>
        <v>B</v>
      </c>
      <c r="AM1800" s="109">
        <f t="shared" si="745"/>
        <v>0</v>
      </c>
      <c r="AN1800" s="109">
        <f t="shared" si="746"/>
        <v>0</v>
      </c>
      <c r="AO1800" s="109" t="str">
        <f t="shared" si="747"/>
        <v/>
      </c>
      <c r="AQ1800" s="109" t="str">
        <f t="shared" si="748"/>
        <v/>
      </c>
      <c r="BA1800" s="229">
        <f>MOD(SUM(E1780:E1801),12)</f>
        <v>0</v>
      </c>
    </row>
    <row r="1801" spans="1:53" ht="15.75" thickBot="1" x14ac:dyDescent="0.3">
      <c r="A1801" s="88"/>
      <c r="B1801" s="66" t="s">
        <v>299</v>
      </c>
      <c r="C1801" s="67"/>
      <c r="D1801" s="102"/>
      <c r="E1801" s="32"/>
      <c r="F1801" s="32"/>
      <c r="G1801" s="68" t="s">
        <v>277</v>
      </c>
      <c r="H1801" s="69">
        <f t="shared" si="749"/>
        <v>0</v>
      </c>
      <c r="I1801" s="70">
        <f t="shared" si="750"/>
        <v>0</v>
      </c>
      <c r="J1801" s="73" t="str">
        <f t="shared" si="751"/>
        <v>--</v>
      </c>
      <c r="K1801" s="32"/>
      <c r="L1801" s="233"/>
      <c r="M1801" s="277"/>
      <c r="N1801" s="277"/>
      <c r="O1801" s="277"/>
      <c r="P1801" s="277"/>
      <c r="Q1801" s="277"/>
      <c r="R1801" s="277"/>
      <c r="S1801" s="277"/>
      <c r="T1801" s="277"/>
      <c r="U1801" s="278"/>
      <c r="V1801" s="103"/>
      <c r="W1801" s="84">
        <f t="shared" si="756"/>
        <v>1</v>
      </c>
      <c r="X1801" s="84"/>
      <c r="Y1801" s="78">
        <f>SUM(E1780:E1801)</f>
        <v>0</v>
      </c>
      <c r="Z1801" s="72" t="str">
        <f t="shared" si="754"/>
        <v/>
      </c>
      <c r="AA1801" s="72" t="str">
        <f t="shared" si="755"/>
        <v/>
      </c>
      <c r="AB1801" s="72"/>
      <c r="AC1801" s="72">
        <f t="shared" si="740"/>
        <v>1</v>
      </c>
      <c r="AD1801" s="72">
        <f t="shared" si="741"/>
        <v>1</v>
      </c>
      <c r="AE1801" s="109" t="str">
        <f t="shared" si="742"/>
        <v>0-0</v>
      </c>
      <c r="AF1801" s="109" t="str">
        <f t="shared" si="743"/>
        <v>Y</v>
      </c>
      <c r="AG1801" s="109" t="str">
        <f t="shared" si="744"/>
        <v>B</v>
      </c>
      <c r="AM1801" s="109">
        <f t="shared" si="745"/>
        <v>0</v>
      </c>
      <c r="AN1801" s="109">
        <f t="shared" si="746"/>
        <v>0</v>
      </c>
      <c r="AO1801" s="109" t="str">
        <f t="shared" si="747"/>
        <v/>
      </c>
      <c r="AQ1801" s="109" t="str">
        <f t="shared" si="748"/>
        <v/>
      </c>
      <c r="BA1801" s="229">
        <f>MOD(SUM(E1780:E1802),12)</f>
        <v>0</v>
      </c>
    </row>
    <row r="1802" spans="1:53" ht="15.75" thickBot="1" x14ac:dyDescent="0.3">
      <c r="A1802" s="88"/>
      <c r="B1802" s="66" t="s">
        <v>300</v>
      </c>
      <c r="C1802" s="67"/>
      <c r="D1802" s="102"/>
      <c r="E1802" s="32"/>
      <c r="F1802" s="32"/>
      <c r="G1802" s="68" t="s">
        <v>277</v>
      </c>
      <c r="H1802" s="69">
        <f t="shared" si="749"/>
        <v>0</v>
      </c>
      <c r="I1802" s="70">
        <f t="shared" si="750"/>
        <v>0</v>
      </c>
      <c r="J1802" s="73" t="str">
        <f t="shared" si="751"/>
        <v>--</v>
      </c>
      <c r="K1802" s="32"/>
      <c r="L1802" s="233"/>
      <c r="M1802" s="277"/>
      <c r="N1802" s="277"/>
      <c r="O1802" s="277"/>
      <c r="P1802" s="277"/>
      <c r="Q1802" s="277"/>
      <c r="R1802" s="277"/>
      <c r="S1802" s="277"/>
      <c r="T1802" s="277"/>
      <c r="U1802" s="278"/>
      <c r="V1802" s="103"/>
      <c r="W1802" s="84">
        <f t="shared" si="756"/>
        <v>1</v>
      </c>
      <c r="X1802" s="84"/>
      <c r="Y1802" s="78">
        <f>SUM(E1780:E1802)</f>
        <v>0</v>
      </c>
      <c r="Z1802" s="72" t="str">
        <f t="shared" si="754"/>
        <v/>
      </c>
      <c r="AA1802" s="72" t="str">
        <f t="shared" si="755"/>
        <v/>
      </c>
      <c r="AB1802" s="72"/>
      <c r="AC1802" s="72">
        <f t="shared" si="740"/>
        <v>1</v>
      </c>
      <c r="AD1802" s="72">
        <f t="shared" si="741"/>
        <v>1</v>
      </c>
      <c r="AE1802" s="109" t="str">
        <f t="shared" si="742"/>
        <v>0-0</v>
      </c>
      <c r="AF1802" s="109" t="str">
        <f t="shared" si="743"/>
        <v>Y</v>
      </c>
      <c r="AG1802" s="109" t="str">
        <f t="shared" si="744"/>
        <v>B</v>
      </c>
      <c r="AM1802" s="109">
        <f t="shared" si="745"/>
        <v>0</v>
      </c>
      <c r="AN1802" s="109">
        <f t="shared" si="746"/>
        <v>0</v>
      </c>
      <c r="AO1802" s="109" t="str">
        <f t="shared" si="747"/>
        <v/>
      </c>
      <c r="AQ1802" s="109" t="str">
        <f t="shared" si="748"/>
        <v/>
      </c>
      <c r="BA1802" s="229">
        <f>MOD(SUM(E1780:E1803),12)</f>
        <v>0</v>
      </c>
    </row>
    <row r="1803" spans="1:53" ht="15.75" thickBot="1" x14ac:dyDescent="0.3">
      <c r="A1803" s="88"/>
      <c r="B1803" s="66" t="s">
        <v>301</v>
      </c>
      <c r="C1803" s="67"/>
      <c r="D1803" s="102"/>
      <c r="E1803" s="32"/>
      <c r="F1803" s="32"/>
      <c r="G1803" s="68" t="s">
        <v>277</v>
      </c>
      <c r="H1803" s="69">
        <f t="shared" si="749"/>
        <v>0</v>
      </c>
      <c r="I1803" s="70">
        <f t="shared" si="750"/>
        <v>0</v>
      </c>
      <c r="J1803" s="73" t="str">
        <f t="shared" si="751"/>
        <v>--</v>
      </c>
      <c r="K1803" s="32"/>
      <c r="L1803" s="233"/>
      <c r="M1803" s="277"/>
      <c r="N1803" s="277"/>
      <c r="O1803" s="277"/>
      <c r="P1803" s="277"/>
      <c r="Q1803" s="277"/>
      <c r="R1803" s="277"/>
      <c r="S1803" s="277"/>
      <c r="T1803" s="277"/>
      <c r="U1803" s="278"/>
      <c r="V1803" s="103"/>
      <c r="W1803" s="84">
        <f t="shared" si="756"/>
        <v>1</v>
      </c>
      <c r="X1803" s="84"/>
      <c r="Y1803" s="78">
        <f>SUM(E1780:E1803)</f>
        <v>0</v>
      </c>
      <c r="Z1803" s="72" t="str">
        <f t="shared" si="754"/>
        <v/>
      </c>
      <c r="AA1803" s="72" t="str">
        <f t="shared" si="755"/>
        <v/>
      </c>
      <c r="AB1803" s="72"/>
      <c r="AC1803" s="72">
        <f t="shared" si="740"/>
        <v>1</v>
      </c>
      <c r="AD1803" s="72">
        <f t="shared" si="741"/>
        <v>1</v>
      </c>
      <c r="AE1803" s="109" t="str">
        <f t="shared" si="742"/>
        <v>0-0</v>
      </c>
      <c r="AF1803" s="109" t="str">
        <f t="shared" si="743"/>
        <v>Y</v>
      </c>
      <c r="AG1803" s="109" t="str">
        <f t="shared" si="744"/>
        <v>B</v>
      </c>
      <c r="AM1803" s="109">
        <f t="shared" si="745"/>
        <v>0</v>
      </c>
      <c r="AN1803" s="109">
        <f t="shared" si="746"/>
        <v>0</v>
      </c>
      <c r="AO1803" s="109" t="str">
        <f t="shared" si="747"/>
        <v/>
      </c>
      <c r="AQ1803" s="109" t="str">
        <f t="shared" si="748"/>
        <v/>
      </c>
      <c r="BA1803" s="229">
        <f>MOD(SUM(E1780:E1804),12)</f>
        <v>0</v>
      </c>
    </row>
    <row r="1804" spans="1:53" ht="15.75" thickBot="1" x14ac:dyDescent="0.3">
      <c r="A1804" s="88"/>
      <c r="B1804" s="66" t="s">
        <v>302</v>
      </c>
      <c r="C1804" s="67"/>
      <c r="D1804" s="102"/>
      <c r="E1804" s="32"/>
      <c r="F1804" s="32"/>
      <c r="G1804" s="68" t="s">
        <v>277</v>
      </c>
      <c r="H1804" s="69">
        <f t="shared" si="749"/>
        <v>0</v>
      </c>
      <c r="I1804" s="70">
        <f t="shared" si="750"/>
        <v>0</v>
      </c>
      <c r="J1804" s="73" t="str">
        <f t="shared" si="751"/>
        <v>--</v>
      </c>
      <c r="K1804" s="32"/>
      <c r="L1804" s="234"/>
      <c r="M1804" s="277"/>
      <c r="N1804" s="277"/>
      <c r="O1804" s="277"/>
      <c r="P1804" s="277"/>
      <c r="Q1804" s="277"/>
      <c r="R1804" s="277"/>
      <c r="S1804" s="277"/>
      <c r="T1804" s="277"/>
      <c r="U1804" s="278"/>
      <c r="V1804" s="103"/>
      <c r="W1804" s="72"/>
      <c r="X1804" s="72"/>
      <c r="Y1804" s="78">
        <f>SUM(E1780:E1804)</f>
        <v>0</v>
      </c>
      <c r="Z1804" s="72" t="str">
        <f t="shared" si="754"/>
        <v/>
      </c>
      <c r="AA1804" s="72" t="str">
        <f t="shared" si="755"/>
        <v/>
      </c>
      <c r="AB1804" s="72"/>
      <c r="AC1804" s="72">
        <f t="shared" si="740"/>
        <v>1</v>
      </c>
      <c r="AD1804" s="72">
        <f t="shared" si="741"/>
        <v>1</v>
      </c>
      <c r="AE1804" s="109" t="str">
        <f t="shared" si="742"/>
        <v>0-0</v>
      </c>
      <c r="AF1804" s="109" t="str">
        <f t="shared" si="743"/>
        <v>Y</v>
      </c>
      <c r="AG1804" s="109" t="str">
        <f t="shared" si="744"/>
        <v>B</v>
      </c>
      <c r="AM1804" s="109">
        <f t="shared" si="745"/>
        <v>0</v>
      </c>
      <c r="AN1804" s="109">
        <f t="shared" si="746"/>
        <v>0</v>
      </c>
      <c r="AO1804" s="109" t="str">
        <f t="shared" si="747"/>
        <v/>
      </c>
      <c r="AQ1804" s="109" t="str">
        <f t="shared" si="748"/>
        <v/>
      </c>
      <c r="BA1804" s="228"/>
    </row>
    <row r="1805" spans="1:53" ht="16.5" thickBot="1" x14ac:dyDescent="0.3">
      <c r="A1805" s="88"/>
      <c r="B1805" s="319" t="s">
        <v>391</v>
      </c>
      <c r="C1805" s="320"/>
      <c r="D1805" s="79"/>
      <c r="E1805" s="80"/>
      <c r="F1805" s="80"/>
      <c r="G1805" s="81"/>
      <c r="H1805" s="192"/>
      <c r="I1805" s="192"/>
      <c r="J1805" s="192"/>
      <c r="K1805" s="82"/>
      <c r="L1805" s="319" t="s">
        <v>306</v>
      </c>
      <c r="M1805" s="330"/>
      <c r="N1805" s="330"/>
      <c r="O1805" s="330"/>
      <c r="P1805" s="330"/>
      <c r="Q1805" s="330"/>
      <c r="R1805" s="330"/>
      <c r="S1805" s="330"/>
      <c r="T1805" s="330"/>
      <c r="U1805" s="320"/>
      <c r="V1805" s="104"/>
      <c r="W1805" s="72"/>
      <c r="X1805" s="72"/>
      <c r="Y1805" s="72"/>
      <c r="Z1805" s="72"/>
      <c r="AA1805" s="72" t="str">
        <f t="shared" si="755"/>
        <v/>
      </c>
      <c r="AB1805" s="72"/>
      <c r="AC1805" s="72">
        <f>SUM(AC1780:AC1804)</f>
        <v>25</v>
      </c>
      <c r="AD1805" s="72">
        <f>SUM(AD1780:AD1804)</f>
        <v>25</v>
      </c>
      <c r="AE1805" s="109" t="str">
        <f t="shared" si="742"/>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319" t="s">
        <v>307</v>
      </c>
      <c r="C1806" s="320"/>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55"/>
        <v/>
      </c>
      <c r="AB1806" s="72"/>
      <c r="AC1806" s="72"/>
      <c r="AD1806" s="72"/>
      <c r="AE1806" s="109" t="str">
        <f t="shared" si="742"/>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312" t="s">
        <v>222</v>
      </c>
      <c r="C1810" s="313"/>
      <c r="D1810" s="314" t="s">
        <v>223</v>
      </c>
      <c r="E1810" s="305"/>
      <c r="F1810" s="88"/>
      <c r="G1810" s="315" t="s">
        <v>224</v>
      </c>
      <c r="H1810" s="316"/>
      <c r="I1810" s="28">
        <f>SUM(E1821:E1845)</f>
        <v>0</v>
      </c>
      <c r="J1810" s="317" t="s">
        <v>225</v>
      </c>
      <c r="K1810" s="318"/>
      <c r="L1810" s="305"/>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5" t="s">
        <v>226</v>
      </c>
      <c r="AA1810" s="296"/>
      <c r="AB1810" s="297"/>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4" t="s">
        <v>230</v>
      </c>
      <c r="H1811" s="305"/>
      <c r="I1811" s="33">
        <f>E1812-I1810</f>
        <v>0</v>
      </c>
      <c r="J1811" s="289" t="s">
        <v>231</v>
      </c>
      <c r="K1811" s="290"/>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298" t="s">
        <v>232</v>
      </c>
      <c r="AA1811" s="300" t="s">
        <v>233</v>
      </c>
      <c r="AB1811" s="301"/>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291" t="s">
        <v>237</v>
      </c>
      <c r="H1812" s="292"/>
      <c r="I1812" s="35">
        <f>IF(E1812=0,0,12-(MOD(I1810,12)))</f>
        <v>0</v>
      </c>
      <c r="J1812" s="289" t="s">
        <v>238</v>
      </c>
      <c r="K1812" s="290"/>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299"/>
      <c r="AA1812" s="302"/>
      <c r="AB1812" s="303"/>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321" t="s">
        <v>242</v>
      </c>
      <c r="H1813" s="43" t="s">
        <v>243</v>
      </c>
      <c r="I1813" s="35">
        <f>IF(E1813&lt;&gt;0,1,0)</f>
        <v>0</v>
      </c>
      <c r="J1813" s="291" t="s">
        <v>244</v>
      </c>
      <c r="K1813" s="292"/>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322"/>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321" t="s">
        <v>251</v>
      </c>
      <c r="H1815" s="51" t="s">
        <v>252</v>
      </c>
      <c r="I1815" s="112">
        <f>E1814</f>
        <v>0</v>
      </c>
      <c r="J1815" s="323" t="s">
        <v>253</v>
      </c>
      <c r="K1815" s="324"/>
      <c r="L1815" s="325"/>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322"/>
      <c r="H1816" s="47" t="s">
        <v>257</v>
      </c>
      <c r="I1816" s="35" t="str">
        <f>IF(E1814="","0",IF(AND(E1811="EUC",E1812=432), I1815+(203-E1813),IF(E1814=0,0,(E1814+(E1812-E1813)-1))))</f>
        <v>0</v>
      </c>
      <c r="J1816" s="285" t="str">
        <f>IFERROR(IF(OR(E1811="EUC",E1811="SS"),"---",IF(OR(P1810,S1810),"NO 2F Tethers for RPX!",IF(OR(P1812,S1812),"NO 6F Tethers for RPX!","---"))),"---")</f>
        <v>---</v>
      </c>
      <c r="K1816" s="286"/>
      <c r="L1816" s="287"/>
      <c r="M1816" s="285" t="str">
        <f>IF(E1813&gt;60,"Dead Count &gt;60: Consider Downsize","---")</f>
        <v>---</v>
      </c>
      <c r="N1816" s="286"/>
      <c r="O1816" s="286"/>
      <c r="P1816" s="286"/>
      <c r="Q1816" s="286"/>
      <c r="R1816" s="286"/>
      <c r="S1816" s="286"/>
      <c r="T1816" s="286"/>
      <c r="U1816" s="287"/>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85"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86"/>
      <c r="L1817" s="287"/>
      <c r="M1817" s="285" t="str">
        <f>IF(AND(OR(E1811="SS",E1811="RPX",E1811="EUC",E1811="RPX-T"),(OR(C1821="",C1821="Field SPL"))),"Cannot have FlexNap cables without tethers","---")</f>
        <v>---</v>
      </c>
      <c r="N1817" s="286"/>
      <c r="O1817" s="286"/>
      <c r="P1817" s="286"/>
      <c r="Q1817" s="286"/>
      <c r="R1817" s="286"/>
      <c r="S1817" s="286"/>
      <c r="T1817" s="286"/>
      <c r="U1817" s="287"/>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85" t="str">
        <f>IF(AND(OR(E1811="RPX", E1811="RPX-T", E1811="SS"),E1812=216),"NO 216 For RPX, RPX-T, OR SS CABLE","---")</f>
        <v>---</v>
      </c>
      <c r="K1818" s="286"/>
      <c r="L1818" s="287"/>
      <c r="M1818" s="285" t="str" cm="1">
        <f t="array" ref="M1818">IF(AND(E1811="",OR(C1821:C1845="FST",C1821:C1845="REV T",C1821:C1845="DBL REV",C1821:C1845="TPL REV", C1821:C1845="QD REV")),"Non-FlexNap cables cannot have tethers","---")</f>
        <v>---</v>
      </c>
      <c r="N1818" s="286"/>
      <c r="O1818" s="286"/>
      <c r="P1818" s="286"/>
      <c r="Q1818" s="286"/>
      <c r="R1818" s="286"/>
      <c r="S1818" s="286"/>
      <c r="T1818" s="286"/>
      <c r="U1818" s="287"/>
      <c r="V1818" s="25"/>
      <c r="W1818" s="58"/>
      <c r="X1818" s="58"/>
      <c r="Y1818" s="25"/>
      <c r="Z1818" s="45">
        <v>6</v>
      </c>
      <c r="AA1818" s="65">
        <v>61</v>
      </c>
      <c r="AB1818" s="65">
        <v>72</v>
      </c>
      <c r="AC1818" s="25"/>
      <c r="AD1818" s="25"/>
      <c r="BA1818" s="226"/>
    </row>
    <row r="1819" spans="1:53" ht="15.75" customHeight="1" thickBot="1" x14ac:dyDescent="0.3">
      <c r="A1819" s="88"/>
      <c r="B1819" s="321" t="s">
        <v>260</v>
      </c>
      <c r="C1819" s="293" t="s">
        <v>261</v>
      </c>
      <c r="D1819" s="293" t="s">
        <v>262</v>
      </c>
      <c r="E1819" s="306" t="s">
        <v>263</v>
      </c>
      <c r="F1819" s="293" t="s">
        <v>264</v>
      </c>
      <c r="G1819" s="308" t="s">
        <v>265</v>
      </c>
      <c r="H1819" s="308" t="s">
        <v>266</v>
      </c>
      <c r="I1819" s="308" t="s">
        <v>267</v>
      </c>
      <c r="J1819" s="310" t="s">
        <v>268</v>
      </c>
      <c r="K1819" s="293" t="s">
        <v>269</v>
      </c>
      <c r="L1819" s="279" t="s">
        <v>270</v>
      </c>
      <c r="M1819" s="281" t="s">
        <v>271</v>
      </c>
      <c r="N1819" s="281"/>
      <c r="O1819" s="281"/>
      <c r="P1819" s="281"/>
      <c r="Q1819" s="281"/>
      <c r="R1819" s="281"/>
      <c r="S1819" s="281"/>
      <c r="T1819" s="281"/>
      <c r="U1819" s="282"/>
      <c r="V1819" s="107"/>
      <c r="W1819" s="72"/>
      <c r="X1819" s="72"/>
      <c r="Y1819" s="72"/>
      <c r="Z1819" s="45">
        <v>7</v>
      </c>
      <c r="AA1819" s="65">
        <v>73</v>
      </c>
      <c r="AB1819" s="65">
        <v>84</v>
      </c>
      <c r="AC1819" s="25"/>
      <c r="AD1819" s="25"/>
      <c r="BA1819" s="228"/>
    </row>
    <row r="1820" spans="1:53" ht="15.75" thickBot="1" x14ac:dyDescent="0.3">
      <c r="A1820" s="88"/>
      <c r="B1820" s="322"/>
      <c r="C1820" s="294"/>
      <c r="D1820" s="294"/>
      <c r="E1820" s="307"/>
      <c r="F1820" s="294"/>
      <c r="G1820" s="309"/>
      <c r="H1820" s="309"/>
      <c r="I1820" s="309"/>
      <c r="J1820" s="311"/>
      <c r="K1820" s="294"/>
      <c r="L1820" s="280"/>
      <c r="M1820" s="283"/>
      <c r="N1820" s="283"/>
      <c r="O1820" s="283"/>
      <c r="P1820" s="283"/>
      <c r="Q1820" s="283"/>
      <c r="R1820" s="283"/>
      <c r="S1820" s="283"/>
      <c r="T1820" s="283"/>
      <c r="U1820" s="284"/>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77"/>
      <c r="N1821" s="277"/>
      <c r="O1821" s="277"/>
      <c r="P1821" s="277"/>
      <c r="Q1821" s="277"/>
      <c r="R1821" s="277"/>
      <c r="S1821" s="277"/>
      <c r="T1821" s="277"/>
      <c r="U1821" s="278"/>
      <c r="V1821" s="103"/>
      <c r="W1821" s="72"/>
      <c r="X1821" s="72"/>
      <c r="Y1821" s="72"/>
      <c r="Z1821" s="45">
        <v>9</v>
      </c>
      <c r="AA1821" s="46">
        <v>97</v>
      </c>
      <c r="AB1821" s="46">
        <v>108</v>
      </c>
      <c r="AC1821" s="72">
        <f t="shared" ref="AC1821:AC1845" si="757">IF(B1821&lt;&gt;"FST",1,0)</f>
        <v>1</v>
      </c>
      <c r="AD1821" s="72">
        <f t="shared" ref="AD1821:AD1845" si="758">IF(C1821&lt;&gt;"FST",1,0)</f>
        <v>1</v>
      </c>
      <c r="AE1821" s="109" t="str">
        <f t="shared" ref="AE1821:AE1847" si="759">CONCATENATE(H1821,"-",I1821)</f>
        <v>0-0</v>
      </c>
      <c r="AF1821" s="109" t="str">
        <f t="shared" ref="AF1821:AF1845" si="760">IF(C1821="Field SPL","N","Y")</f>
        <v>Y</v>
      </c>
      <c r="AG1821" s="109" t="str">
        <f t="shared" ref="AG1821:AG1845" si="761">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62">VALUE(IF(C1821="FST","0",IF(C1821="REV T","1",IF(C1821="DBL REV",".5","0"))))</f>
        <v>0</v>
      </c>
      <c r="AN1821" s="109">
        <f t="shared" ref="AN1821:AN1845" si="763">VALUE(IF(C1821="FST","0",IF(C1821="REV T","0",IF(C1821="DBL REV",".5","0"))))</f>
        <v>0</v>
      </c>
      <c r="AO1821" s="109" t="str">
        <f t="shared" ref="AO1821:AO1845" si="764">IF(C1821="TPL REV","Y","")</f>
        <v/>
      </c>
      <c r="AQ1821" s="109" t="str">
        <f t="shared" ref="AQ1821:AQ1845" si="765">IF(C1821="QD REV","Y","")</f>
        <v/>
      </c>
      <c r="BA1821" s="229">
        <f>MOD(E1821,12)</f>
        <v>0</v>
      </c>
    </row>
    <row r="1822" spans="1:53" ht="15.75" thickBot="1" x14ac:dyDescent="0.3">
      <c r="A1822" s="88"/>
      <c r="B1822" s="66" t="s">
        <v>279</v>
      </c>
      <c r="C1822" s="67"/>
      <c r="D1822" s="102"/>
      <c r="E1822" s="32"/>
      <c r="F1822" s="32"/>
      <c r="G1822" s="68" t="s">
        <v>277</v>
      </c>
      <c r="H1822" s="69">
        <f t="shared" ref="H1822:H1845" si="766">IF(E1822=0,0,I1822-(E1822-1))</f>
        <v>0</v>
      </c>
      <c r="I1822" s="70">
        <f t="shared" ref="I1822:I1845" si="767">IF(E1822=0,0,H1821-1)</f>
        <v>0</v>
      </c>
      <c r="J1822" s="73" t="str">
        <f>IF(C1822="","--",IF(AND(C1822&lt;&gt;"FST",C1822&lt;&gt;"TCF",BA1821&lt;&gt;0),BA1821,"--"))</f>
        <v>--</v>
      </c>
      <c r="K1822" s="32"/>
      <c r="L1822" s="233"/>
      <c r="M1822" s="277"/>
      <c r="N1822" s="277"/>
      <c r="O1822" s="277"/>
      <c r="P1822" s="277"/>
      <c r="Q1822" s="277"/>
      <c r="R1822" s="277"/>
      <c r="S1822" s="277"/>
      <c r="T1822" s="277"/>
      <c r="U1822" s="278"/>
      <c r="V1822" s="103"/>
      <c r="W1822" s="72"/>
      <c r="X1822" s="72"/>
      <c r="Y1822" s="72"/>
      <c r="Z1822" s="45">
        <v>10</v>
      </c>
      <c r="AA1822" s="46">
        <v>109</v>
      </c>
      <c r="AB1822" s="46">
        <v>120</v>
      </c>
      <c r="AC1822" s="72">
        <f t="shared" si="757"/>
        <v>1</v>
      </c>
      <c r="AD1822" s="72">
        <f t="shared" si="758"/>
        <v>1</v>
      </c>
      <c r="AE1822" s="109" t="str">
        <f t="shared" si="759"/>
        <v>0-0</v>
      </c>
      <c r="AF1822" s="109" t="str">
        <f t="shared" si="760"/>
        <v>Y</v>
      </c>
      <c r="AG1822" s="109" t="str">
        <f t="shared" si="761"/>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62"/>
        <v>0</v>
      </c>
      <c r="AN1822" s="109">
        <f t="shared" si="763"/>
        <v>0</v>
      </c>
      <c r="AO1822" s="109" t="str">
        <f t="shared" si="764"/>
        <v/>
      </c>
      <c r="AQ1822" s="109" t="str">
        <f t="shared" si="765"/>
        <v/>
      </c>
      <c r="BA1822" s="229">
        <f>MOD(SUM(E1821:E1822),12)</f>
        <v>0</v>
      </c>
    </row>
    <row r="1823" spans="1:53" ht="15.75" thickBot="1" x14ac:dyDescent="0.3">
      <c r="A1823" s="88"/>
      <c r="B1823" s="74" t="s">
        <v>280</v>
      </c>
      <c r="C1823" s="67"/>
      <c r="D1823" s="102"/>
      <c r="E1823" s="32"/>
      <c r="F1823" s="32"/>
      <c r="G1823" s="75" t="s">
        <v>277</v>
      </c>
      <c r="H1823" s="69">
        <f t="shared" si="766"/>
        <v>0</v>
      </c>
      <c r="I1823" s="70">
        <f t="shared" si="767"/>
        <v>0</v>
      </c>
      <c r="J1823" s="73" t="str">
        <f t="shared" ref="J1823:J1845" si="768">IF(C1823="","--",IF(AND(C1823&lt;&gt;"FST",C1823&lt;&gt;"TCF",BA1822&lt;&gt;0),BA1822,"--"))</f>
        <v>--</v>
      </c>
      <c r="K1823" s="32"/>
      <c r="L1823" s="233"/>
      <c r="M1823" s="277"/>
      <c r="N1823" s="277"/>
      <c r="O1823" s="277"/>
      <c r="P1823" s="277"/>
      <c r="Q1823" s="277"/>
      <c r="R1823" s="277"/>
      <c r="S1823" s="277"/>
      <c r="T1823" s="277"/>
      <c r="U1823" s="278"/>
      <c r="V1823" s="103"/>
      <c r="W1823" s="72"/>
      <c r="X1823" s="72"/>
      <c r="Y1823" s="72"/>
      <c r="Z1823" s="45">
        <v>11</v>
      </c>
      <c r="AA1823" s="46">
        <v>121</v>
      </c>
      <c r="AB1823" s="46">
        <v>132</v>
      </c>
      <c r="AC1823" s="72">
        <f t="shared" si="757"/>
        <v>1</v>
      </c>
      <c r="AD1823" s="72">
        <f t="shared" si="758"/>
        <v>1</v>
      </c>
      <c r="AE1823" s="109" t="str">
        <f t="shared" si="759"/>
        <v>0-0</v>
      </c>
      <c r="AF1823" s="109" t="str">
        <f t="shared" si="760"/>
        <v>Y</v>
      </c>
      <c r="AG1823" s="109" t="str">
        <f t="shared" si="761"/>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62"/>
        <v>0</v>
      </c>
      <c r="AN1823" s="109">
        <f t="shared" si="763"/>
        <v>0</v>
      </c>
      <c r="AO1823" s="109" t="str">
        <f t="shared" si="764"/>
        <v/>
      </c>
      <c r="AQ1823" s="109" t="str">
        <f t="shared" si="765"/>
        <v/>
      </c>
      <c r="BA1823" s="229">
        <f>MOD(SUM(E1821:E1824),12)</f>
        <v>0</v>
      </c>
    </row>
    <row r="1824" spans="1:53" ht="15.75" thickBot="1" x14ac:dyDescent="0.3">
      <c r="A1824" s="88"/>
      <c r="B1824" s="66" t="s">
        <v>281</v>
      </c>
      <c r="C1824" s="67"/>
      <c r="D1824" s="102"/>
      <c r="E1824" s="32"/>
      <c r="F1824" s="32"/>
      <c r="G1824" s="68" t="s">
        <v>277</v>
      </c>
      <c r="H1824" s="69">
        <f t="shared" si="766"/>
        <v>0</v>
      </c>
      <c r="I1824" s="70">
        <f t="shared" si="767"/>
        <v>0</v>
      </c>
      <c r="J1824" s="73" t="str">
        <f t="shared" si="768"/>
        <v>--</v>
      </c>
      <c r="K1824" s="32"/>
      <c r="L1824" s="233"/>
      <c r="M1824" s="277"/>
      <c r="N1824" s="277"/>
      <c r="O1824" s="277"/>
      <c r="P1824" s="277"/>
      <c r="Q1824" s="277"/>
      <c r="R1824" s="277"/>
      <c r="S1824" s="277"/>
      <c r="T1824" s="277"/>
      <c r="U1824" s="278"/>
      <c r="V1824" s="103"/>
      <c r="W1824" s="72"/>
      <c r="X1824" s="72"/>
      <c r="Y1824" s="72"/>
      <c r="Z1824" s="45">
        <v>12</v>
      </c>
      <c r="AA1824" s="76">
        <v>133</v>
      </c>
      <c r="AB1824" s="76">
        <v>144</v>
      </c>
      <c r="AC1824" s="72">
        <f t="shared" si="757"/>
        <v>1</v>
      </c>
      <c r="AD1824" s="72">
        <f t="shared" si="758"/>
        <v>1</v>
      </c>
      <c r="AE1824" s="109" t="str">
        <f t="shared" si="759"/>
        <v>0-0</v>
      </c>
      <c r="AF1824" s="109" t="str">
        <f t="shared" si="760"/>
        <v>Y</v>
      </c>
      <c r="AG1824" s="109" t="str">
        <f t="shared" si="761"/>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62"/>
        <v>0</v>
      </c>
      <c r="AN1824" s="109">
        <f t="shared" si="763"/>
        <v>0</v>
      </c>
      <c r="AO1824" s="109" t="str">
        <f t="shared" si="764"/>
        <v/>
      </c>
      <c r="AQ1824" s="109" t="str">
        <f t="shared" si="765"/>
        <v/>
      </c>
      <c r="BA1824" s="229">
        <f>MOD(SUM(E1821:E1825),12)</f>
        <v>0</v>
      </c>
    </row>
    <row r="1825" spans="1:53" ht="15.75" thickBot="1" x14ac:dyDescent="0.3">
      <c r="A1825" s="88"/>
      <c r="B1825" s="66" t="s">
        <v>282</v>
      </c>
      <c r="C1825" s="67"/>
      <c r="D1825" s="102"/>
      <c r="E1825" s="32"/>
      <c r="F1825" s="32"/>
      <c r="G1825" s="68" t="s">
        <v>277</v>
      </c>
      <c r="H1825" s="69">
        <f t="shared" si="766"/>
        <v>0</v>
      </c>
      <c r="I1825" s="70">
        <f t="shared" si="767"/>
        <v>0</v>
      </c>
      <c r="J1825" s="73" t="str">
        <f t="shared" si="768"/>
        <v>--</v>
      </c>
      <c r="K1825" s="32"/>
      <c r="L1825" s="233"/>
      <c r="M1825" s="277"/>
      <c r="N1825" s="277"/>
      <c r="O1825" s="277"/>
      <c r="P1825" s="277"/>
      <c r="Q1825" s="277"/>
      <c r="R1825" s="277"/>
      <c r="S1825" s="277"/>
      <c r="T1825" s="277"/>
      <c r="U1825" s="278"/>
      <c r="V1825" s="103"/>
      <c r="W1825" s="72"/>
      <c r="X1825" s="72"/>
      <c r="Y1825" s="72"/>
      <c r="Z1825" s="45">
        <v>13</v>
      </c>
      <c r="AA1825" s="77">
        <f t="shared" ref="AA1825:AA1830" si="769">AB1824+1</f>
        <v>145</v>
      </c>
      <c r="AB1825" s="77">
        <f t="shared" ref="AB1825:AB1830" si="770">AB1824+12</f>
        <v>156</v>
      </c>
      <c r="AC1825" s="72">
        <f t="shared" si="757"/>
        <v>1</v>
      </c>
      <c r="AD1825" s="72">
        <f t="shared" si="758"/>
        <v>1</v>
      </c>
      <c r="AE1825" s="109" t="str">
        <f t="shared" si="759"/>
        <v>0-0</v>
      </c>
      <c r="AF1825" s="109" t="str">
        <f t="shared" si="760"/>
        <v>Y</v>
      </c>
      <c r="AG1825" s="109" t="str">
        <f t="shared" si="761"/>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62"/>
        <v>0</v>
      </c>
      <c r="AN1825" s="109">
        <f t="shared" si="763"/>
        <v>0</v>
      </c>
      <c r="AO1825" s="109" t="str">
        <f t="shared" si="764"/>
        <v/>
      </c>
      <c r="AQ1825" s="109" t="str">
        <f t="shared" si="765"/>
        <v/>
      </c>
      <c r="BA1825" s="229">
        <f>MOD(SUM(E1821:E1826),12)</f>
        <v>0</v>
      </c>
    </row>
    <row r="1826" spans="1:53" ht="15.75" thickBot="1" x14ac:dyDescent="0.3">
      <c r="A1826" s="88"/>
      <c r="B1826" s="66" t="s">
        <v>283</v>
      </c>
      <c r="C1826" s="67"/>
      <c r="D1826" s="102"/>
      <c r="E1826" s="32"/>
      <c r="F1826" s="32"/>
      <c r="G1826" s="68" t="s">
        <v>277</v>
      </c>
      <c r="H1826" s="69">
        <f t="shared" si="766"/>
        <v>0</v>
      </c>
      <c r="I1826" s="70">
        <f t="shared" si="767"/>
        <v>0</v>
      </c>
      <c r="J1826" s="73" t="str">
        <f t="shared" si="768"/>
        <v>--</v>
      </c>
      <c r="K1826" s="32"/>
      <c r="L1826" s="233"/>
      <c r="M1826" s="277"/>
      <c r="N1826" s="277"/>
      <c r="O1826" s="277"/>
      <c r="P1826" s="277"/>
      <c r="Q1826" s="277"/>
      <c r="R1826" s="277"/>
      <c r="S1826" s="277"/>
      <c r="T1826" s="277"/>
      <c r="U1826" s="278"/>
      <c r="V1826" s="103"/>
      <c r="W1826" s="72"/>
      <c r="X1826" s="72"/>
      <c r="Y1826" s="72"/>
      <c r="Z1826" s="45">
        <v>14</v>
      </c>
      <c r="AA1826" s="77">
        <f t="shared" si="769"/>
        <v>157</v>
      </c>
      <c r="AB1826" s="77">
        <f t="shared" si="770"/>
        <v>168</v>
      </c>
      <c r="AC1826" s="72">
        <f t="shared" si="757"/>
        <v>1</v>
      </c>
      <c r="AD1826" s="72">
        <f t="shared" si="758"/>
        <v>1</v>
      </c>
      <c r="AE1826" s="109" t="str">
        <f t="shared" si="759"/>
        <v>0-0</v>
      </c>
      <c r="AF1826" s="109" t="str">
        <f t="shared" si="760"/>
        <v>Y</v>
      </c>
      <c r="AG1826" s="109" t="str">
        <f t="shared" si="761"/>
        <v>B</v>
      </c>
      <c r="AM1826" s="109">
        <f t="shared" si="762"/>
        <v>0</v>
      </c>
      <c r="AN1826" s="109">
        <f t="shared" si="763"/>
        <v>0</v>
      </c>
      <c r="AO1826" s="109" t="str">
        <f t="shared" si="764"/>
        <v/>
      </c>
      <c r="AQ1826" s="109" t="str">
        <f t="shared" si="765"/>
        <v/>
      </c>
      <c r="BA1826" s="229">
        <f>MOD(SUM(E1821:E1827),12)</f>
        <v>0</v>
      </c>
    </row>
    <row r="1827" spans="1:53" ht="15.75" thickBot="1" x14ac:dyDescent="0.3">
      <c r="A1827" s="88"/>
      <c r="B1827" s="66" t="s">
        <v>284</v>
      </c>
      <c r="C1827" s="67"/>
      <c r="D1827" s="102"/>
      <c r="E1827" s="32"/>
      <c r="F1827" s="32"/>
      <c r="G1827" s="68" t="s">
        <v>277</v>
      </c>
      <c r="H1827" s="69">
        <f t="shared" si="766"/>
        <v>0</v>
      </c>
      <c r="I1827" s="70">
        <f t="shared" si="767"/>
        <v>0</v>
      </c>
      <c r="J1827" s="73" t="str">
        <f t="shared" si="768"/>
        <v>--</v>
      </c>
      <c r="K1827" s="32"/>
      <c r="L1827" s="233"/>
      <c r="M1827" s="277"/>
      <c r="N1827" s="277"/>
      <c r="O1827" s="277"/>
      <c r="P1827" s="277"/>
      <c r="Q1827" s="277"/>
      <c r="R1827" s="277"/>
      <c r="S1827" s="277"/>
      <c r="T1827" s="277"/>
      <c r="U1827" s="278"/>
      <c r="V1827" s="103"/>
      <c r="W1827" s="72"/>
      <c r="X1827" s="72"/>
      <c r="Y1827" s="72"/>
      <c r="Z1827" s="45">
        <v>15</v>
      </c>
      <c r="AA1827" s="77">
        <f t="shared" si="769"/>
        <v>169</v>
      </c>
      <c r="AB1827" s="77">
        <f t="shared" si="770"/>
        <v>180</v>
      </c>
      <c r="AC1827" s="72">
        <f t="shared" si="757"/>
        <v>1</v>
      </c>
      <c r="AD1827" s="72">
        <f t="shared" si="758"/>
        <v>1</v>
      </c>
      <c r="AE1827" s="109" t="str">
        <f t="shared" si="759"/>
        <v>0-0</v>
      </c>
      <c r="AF1827" s="109" t="str">
        <f t="shared" si="760"/>
        <v>Y</v>
      </c>
      <c r="AG1827" s="109" t="str">
        <f t="shared" si="761"/>
        <v>B</v>
      </c>
      <c r="AM1827" s="109">
        <f t="shared" si="762"/>
        <v>0</v>
      </c>
      <c r="AN1827" s="109">
        <f t="shared" si="763"/>
        <v>0</v>
      </c>
      <c r="AO1827" s="109" t="str">
        <f t="shared" si="764"/>
        <v/>
      </c>
      <c r="AQ1827" s="109" t="str">
        <f t="shared" si="765"/>
        <v/>
      </c>
      <c r="BA1827" s="229">
        <f>MOD(SUM(E1821:E1828),12)</f>
        <v>0</v>
      </c>
    </row>
    <row r="1828" spans="1:53" ht="15.75" thickBot="1" x14ac:dyDescent="0.3">
      <c r="A1828" s="88"/>
      <c r="B1828" s="66" t="s">
        <v>285</v>
      </c>
      <c r="C1828" s="67"/>
      <c r="D1828" s="102"/>
      <c r="E1828" s="32"/>
      <c r="F1828" s="32"/>
      <c r="G1828" s="68" t="s">
        <v>277</v>
      </c>
      <c r="H1828" s="69">
        <f t="shared" si="766"/>
        <v>0</v>
      </c>
      <c r="I1828" s="70">
        <f t="shared" si="767"/>
        <v>0</v>
      </c>
      <c r="J1828" s="73" t="str">
        <f t="shared" si="768"/>
        <v>--</v>
      </c>
      <c r="K1828" s="32"/>
      <c r="L1828" s="233"/>
      <c r="M1828" s="277"/>
      <c r="N1828" s="277"/>
      <c r="O1828" s="277"/>
      <c r="P1828" s="277"/>
      <c r="Q1828" s="277"/>
      <c r="R1828" s="277"/>
      <c r="S1828" s="277"/>
      <c r="T1828" s="277"/>
      <c r="U1828" s="278"/>
      <c r="V1828" s="103"/>
      <c r="W1828" s="72"/>
      <c r="X1828" s="72"/>
      <c r="Y1828" s="72"/>
      <c r="Z1828" s="45">
        <f>Z1827+1</f>
        <v>16</v>
      </c>
      <c r="AA1828" s="77">
        <f t="shared" si="769"/>
        <v>181</v>
      </c>
      <c r="AB1828" s="77">
        <f t="shared" si="770"/>
        <v>192</v>
      </c>
      <c r="AC1828" s="72">
        <f t="shared" si="757"/>
        <v>1</v>
      </c>
      <c r="AD1828" s="72">
        <f t="shared" si="758"/>
        <v>1</v>
      </c>
      <c r="AE1828" s="109" t="str">
        <f t="shared" si="759"/>
        <v>0-0</v>
      </c>
      <c r="AF1828" s="109" t="str">
        <f t="shared" si="760"/>
        <v>Y</v>
      </c>
      <c r="AG1828" s="109" t="str">
        <f t="shared" si="761"/>
        <v>B</v>
      </c>
      <c r="AM1828" s="109">
        <f t="shared" si="762"/>
        <v>0</v>
      </c>
      <c r="AN1828" s="109">
        <f t="shared" si="763"/>
        <v>0</v>
      </c>
      <c r="AO1828" s="109" t="str">
        <f t="shared" si="764"/>
        <v/>
      </c>
      <c r="AQ1828" s="109" t="str">
        <f t="shared" si="765"/>
        <v/>
      </c>
      <c r="BA1828" s="229">
        <f>MOD(SUM(E1821:E1829),12)</f>
        <v>0</v>
      </c>
    </row>
    <row r="1829" spans="1:53" ht="15.75" thickBot="1" x14ac:dyDescent="0.3">
      <c r="A1829" s="88"/>
      <c r="B1829" s="66" t="s">
        <v>286</v>
      </c>
      <c r="C1829" s="67"/>
      <c r="D1829" s="102"/>
      <c r="E1829" s="32"/>
      <c r="F1829" s="32"/>
      <c r="G1829" s="68" t="s">
        <v>277</v>
      </c>
      <c r="H1829" s="69">
        <f t="shared" si="766"/>
        <v>0</v>
      </c>
      <c r="I1829" s="70">
        <f t="shared" si="767"/>
        <v>0</v>
      </c>
      <c r="J1829" s="73" t="str">
        <f t="shared" si="768"/>
        <v>--</v>
      </c>
      <c r="K1829" s="32"/>
      <c r="L1829" s="233"/>
      <c r="M1829" s="277"/>
      <c r="N1829" s="277"/>
      <c r="O1829" s="277"/>
      <c r="P1829" s="277"/>
      <c r="Q1829" s="277"/>
      <c r="R1829" s="277"/>
      <c r="S1829" s="277"/>
      <c r="T1829" s="277"/>
      <c r="U1829" s="278"/>
      <c r="V1829" s="103"/>
      <c r="W1829" s="72"/>
      <c r="X1829" s="72"/>
      <c r="Y1829" s="72"/>
      <c r="Z1829" s="45">
        <f>Z1828+1</f>
        <v>17</v>
      </c>
      <c r="AA1829" s="77">
        <f t="shared" si="769"/>
        <v>193</v>
      </c>
      <c r="AB1829" s="77">
        <f t="shared" si="770"/>
        <v>204</v>
      </c>
      <c r="AC1829" s="72">
        <f t="shared" si="757"/>
        <v>1</v>
      </c>
      <c r="AD1829" s="72">
        <f t="shared" si="758"/>
        <v>1</v>
      </c>
      <c r="AE1829" s="109" t="str">
        <f t="shared" si="759"/>
        <v>0-0</v>
      </c>
      <c r="AF1829" s="109" t="str">
        <f t="shared" si="760"/>
        <v>Y</v>
      </c>
      <c r="AG1829" s="109" t="str">
        <f t="shared" si="761"/>
        <v>B</v>
      </c>
      <c r="AM1829" s="109">
        <f t="shared" si="762"/>
        <v>0</v>
      </c>
      <c r="AN1829" s="109">
        <f t="shared" si="763"/>
        <v>0</v>
      </c>
      <c r="AO1829" s="109" t="str">
        <f t="shared" si="764"/>
        <v/>
      </c>
      <c r="AQ1829" s="109" t="str">
        <f t="shared" si="765"/>
        <v/>
      </c>
      <c r="BA1829" s="229">
        <f>MOD(SUM(E1821:E1830),12)</f>
        <v>0</v>
      </c>
    </row>
    <row r="1830" spans="1:53" ht="15.75" thickBot="1" x14ac:dyDescent="0.3">
      <c r="A1830" s="88"/>
      <c r="B1830" s="66" t="s">
        <v>287</v>
      </c>
      <c r="C1830" s="67"/>
      <c r="D1830" s="102"/>
      <c r="E1830" s="32"/>
      <c r="F1830" s="32"/>
      <c r="G1830" s="68" t="s">
        <v>277</v>
      </c>
      <c r="H1830" s="69">
        <f t="shared" si="766"/>
        <v>0</v>
      </c>
      <c r="I1830" s="70">
        <f t="shared" si="767"/>
        <v>0</v>
      </c>
      <c r="J1830" s="73" t="str">
        <f t="shared" si="768"/>
        <v>--</v>
      </c>
      <c r="K1830" s="32"/>
      <c r="L1830" s="233"/>
      <c r="M1830" s="277"/>
      <c r="N1830" s="277"/>
      <c r="O1830" s="277"/>
      <c r="P1830" s="277"/>
      <c r="Q1830" s="277"/>
      <c r="R1830" s="277"/>
      <c r="S1830" s="277"/>
      <c r="T1830" s="277"/>
      <c r="U1830" s="278"/>
      <c r="V1830" s="103"/>
      <c r="W1830" s="72"/>
      <c r="X1830" s="72"/>
      <c r="Y1830" s="72"/>
      <c r="Z1830" s="45">
        <f>Z1829+1</f>
        <v>18</v>
      </c>
      <c r="AA1830" s="77">
        <f t="shared" si="769"/>
        <v>205</v>
      </c>
      <c r="AB1830" s="77">
        <f t="shared" si="770"/>
        <v>216</v>
      </c>
      <c r="AC1830" s="72">
        <f t="shared" si="757"/>
        <v>1</v>
      </c>
      <c r="AD1830" s="72">
        <f t="shared" si="758"/>
        <v>1</v>
      </c>
      <c r="AE1830" s="109" t="str">
        <f t="shared" si="759"/>
        <v>0-0</v>
      </c>
      <c r="AF1830" s="109" t="str">
        <f t="shared" si="760"/>
        <v>Y</v>
      </c>
      <c r="AG1830" s="109" t="str">
        <f t="shared" si="761"/>
        <v>B</v>
      </c>
      <c r="AM1830" s="109">
        <f t="shared" si="762"/>
        <v>0</v>
      </c>
      <c r="AN1830" s="109">
        <f t="shared" si="763"/>
        <v>0</v>
      </c>
      <c r="AO1830" s="109" t="str">
        <f t="shared" si="764"/>
        <v/>
      </c>
      <c r="AQ1830" s="109" t="str">
        <f t="shared" si="765"/>
        <v/>
      </c>
      <c r="BA1830" s="229">
        <f>MOD(SUM(E1821:E1831),12)</f>
        <v>0</v>
      </c>
    </row>
    <row r="1831" spans="1:53" ht="15.75" thickBot="1" x14ac:dyDescent="0.3">
      <c r="A1831" s="88"/>
      <c r="B1831" s="66" t="s">
        <v>288</v>
      </c>
      <c r="C1831" s="67"/>
      <c r="D1831" s="102"/>
      <c r="E1831" s="32"/>
      <c r="F1831" s="32"/>
      <c r="G1831" s="68" t="s">
        <v>277</v>
      </c>
      <c r="H1831" s="69">
        <f t="shared" si="766"/>
        <v>0</v>
      </c>
      <c r="I1831" s="70">
        <f t="shared" si="767"/>
        <v>0</v>
      </c>
      <c r="J1831" s="73" t="str">
        <f t="shared" si="768"/>
        <v>--</v>
      </c>
      <c r="K1831" s="32"/>
      <c r="L1831" s="233"/>
      <c r="M1831" s="277"/>
      <c r="N1831" s="277"/>
      <c r="O1831" s="277"/>
      <c r="P1831" s="277"/>
      <c r="Q1831" s="277"/>
      <c r="R1831" s="277"/>
      <c r="S1831" s="277"/>
      <c r="T1831" s="277"/>
      <c r="U1831" s="278"/>
      <c r="V1831" s="103"/>
      <c r="W1831" s="84"/>
      <c r="X1831" s="84"/>
      <c r="Y1831" s="72"/>
      <c r="Z1831" s="72"/>
      <c r="AA1831" s="72"/>
      <c r="AB1831" s="72"/>
      <c r="AC1831" s="72">
        <f t="shared" si="757"/>
        <v>1</v>
      </c>
      <c r="AD1831" s="72">
        <f t="shared" si="758"/>
        <v>1</v>
      </c>
      <c r="AE1831" s="109" t="str">
        <f t="shared" si="759"/>
        <v>0-0</v>
      </c>
      <c r="AF1831" s="109" t="str">
        <f t="shared" si="760"/>
        <v>Y</v>
      </c>
      <c r="AG1831" s="109" t="str">
        <f t="shared" si="761"/>
        <v>B</v>
      </c>
      <c r="AM1831" s="109">
        <f t="shared" si="762"/>
        <v>0</v>
      </c>
      <c r="AN1831" s="109">
        <f t="shared" si="763"/>
        <v>0</v>
      </c>
      <c r="AO1831" s="109" t="str">
        <f t="shared" si="764"/>
        <v/>
      </c>
      <c r="AQ1831" s="109" t="str">
        <f t="shared" si="765"/>
        <v/>
      </c>
      <c r="BA1831" s="229">
        <f>MOD(SUM(E1821:E1832),12)</f>
        <v>0</v>
      </c>
    </row>
    <row r="1832" spans="1:53" ht="15.75" thickBot="1" x14ac:dyDescent="0.3">
      <c r="A1832" s="88"/>
      <c r="B1832" s="66" t="s">
        <v>289</v>
      </c>
      <c r="C1832" s="67"/>
      <c r="D1832" s="102"/>
      <c r="E1832" s="32"/>
      <c r="F1832" s="32"/>
      <c r="G1832" s="68" t="s">
        <v>277</v>
      </c>
      <c r="H1832" s="69">
        <f t="shared" si="766"/>
        <v>0</v>
      </c>
      <c r="I1832" s="70">
        <f t="shared" si="767"/>
        <v>0</v>
      </c>
      <c r="J1832" s="73" t="str">
        <f t="shared" si="768"/>
        <v>--</v>
      </c>
      <c r="K1832" s="32"/>
      <c r="L1832" s="233"/>
      <c r="M1832" s="277"/>
      <c r="N1832" s="277"/>
      <c r="O1832" s="277"/>
      <c r="P1832" s="277"/>
      <c r="Q1832" s="277"/>
      <c r="R1832" s="277"/>
      <c r="S1832" s="277"/>
      <c r="T1832" s="277"/>
      <c r="U1832" s="278"/>
      <c r="V1832" s="103"/>
      <c r="W1832" s="84">
        <f>Y1832+1</f>
        <v>1</v>
      </c>
      <c r="X1832" s="84"/>
      <c r="Y1832" s="78">
        <f>SUM(E1821:E1832)</f>
        <v>0</v>
      </c>
      <c r="Z1832" s="72"/>
      <c r="AA1832" s="72"/>
      <c r="AB1832" s="72"/>
      <c r="AC1832" s="72">
        <f t="shared" si="757"/>
        <v>1</v>
      </c>
      <c r="AD1832" s="72">
        <f t="shared" si="758"/>
        <v>1</v>
      </c>
      <c r="AE1832" s="109" t="str">
        <f t="shared" si="759"/>
        <v>0-0</v>
      </c>
      <c r="AF1832" s="109" t="str">
        <f t="shared" si="760"/>
        <v>Y</v>
      </c>
      <c r="AG1832" s="109" t="str">
        <f t="shared" si="761"/>
        <v>B</v>
      </c>
      <c r="AM1832" s="109">
        <f t="shared" si="762"/>
        <v>0</v>
      </c>
      <c r="AN1832" s="109">
        <f t="shared" si="763"/>
        <v>0</v>
      </c>
      <c r="AO1832" s="109" t="str">
        <f t="shared" si="764"/>
        <v/>
      </c>
      <c r="AQ1832" s="109" t="str">
        <f t="shared" si="765"/>
        <v/>
      </c>
      <c r="BA1832" s="229">
        <f>MOD(SUM(E1821:E1833),12)</f>
        <v>0</v>
      </c>
    </row>
    <row r="1833" spans="1:53" ht="15.75" thickBot="1" x14ac:dyDescent="0.3">
      <c r="A1833" s="88"/>
      <c r="B1833" s="66" t="s">
        <v>290</v>
      </c>
      <c r="C1833" s="67"/>
      <c r="D1833" s="102"/>
      <c r="E1833" s="32"/>
      <c r="F1833" s="32"/>
      <c r="G1833" s="68" t="s">
        <v>277</v>
      </c>
      <c r="H1833" s="69">
        <f t="shared" si="766"/>
        <v>0</v>
      </c>
      <c r="I1833" s="70">
        <f t="shared" si="767"/>
        <v>0</v>
      </c>
      <c r="J1833" s="73" t="str">
        <f t="shared" si="768"/>
        <v>--</v>
      </c>
      <c r="K1833" s="32"/>
      <c r="L1833" s="233"/>
      <c r="M1833" s="277"/>
      <c r="N1833" s="277"/>
      <c r="O1833" s="277"/>
      <c r="P1833" s="277"/>
      <c r="Q1833" s="277"/>
      <c r="R1833" s="277"/>
      <c r="S1833" s="277"/>
      <c r="T1833" s="277"/>
      <c r="U1833" s="278"/>
      <c r="V1833" s="103"/>
      <c r="W1833" s="84">
        <f>Y1833+1</f>
        <v>1</v>
      </c>
      <c r="X1833" s="84"/>
      <c r="Y1833" s="78">
        <f>SUM(E1821:E1833)</f>
        <v>0</v>
      </c>
      <c r="Z1833" s="72" t="str">
        <f t="shared" ref="Z1833:Z1845" si="771">IF(OR(AND(E$8=216,C1832="DBL REV",C1833="DBL REV",Y1832&lt;=144,Y1833&gt;144),AND(E$8=216,C1832="TPL REV",C1833="TPL REV",Y1832&lt;=144,Y1833&gt;144),AND(E$8=216,C1832="QD REV",C1833="QD REV",Y1832&lt;=144,Y1833&gt;144)),"ERROR","")</f>
        <v/>
      </c>
      <c r="AA1833" s="72"/>
      <c r="AB1833" s="72"/>
      <c r="AC1833" s="72">
        <f t="shared" si="757"/>
        <v>1</v>
      </c>
      <c r="AD1833" s="72">
        <f t="shared" si="758"/>
        <v>1</v>
      </c>
      <c r="AE1833" s="109" t="str">
        <f t="shared" si="759"/>
        <v>0-0</v>
      </c>
      <c r="AF1833" s="109" t="str">
        <f t="shared" si="760"/>
        <v>Y</v>
      </c>
      <c r="AG1833" s="109" t="str">
        <f t="shared" si="761"/>
        <v>B</v>
      </c>
      <c r="AM1833" s="109">
        <f t="shared" si="762"/>
        <v>0</v>
      </c>
      <c r="AN1833" s="109">
        <f t="shared" si="763"/>
        <v>0</v>
      </c>
      <c r="AO1833" s="109" t="str">
        <f t="shared" si="764"/>
        <v/>
      </c>
      <c r="AQ1833" s="109" t="str">
        <f t="shared" si="765"/>
        <v/>
      </c>
      <c r="BA1833" s="229">
        <f>MOD(SUM(E1821:E1834),12)</f>
        <v>0</v>
      </c>
    </row>
    <row r="1834" spans="1:53" ht="15.75" thickBot="1" x14ac:dyDescent="0.3">
      <c r="A1834" s="88"/>
      <c r="B1834" s="66" t="s">
        <v>291</v>
      </c>
      <c r="C1834" s="67"/>
      <c r="D1834" s="102"/>
      <c r="E1834" s="32"/>
      <c r="F1834" s="32"/>
      <c r="G1834" s="68" t="s">
        <v>277</v>
      </c>
      <c r="H1834" s="69">
        <f t="shared" si="766"/>
        <v>0</v>
      </c>
      <c r="I1834" s="70">
        <f t="shared" si="767"/>
        <v>0</v>
      </c>
      <c r="J1834" s="73" t="str">
        <f t="shared" si="768"/>
        <v>--</v>
      </c>
      <c r="K1834" s="32"/>
      <c r="L1834" s="233"/>
      <c r="M1834" s="277"/>
      <c r="N1834" s="277"/>
      <c r="O1834" s="277"/>
      <c r="P1834" s="277"/>
      <c r="Q1834" s="277"/>
      <c r="R1834" s="277"/>
      <c r="S1834" s="277"/>
      <c r="T1834" s="277"/>
      <c r="U1834" s="278"/>
      <c r="V1834" s="103"/>
      <c r="W1834" s="84">
        <f>Y1834+1</f>
        <v>1</v>
      </c>
      <c r="X1834" s="84"/>
      <c r="Y1834" s="78">
        <f>SUM(E1821:E1834)</f>
        <v>0</v>
      </c>
      <c r="Z1834" s="72" t="str">
        <f t="shared" si="771"/>
        <v/>
      </c>
      <c r="AA1834" s="72"/>
      <c r="AB1834" s="72"/>
      <c r="AC1834" s="72">
        <f t="shared" si="757"/>
        <v>1</v>
      </c>
      <c r="AD1834" s="72">
        <f t="shared" si="758"/>
        <v>1</v>
      </c>
      <c r="AE1834" s="109" t="str">
        <f t="shared" si="759"/>
        <v>0-0</v>
      </c>
      <c r="AF1834" s="109" t="str">
        <f t="shared" si="760"/>
        <v>Y</v>
      </c>
      <c r="AG1834" s="109" t="str">
        <f t="shared" si="761"/>
        <v>B</v>
      </c>
      <c r="AM1834" s="109">
        <f t="shared" si="762"/>
        <v>0</v>
      </c>
      <c r="AN1834" s="109">
        <f t="shared" si="763"/>
        <v>0</v>
      </c>
      <c r="AO1834" s="109" t="str">
        <f t="shared" si="764"/>
        <v/>
      </c>
      <c r="AQ1834" s="109" t="str">
        <f t="shared" si="765"/>
        <v/>
      </c>
      <c r="BA1834" s="229">
        <f>MOD(SUM(E1821:E1835),12)</f>
        <v>0</v>
      </c>
    </row>
    <row r="1835" spans="1:53" ht="15.75" thickBot="1" x14ac:dyDescent="0.3">
      <c r="A1835" s="88"/>
      <c r="B1835" s="66" t="s">
        <v>292</v>
      </c>
      <c r="C1835" s="67"/>
      <c r="D1835" s="102"/>
      <c r="E1835" s="32"/>
      <c r="F1835" s="32"/>
      <c r="G1835" s="68" t="s">
        <v>277</v>
      </c>
      <c r="H1835" s="69">
        <f t="shared" si="766"/>
        <v>0</v>
      </c>
      <c r="I1835" s="70">
        <f t="shared" si="767"/>
        <v>0</v>
      </c>
      <c r="J1835" s="73" t="str">
        <f t="shared" si="768"/>
        <v>--</v>
      </c>
      <c r="K1835" s="32"/>
      <c r="L1835" s="233"/>
      <c r="M1835" s="277"/>
      <c r="N1835" s="277"/>
      <c r="O1835" s="277"/>
      <c r="P1835" s="277"/>
      <c r="Q1835" s="277"/>
      <c r="R1835" s="277"/>
      <c r="S1835" s="277"/>
      <c r="T1835" s="277"/>
      <c r="U1835" s="278"/>
      <c r="V1835" s="103"/>
      <c r="W1835" s="84">
        <f>Y1835+1</f>
        <v>1</v>
      </c>
      <c r="X1835" s="84"/>
      <c r="Y1835" s="78">
        <f>SUM(E1821:E1835)</f>
        <v>0</v>
      </c>
      <c r="Z1835" s="72" t="str">
        <f t="shared" si="771"/>
        <v/>
      </c>
      <c r="AA1835" s="72" t="str">
        <f t="shared" ref="AA1835:AA1847" si="772">IF(AND(C1833&lt;&gt;"Field SPL",W1832&lt;=144,Y1833&gt;144),"ERROR","")</f>
        <v/>
      </c>
      <c r="AB1835" s="72"/>
      <c r="AC1835" s="72">
        <f t="shared" si="757"/>
        <v>1</v>
      </c>
      <c r="AD1835" s="72">
        <f t="shared" si="758"/>
        <v>1</v>
      </c>
      <c r="AE1835" s="109" t="str">
        <f t="shared" si="759"/>
        <v>0-0</v>
      </c>
      <c r="AF1835" s="109" t="str">
        <f t="shared" si="760"/>
        <v>Y</v>
      </c>
      <c r="AG1835" s="109" t="str">
        <f t="shared" si="761"/>
        <v>B</v>
      </c>
      <c r="AM1835" s="109">
        <f t="shared" si="762"/>
        <v>0</v>
      </c>
      <c r="AN1835" s="109">
        <f t="shared" si="763"/>
        <v>0</v>
      </c>
      <c r="AO1835" s="109" t="str">
        <f t="shared" si="764"/>
        <v/>
      </c>
      <c r="AQ1835" s="109" t="str">
        <f t="shared" si="765"/>
        <v/>
      </c>
      <c r="BA1835" s="229">
        <f>MOD(SUM(E1821:E1836),12)</f>
        <v>0</v>
      </c>
    </row>
    <row r="1836" spans="1:53" ht="15.75" thickBot="1" x14ac:dyDescent="0.3">
      <c r="A1836" s="88"/>
      <c r="B1836" s="66" t="s">
        <v>293</v>
      </c>
      <c r="C1836" s="67"/>
      <c r="D1836" s="102"/>
      <c r="E1836" s="32"/>
      <c r="F1836" s="32"/>
      <c r="G1836" s="68" t="s">
        <v>277</v>
      </c>
      <c r="H1836" s="69">
        <f t="shared" si="766"/>
        <v>0</v>
      </c>
      <c r="I1836" s="70">
        <f t="shared" si="767"/>
        <v>0</v>
      </c>
      <c r="J1836" s="73" t="str">
        <f t="shared" si="768"/>
        <v>--</v>
      </c>
      <c r="K1836" s="32"/>
      <c r="L1836" s="233"/>
      <c r="M1836" s="277"/>
      <c r="N1836" s="277"/>
      <c r="O1836" s="277"/>
      <c r="P1836" s="277"/>
      <c r="Q1836" s="277"/>
      <c r="R1836" s="277"/>
      <c r="S1836" s="277"/>
      <c r="T1836" s="277"/>
      <c r="U1836" s="278"/>
      <c r="V1836" s="103"/>
      <c r="W1836" s="84">
        <f t="shared" ref="W1836:W1844" si="773">Y1836+1</f>
        <v>1</v>
      </c>
      <c r="X1836" s="84"/>
      <c r="Y1836" s="78">
        <f>SUM(E1821:E1836)</f>
        <v>0</v>
      </c>
      <c r="Z1836" s="72" t="str">
        <f t="shared" si="771"/>
        <v/>
      </c>
      <c r="AA1836" s="72" t="str">
        <f t="shared" si="772"/>
        <v/>
      </c>
      <c r="AB1836" s="72"/>
      <c r="AC1836" s="72">
        <f t="shared" si="757"/>
        <v>1</v>
      </c>
      <c r="AD1836" s="72">
        <f t="shared" si="758"/>
        <v>1</v>
      </c>
      <c r="AE1836" s="109" t="str">
        <f t="shared" si="759"/>
        <v>0-0</v>
      </c>
      <c r="AF1836" s="109" t="str">
        <f t="shared" si="760"/>
        <v>Y</v>
      </c>
      <c r="AG1836" s="109" t="str">
        <f t="shared" si="761"/>
        <v>B</v>
      </c>
      <c r="AM1836" s="109">
        <f t="shared" si="762"/>
        <v>0</v>
      </c>
      <c r="AN1836" s="109">
        <f t="shared" si="763"/>
        <v>0</v>
      </c>
      <c r="AO1836" s="109" t="str">
        <f t="shared" si="764"/>
        <v/>
      </c>
      <c r="AQ1836" s="109" t="str">
        <f t="shared" si="765"/>
        <v/>
      </c>
      <c r="BA1836" s="229">
        <f>MOD(SUM(E1821:E1837),12)</f>
        <v>0</v>
      </c>
    </row>
    <row r="1837" spans="1:53" ht="15.75" thickBot="1" x14ac:dyDescent="0.3">
      <c r="A1837" s="88"/>
      <c r="B1837" s="66" t="s">
        <v>294</v>
      </c>
      <c r="C1837" s="67"/>
      <c r="D1837" s="102"/>
      <c r="E1837" s="32"/>
      <c r="F1837" s="32"/>
      <c r="G1837" s="68" t="s">
        <v>277</v>
      </c>
      <c r="H1837" s="69">
        <f t="shared" si="766"/>
        <v>0</v>
      </c>
      <c r="I1837" s="70">
        <f t="shared" si="767"/>
        <v>0</v>
      </c>
      <c r="J1837" s="73" t="str">
        <f t="shared" si="768"/>
        <v>--</v>
      </c>
      <c r="K1837" s="32"/>
      <c r="L1837" s="233"/>
      <c r="M1837" s="277"/>
      <c r="N1837" s="277"/>
      <c r="O1837" s="277"/>
      <c r="P1837" s="277"/>
      <c r="Q1837" s="277"/>
      <c r="R1837" s="277"/>
      <c r="S1837" s="277"/>
      <c r="T1837" s="277"/>
      <c r="U1837" s="278"/>
      <c r="V1837" s="103"/>
      <c r="W1837" s="84">
        <f t="shared" si="773"/>
        <v>1</v>
      </c>
      <c r="X1837" s="84"/>
      <c r="Y1837" s="78">
        <f>SUM(E1821:E1837)</f>
        <v>0</v>
      </c>
      <c r="Z1837" s="72" t="str">
        <f t="shared" si="771"/>
        <v/>
      </c>
      <c r="AA1837" s="72" t="str">
        <f t="shared" si="772"/>
        <v/>
      </c>
      <c r="AB1837" s="72"/>
      <c r="AC1837" s="72">
        <f t="shared" si="757"/>
        <v>1</v>
      </c>
      <c r="AD1837" s="72">
        <f t="shared" si="758"/>
        <v>1</v>
      </c>
      <c r="AE1837" s="109" t="str">
        <f t="shared" si="759"/>
        <v>0-0</v>
      </c>
      <c r="AF1837" s="109" t="str">
        <f t="shared" si="760"/>
        <v>Y</v>
      </c>
      <c r="AG1837" s="109" t="str">
        <f t="shared" si="761"/>
        <v>B</v>
      </c>
      <c r="AM1837" s="109">
        <f t="shared" si="762"/>
        <v>0</v>
      </c>
      <c r="AN1837" s="109">
        <f t="shared" si="763"/>
        <v>0</v>
      </c>
      <c r="AO1837" s="109" t="str">
        <f t="shared" si="764"/>
        <v/>
      </c>
      <c r="AQ1837" s="109" t="str">
        <f t="shared" si="765"/>
        <v/>
      </c>
      <c r="BA1837" s="229">
        <f>MOD(SUM(E1821:E1838),12)</f>
        <v>0</v>
      </c>
    </row>
    <row r="1838" spans="1:53" ht="15.75" thickBot="1" x14ac:dyDescent="0.3">
      <c r="A1838" s="88"/>
      <c r="B1838" s="66" t="s">
        <v>295</v>
      </c>
      <c r="C1838" s="67"/>
      <c r="D1838" s="102"/>
      <c r="E1838" s="32"/>
      <c r="F1838" s="32"/>
      <c r="G1838" s="68" t="s">
        <v>277</v>
      </c>
      <c r="H1838" s="69">
        <f t="shared" si="766"/>
        <v>0</v>
      </c>
      <c r="I1838" s="70">
        <f t="shared" si="767"/>
        <v>0</v>
      </c>
      <c r="J1838" s="73" t="str">
        <f t="shared" si="768"/>
        <v>--</v>
      </c>
      <c r="K1838" s="32"/>
      <c r="L1838" s="233"/>
      <c r="M1838" s="277"/>
      <c r="N1838" s="277"/>
      <c r="O1838" s="277"/>
      <c r="P1838" s="277"/>
      <c r="Q1838" s="277"/>
      <c r="R1838" s="277"/>
      <c r="S1838" s="277"/>
      <c r="T1838" s="277"/>
      <c r="U1838" s="278"/>
      <c r="V1838" s="103"/>
      <c r="W1838" s="84">
        <f t="shared" si="773"/>
        <v>1</v>
      </c>
      <c r="X1838" s="84"/>
      <c r="Y1838" s="78">
        <f>SUM(E1821:E1838)</f>
        <v>0</v>
      </c>
      <c r="Z1838" s="72" t="str">
        <f t="shared" si="771"/>
        <v/>
      </c>
      <c r="AA1838" s="72" t="str">
        <f t="shared" si="772"/>
        <v/>
      </c>
      <c r="AB1838" s="72"/>
      <c r="AC1838" s="72">
        <f t="shared" si="757"/>
        <v>1</v>
      </c>
      <c r="AD1838" s="72">
        <f t="shared" si="758"/>
        <v>1</v>
      </c>
      <c r="AE1838" s="109" t="str">
        <f t="shared" si="759"/>
        <v>0-0</v>
      </c>
      <c r="AF1838" s="109" t="str">
        <f t="shared" si="760"/>
        <v>Y</v>
      </c>
      <c r="AG1838" s="109" t="str">
        <f t="shared" si="761"/>
        <v>B</v>
      </c>
      <c r="AM1838" s="109">
        <f t="shared" si="762"/>
        <v>0</v>
      </c>
      <c r="AN1838" s="109">
        <f t="shared" si="763"/>
        <v>0</v>
      </c>
      <c r="AO1838" s="109" t="str">
        <f t="shared" si="764"/>
        <v/>
      </c>
      <c r="AQ1838" s="109" t="str">
        <f t="shared" si="765"/>
        <v/>
      </c>
      <c r="BA1838" s="229">
        <f>MOD(SUM(E1821:E1839),12)</f>
        <v>0</v>
      </c>
    </row>
    <row r="1839" spans="1:53" ht="15.75" thickBot="1" x14ac:dyDescent="0.3">
      <c r="A1839" s="88"/>
      <c r="B1839" s="66" t="s">
        <v>296</v>
      </c>
      <c r="C1839" s="67"/>
      <c r="D1839" s="102"/>
      <c r="E1839" s="32"/>
      <c r="F1839" s="32"/>
      <c r="G1839" s="68" t="s">
        <v>277</v>
      </c>
      <c r="H1839" s="69">
        <f t="shared" si="766"/>
        <v>0</v>
      </c>
      <c r="I1839" s="70">
        <f t="shared" si="767"/>
        <v>0</v>
      </c>
      <c r="J1839" s="73" t="str">
        <f t="shared" si="768"/>
        <v>--</v>
      </c>
      <c r="K1839" s="32"/>
      <c r="L1839" s="233"/>
      <c r="M1839" s="277"/>
      <c r="N1839" s="277"/>
      <c r="O1839" s="277"/>
      <c r="P1839" s="277"/>
      <c r="Q1839" s="277"/>
      <c r="R1839" s="277"/>
      <c r="S1839" s="277"/>
      <c r="T1839" s="277"/>
      <c r="U1839" s="278"/>
      <c r="V1839" s="103"/>
      <c r="W1839" s="84">
        <f t="shared" si="773"/>
        <v>1</v>
      </c>
      <c r="X1839" s="84"/>
      <c r="Y1839" s="78">
        <f>SUM(E1821:E1839)</f>
        <v>0</v>
      </c>
      <c r="Z1839" s="72" t="str">
        <f t="shared" si="771"/>
        <v/>
      </c>
      <c r="AA1839" s="72" t="str">
        <f t="shared" si="772"/>
        <v/>
      </c>
      <c r="AB1839" s="72"/>
      <c r="AC1839" s="72">
        <f t="shared" si="757"/>
        <v>1</v>
      </c>
      <c r="AD1839" s="72">
        <f t="shared" si="758"/>
        <v>1</v>
      </c>
      <c r="AE1839" s="109" t="str">
        <f t="shared" si="759"/>
        <v>0-0</v>
      </c>
      <c r="AF1839" s="109" t="str">
        <f t="shared" si="760"/>
        <v>Y</v>
      </c>
      <c r="AG1839" s="109" t="str">
        <f t="shared" si="761"/>
        <v>B</v>
      </c>
      <c r="AM1839" s="109">
        <f t="shared" si="762"/>
        <v>0</v>
      </c>
      <c r="AN1839" s="109">
        <f t="shared" si="763"/>
        <v>0</v>
      </c>
      <c r="AO1839" s="109" t="str">
        <f t="shared" si="764"/>
        <v/>
      </c>
      <c r="AQ1839" s="109" t="str">
        <f t="shared" si="765"/>
        <v/>
      </c>
      <c r="BA1839" s="229">
        <f>MOD(SUM(E1821:E1840),12)</f>
        <v>0</v>
      </c>
    </row>
    <row r="1840" spans="1:53" ht="15.75" thickBot="1" x14ac:dyDescent="0.3">
      <c r="A1840" s="88"/>
      <c r="B1840" s="66" t="s">
        <v>297</v>
      </c>
      <c r="C1840" s="67"/>
      <c r="D1840" s="102"/>
      <c r="E1840" s="32"/>
      <c r="F1840" s="32"/>
      <c r="G1840" s="68" t="s">
        <v>277</v>
      </c>
      <c r="H1840" s="69">
        <f t="shared" si="766"/>
        <v>0</v>
      </c>
      <c r="I1840" s="70">
        <f t="shared" si="767"/>
        <v>0</v>
      </c>
      <c r="J1840" s="73" t="str">
        <f t="shared" si="768"/>
        <v>--</v>
      </c>
      <c r="K1840" s="32"/>
      <c r="L1840" s="233"/>
      <c r="M1840" s="277"/>
      <c r="N1840" s="277"/>
      <c r="O1840" s="277"/>
      <c r="P1840" s="277"/>
      <c r="Q1840" s="277"/>
      <c r="R1840" s="277"/>
      <c r="S1840" s="277"/>
      <c r="T1840" s="277"/>
      <c r="U1840" s="278"/>
      <c r="V1840" s="103"/>
      <c r="W1840" s="84">
        <f t="shared" si="773"/>
        <v>1</v>
      </c>
      <c r="X1840" s="84"/>
      <c r="Y1840" s="78">
        <f>SUM(E1821:E1840)</f>
        <v>0</v>
      </c>
      <c r="Z1840" s="72" t="str">
        <f t="shared" si="771"/>
        <v/>
      </c>
      <c r="AA1840" s="72" t="str">
        <f t="shared" si="772"/>
        <v/>
      </c>
      <c r="AB1840" s="72"/>
      <c r="AC1840" s="72">
        <f t="shared" si="757"/>
        <v>1</v>
      </c>
      <c r="AD1840" s="72">
        <f t="shared" si="758"/>
        <v>1</v>
      </c>
      <c r="AE1840" s="109" t="str">
        <f t="shared" si="759"/>
        <v>0-0</v>
      </c>
      <c r="AF1840" s="109" t="str">
        <f t="shared" si="760"/>
        <v>Y</v>
      </c>
      <c r="AG1840" s="109" t="str">
        <f t="shared" si="761"/>
        <v>B</v>
      </c>
      <c r="AM1840" s="109">
        <f t="shared" si="762"/>
        <v>0</v>
      </c>
      <c r="AN1840" s="109">
        <f t="shared" si="763"/>
        <v>0</v>
      </c>
      <c r="AO1840" s="109" t="str">
        <f t="shared" si="764"/>
        <v/>
      </c>
      <c r="AQ1840" s="109" t="str">
        <f t="shared" si="765"/>
        <v/>
      </c>
      <c r="BA1840" s="229">
        <f>MOD(SUM(E1821:E1841),12)</f>
        <v>0</v>
      </c>
    </row>
    <row r="1841" spans="1:53" ht="15.75" thickBot="1" x14ac:dyDescent="0.3">
      <c r="A1841" s="88"/>
      <c r="B1841" s="66" t="s">
        <v>298</v>
      </c>
      <c r="C1841" s="67"/>
      <c r="D1841" s="102"/>
      <c r="E1841" s="32"/>
      <c r="F1841" s="32"/>
      <c r="G1841" s="68" t="s">
        <v>277</v>
      </c>
      <c r="H1841" s="69">
        <f t="shared" si="766"/>
        <v>0</v>
      </c>
      <c r="I1841" s="70">
        <f t="shared" si="767"/>
        <v>0</v>
      </c>
      <c r="J1841" s="73" t="str">
        <f t="shared" si="768"/>
        <v>--</v>
      </c>
      <c r="K1841" s="32"/>
      <c r="L1841" s="233"/>
      <c r="M1841" s="277"/>
      <c r="N1841" s="277"/>
      <c r="O1841" s="277"/>
      <c r="P1841" s="277"/>
      <c r="Q1841" s="277"/>
      <c r="R1841" s="277"/>
      <c r="S1841" s="277"/>
      <c r="T1841" s="277"/>
      <c r="U1841" s="278"/>
      <c r="V1841" s="103"/>
      <c r="W1841" s="84">
        <f t="shared" si="773"/>
        <v>1</v>
      </c>
      <c r="X1841" s="84"/>
      <c r="Y1841" s="78">
        <f>SUM(E1821:E1841)</f>
        <v>0</v>
      </c>
      <c r="Z1841" s="72" t="str">
        <f t="shared" si="771"/>
        <v/>
      </c>
      <c r="AA1841" s="72" t="str">
        <f t="shared" si="772"/>
        <v/>
      </c>
      <c r="AB1841" s="72"/>
      <c r="AC1841" s="72">
        <f t="shared" si="757"/>
        <v>1</v>
      </c>
      <c r="AD1841" s="72">
        <f t="shared" si="758"/>
        <v>1</v>
      </c>
      <c r="AE1841" s="109" t="str">
        <f t="shared" si="759"/>
        <v>0-0</v>
      </c>
      <c r="AF1841" s="109" t="str">
        <f t="shared" si="760"/>
        <v>Y</v>
      </c>
      <c r="AG1841" s="109" t="str">
        <f t="shared" si="761"/>
        <v>B</v>
      </c>
      <c r="AM1841" s="109">
        <f t="shared" si="762"/>
        <v>0</v>
      </c>
      <c r="AN1841" s="109">
        <f t="shared" si="763"/>
        <v>0</v>
      </c>
      <c r="AO1841" s="109" t="str">
        <f t="shared" si="764"/>
        <v/>
      </c>
      <c r="AQ1841" s="109" t="str">
        <f t="shared" si="765"/>
        <v/>
      </c>
      <c r="BA1841" s="229">
        <f>MOD(SUM(E1821:E1842),12)</f>
        <v>0</v>
      </c>
    </row>
    <row r="1842" spans="1:53" ht="15.75" thickBot="1" x14ac:dyDescent="0.3">
      <c r="A1842" s="88"/>
      <c r="B1842" s="66" t="s">
        <v>299</v>
      </c>
      <c r="C1842" s="67"/>
      <c r="D1842" s="102"/>
      <c r="E1842" s="32"/>
      <c r="F1842" s="32"/>
      <c r="G1842" s="68" t="s">
        <v>277</v>
      </c>
      <c r="H1842" s="69">
        <f t="shared" si="766"/>
        <v>0</v>
      </c>
      <c r="I1842" s="70">
        <f t="shared" si="767"/>
        <v>0</v>
      </c>
      <c r="J1842" s="73" t="str">
        <f t="shared" si="768"/>
        <v>--</v>
      </c>
      <c r="K1842" s="32"/>
      <c r="L1842" s="233"/>
      <c r="M1842" s="277"/>
      <c r="N1842" s="277"/>
      <c r="O1842" s="277"/>
      <c r="P1842" s="277"/>
      <c r="Q1842" s="277"/>
      <c r="R1842" s="277"/>
      <c r="S1842" s="277"/>
      <c r="T1842" s="277"/>
      <c r="U1842" s="278"/>
      <c r="V1842" s="103"/>
      <c r="W1842" s="84">
        <f t="shared" si="773"/>
        <v>1</v>
      </c>
      <c r="X1842" s="84"/>
      <c r="Y1842" s="78">
        <f>SUM(E1821:E1842)</f>
        <v>0</v>
      </c>
      <c r="Z1842" s="72" t="str">
        <f t="shared" si="771"/>
        <v/>
      </c>
      <c r="AA1842" s="72" t="str">
        <f t="shared" si="772"/>
        <v/>
      </c>
      <c r="AB1842" s="72"/>
      <c r="AC1842" s="72">
        <f t="shared" si="757"/>
        <v>1</v>
      </c>
      <c r="AD1842" s="72">
        <f t="shared" si="758"/>
        <v>1</v>
      </c>
      <c r="AE1842" s="109" t="str">
        <f t="shared" si="759"/>
        <v>0-0</v>
      </c>
      <c r="AF1842" s="109" t="str">
        <f t="shared" si="760"/>
        <v>Y</v>
      </c>
      <c r="AG1842" s="109" t="str">
        <f t="shared" si="761"/>
        <v>B</v>
      </c>
      <c r="AM1842" s="109">
        <f t="shared" si="762"/>
        <v>0</v>
      </c>
      <c r="AN1842" s="109">
        <f t="shared" si="763"/>
        <v>0</v>
      </c>
      <c r="AO1842" s="109" t="str">
        <f t="shared" si="764"/>
        <v/>
      </c>
      <c r="AQ1842" s="109" t="str">
        <f t="shared" si="765"/>
        <v/>
      </c>
      <c r="BA1842" s="229">
        <f>MOD(SUM(E1821:E1843),12)</f>
        <v>0</v>
      </c>
    </row>
    <row r="1843" spans="1:53" ht="15.75" thickBot="1" x14ac:dyDescent="0.3">
      <c r="A1843" s="88"/>
      <c r="B1843" s="66" t="s">
        <v>300</v>
      </c>
      <c r="C1843" s="67"/>
      <c r="D1843" s="102"/>
      <c r="E1843" s="32"/>
      <c r="F1843" s="32"/>
      <c r="G1843" s="68" t="s">
        <v>277</v>
      </c>
      <c r="H1843" s="69">
        <f t="shared" si="766"/>
        <v>0</v>
      </c>
      <c r="I1843" s="70">
        <f t="shared" si="767"/>
        <v>0</v>
      </c>
      <c r="J1843" s="73" t="str">
        <f t="shared" si="768"/>
        <v>--</v>
      </c>
      <c r="K1843" s="32"/>
      <c r="L1843" s="233"/>
      <c r="M1843" s="277"/>
      <c r="N1843" s="277"/>
      <c r="O1843" s="277"/>
      <c r="P1843" s="277"/>
      <c r="Q1843" s="277"/>
      <c r="R1843" s="277"/>
      <c r="S1843" s="277"/>
      <c r="T1843" s="277"/>
      <c r="U1843" s="278"/>
      <c r="V1843" s="103"/>
      <c r="W1843" s="84">
        <f t="shared" si="773"/>
        <v>1</v>
      </c>
      <c r="X1843" s="84"/>
      <c r="Y1843" s="78">
        <f>SUM(E1821:E1843)</f>
        <v>0</v>
      </c>
      <c r="Z1843" s="72" t="str">
        <f t="shared" si="771"/>
        <v/>
      </c>
      <c r="AA1843" s="72" t="str">
        <f t="shared" si="772"/>
        <v/>
      </c>
      <c r="AB1843" s="72"/>
      <c r="AC1843" s="72">
        <f t="shared" si="757"/>
        <v>1</v>
      </c>
      <c r="AD1843" s="72">
        <f t="shared" si="758"/>
        <v>1</v>
      </c>
      <c r="AE1843" s="109" t="str">
        <f t="shared" si="759"/>
        <v>0-0</v>
      </c>
      <c r="AF1843" s="109" t="str">
        <f t="shared" si="760"/>
        <v>Y</v>
      </c>
      <c r="AG1843" s="109" t="str">
        <f t="shared" si="761"/>
        <v>B</v>
      </c>
      <c r="AM1843" s="109">
        <f t="shared" si="762"/>
        <v>0</v>
      </c>
      <c r="AN1843" s="109">
        <f t="shared" si="763"/>
        <v>0</v>
      </c>
      <c r="AO1843" s="109" t="str">
        <f t="shared" si="764"/>
        <v/>
      </c>
      <c r="AQ1843" s="109" t="str">
        <f t="shared" si="765"/>
        <v/>
      </c>
      <c r="BA1843" s="229">
        <f>MOD(SUM(E1821:E1844),12)</f>
        <v>0</v>
      </c>
    </row>
    <row r="1844" spans="1:53" ht="15.75" thickBot="1" x14ac:dyDescent="0.3">
      <c r="A1844" s="88"/>
      <c r="B1844" s="66" t="s">
        <v>301</v>
      </c>
      <c r="C1844" s="67"/>
      <c r="D1844" s="102"/>
      <c r="E1844" s="32"/>
      <c r="F1844" s="32"/>
      <c r="G1844" s="68" t="s">
        <v>277</v>
      </c>
      <c r="H1844" s="69">
        <f t="shared" si="766"/>
        <v>0</v>
      </c>
      <c r="I1844" s="70">
        <f t="shared" si="767"/>
        <v>0</v>
      </c>
      <c r="J1844" s="73" t="str">
        <f t="shared" si="768"/>
        <v>--</v>
      </c>
      <c r="K1844" s="32"/>
      <c r="L1844" s="233"/>
      <c r="M1844" s="277"/>
      <c r="N1844" s="277"/>
      <c r="O1844" s="277"/>
      <c r="P1844" s="277"/>
      <c r="Q1844" s="277"/>
      <c r="R1844" s="277"/>
      <c r="S1844" s="277"/>
      <c r="T1844" s="277"/>
      <c r="U1844" s="278"/>
      <c r="V1844" s="103"/>
      <c r="W1844" s="84">
        <f t="shared" si="773"/>
        <v>1</v>
      </c>
      <c r="X1844" s="84"/>
      <c r="Y1844" s="78">
        <f>SUM(E1821:E1844)</f>
        <v>0</v>
      </c>
      <c r="Z1844" s="72" t="str">
        <f t="shared" si="771"/>
        <v/>
      </c>
      <c r="AA1844" s="72" t="str">
        <f t="shared" si="772"/>
        <v/>
      </c>
      <c r="AB1844" s="72"/>
      <c r="AC1844" s="72">
        <f t="shared" si="757"/>
        <v>1</v>
      </c>
      <c r="AD1844" s="72">
        <f t="shared" si="758"/>
        <v>1</v>
      </c>
      <c r="AE1844" s="109" t="str">
        <f t="shared" si="759"/>
        <v>0-0</v>
      </c>
      <c r="AF1844" s="109" t="str">
        <f t="shared" si="760"/>
        <v>Y</v>
      </c>
      <c r="AG1844" s="109" t="str">
        <f t="shared" si="761"/>
        <v>B</v>
      </c>
      <c r="AM1844" s="109">
        <f t="shared" si="762"/>
        <v>0</v>
      </c>
      <c r="AN1844" s="109">
        <f t="shared" si="763"/>
        <v>0</v>
      </c>
      <c r="AO1844" s="109" t="str">
        <f t="shared" si="764"/>
        <v/>
      </c>
      <c r="AQ1844" s="109" t="str">
        <f t="shared" si="765"/>
        <v/>
      </c>
      <c r="BA1844" s="229">
        <f>MOD(SUM(E1821:E1845),12)</f>
        <v>0</v>
      </c>
    </row>
    <row r="1845" spans="1:53" ht="15.75" thickBot="1" x14ac:dyDescent="0.3">
      <c r="A1845" s="88"/>
      <c r="B1845" s="66" t="s">
        <v>302</v>
      </c>
      <c r="C1845" s="67"/>
      <c r="D1845" s="102"/>
      <c r="E1845" s="32"/>
      <c r="F1845" s="32"/>
      <c r="G1845" s="68" t="s">
        <v>277</v>
      </c>
      <c r="H1845" s="69">
        <f t="shared" si="766"/>
        <v>0</v>
      </c>
      <c r="I1845" s="70">
        <f t="shared" si="767"/>
        <v>0</v>
      </c>
      <c r="J1845" s="73" t="str">
        <f t="shared" si="768"/>
        <v>--</v>
      </c>
      <c r="K1845" s="32"/>
      <c r="L1845" s="234"/>
      <c r="M1845" s="277"/>
      <c r="N1845" s="277"/>
      <c r="O1845" s="277"/>
      <c r="P1845" s="277"/>
      <c r="Q1845" s="277"/>
      <c r="R1845" s="277"/>
      <c r="S1845" s="277"/>
      <c r="T1845" s="277"/>
      <c r="U1845" s="278"/>
      <c r="V1845" s="103"/>
      <c r="W1845" s="72"/>
      <c r="X1845" s="72"/>
      <c r="Y1845" s="78">
        <f>SUM(E1821:E1845)</f>
        <v>0</v>
      </c>
      <c r="Z1845" s="72" t="str">
        <f t="shared" si="771"/>
        <v/>
      </c>
      <c r="AA1845" s="72" t="str">
        <f t="shared" si="772"/>
        <v/>
      </c>
      <c r="AB1845" s="72"/>
      <c r="AC1845" s="72">
        <f t="shared" si="757"/>
        <v>1</v>
      </c>
      <c r="AD1845" s="72">
        <f t="shared" si="758"/>
        <v>1</v>
      </c>
      <c r="AE1845" s="109" t="str">
        <f t="shared" si="759"/>
        <v>0-0</v>
      </c>
      <c r="AF1845" s="109" t="str">
        <f t="shared" si="760"/>
        <v>Y</v>
      </c>
      <c r="AG1845" s="109" t="str">
        <f t="shared" si="761"/>
        <v>B</v>
      </c>
      <c r="AM1845" s="109">
        <f t="shared" si="762"/>
        <v>0</v>
      </c>
      <c r="AN1845" s="109">
        <f t="shared" si="763"/>
        <v>0</v>
      </c>
      <c r="AO1845" s="109" t="str">
        <f t="shared" si="764"/>
        <v/>
      </c>
      <c r="AQ1845" s="109" t="str">
        <f t="shared" si="765"/>
        <v/>
      </c>
      <c r="BA1845" s="228"/>
    </row>
    <row r="1846" spans="1:53" ht="16.5" thickBot="1" x14ac:dyDescent="0.3">
      <c r="A1846" s="88"/>
      <c r="B1846" s="319" t="s">
        <v>393</v>
      </c>
      <c r="C1846" s="320"/>
      <c r="D1846" s="79"/>
      <c r="E1846" s="80"/>
      <c r="F1846" s="80"/>
      <c r="G1846" s="81"/>
      <c r="H1846" s="192"/>
      <c r="I1846" s="192"/>
      <c r="J1846" s="192"/>
      <c r="K1846" s="82"/>
      <c r="L1846" s="319" t="s">
        <v>306</v>
      </c>
      <c r="M1846" s="330"/>
      <c r="N1846" s="330"/>
      <c r="O1846" s="330"/>
      <c r="P1846" s="330"/>
      <c r="Q1846" s="330"/>
      <c r="R1846" s="330"/>
      <c r="S1846" s="330"/>
      <c r="T1846" s="330"/>
      <c r="U1846" s="320"/>
      <c r="V1846" s="104"/>
      <c r="W1846" s="72"/>
      <c r="X1846" s="72"/>
      <c r="Y1846" s="72"/>
      <c r="Z1846" s="72"/>
      <c r="AA1846" s="72" t="str">
        <f t="shared" si="772"/>
        <v/>
      </c>
      <c r="AB1846" s="72"/>
      <c r="AC1846" s="72">
        <f>SUM(AC1821:AC1845)</f>
        <v>25</v>
      </c>
      <c r="AD1846" s="72">
        <f>SUM(AD1821:AD1845)</f>
        <v>25</v>
      </c>
      <c r="AE1846" s="109" t="str">
        <f t="shared" si="759"/>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319" t="s">
        <v>307</v>
      </c>
      <c r="C1847" s="320"/>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72"/>
        <v/>
      </c>
      <c r="AB1847" s="72"/>
      <c r="AC1847" s="72"/>
      <c r="AD1847" s="72"/>
      <c r="AE1847" s="109" t="str">
        <f t="shared" si="759"/>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312" t="s">
        <v>222</v>
      </c>
      <c r="C1851" s="313"/>
      <c r="D1851" s="314" t="s">
        <v>223</v>
      </c>
      <c r="E1851" s="305"/>
      <c r="F1851" s="88"/>
      <c r="G1851" s="315" t="s">
        <v>224</v>
      </c>
      <c r="H1851" s="316"/>
      <c r="I1851" s="28">
        <f>SUM(E1862:E1886)</f>
        <v>0</v>
      </c>
      <c r="J1851" s="317" t="s">
        <v>225</v>
      </c>
      <c r="K1851" s="318"/>
      <c r="L1851" s="305"/>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5" t="s">
        <v>226</v>
      </c>
      <c r="AA1851" s="296"/>
      <c r="AB1851" s="297"/>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4" t="s">
        <v>230</v>
      </c>
      <c r="H1852" s="305"/>
      <c r="I1852" s="33">
        <f>E1853-I1851</f>
        <v>0</v>
      </c>
      <c r="J1852" s="289" t="s">
        <v>231</v>
      </c>
      <c r="K1852" s="290"/>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298" t="s">
        <v>232</v>
      </c>
      <c r="AA1852" s="300" t="s">
        <v>233</v>
      </c>
      <c r="AB1852" s="301"/>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291" t="s">
        <v>237</v>
      </c>
      <c r="H1853" s="292"/>
      <c r="I1853" s="35">
        <f>IF(E1853=0,0,12-(MOD(I1851,12)))</f>
        <v>0</v>
      </c>
      <c r="J1853" s="289" t="s">
        <v>238</v>
      </c>
      <c r="K1853" s="290"/>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299"/>
      <c r="AA1853" s="302"/>
      <c r="AB1853" s="303"/>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321" t="s">
        <v>242</v>
      </c>
      <c r="H1854" s="43" t="s">
        <v>243</v>
      </c>
      <c r="I1854" s="35">
        <f>IF(E1854&lt;&gt;0,1,0)</f>
        <v>0</v>
      </c>
      <c r="J1854" s="291" t="s">
        <v>244</v>
      </c>
      <c r="K1854" s="292"/>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322"/>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321" t="s">
        <v>251</v>
      </c>
      <c r="H1856" s="51" t="s">
        <v>252</v>
      </c>
      <c r="I1856" s="112">
        <f>E1855</f>
        <v>0</v>
      </c>
      <c r="J1856" s="323" t="s">
        <v>253</v>
      </c>
      <c r="K1856" s="324"/>
      <c r="L1856" s="325"/>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322"/>
      <c r="H1857" s="47" t="s">
        <v>257</v>
      </c>
      <c r="I1857" s="35" t="str">
        <f>IF(E1855="","0",IF(AND(E1852="EUC",E1853=432), I1856+(203-E1854),IF(E1855=0,0,(E1855+(E1853-E1854)-1))))</f>
        <v>0</v>
      </c>
      <c r="J1857" s="285" t="str">
        <f>IFERROR(IF(OR(E1852="EUC",E1852="SS"),"---",IF(OR(P1851,S1851),"NO 2F Tethers for RPX!",IF(OR(P1853,S1853),"NO 6F Tethers for RPX!","---"))),"---")</f>
        <v>---</v>
      </c>
      <c r="K1857" s="286"/>
      <c r="L1857" s="287"/>
      <c r="M1857" s="285" t="str">
        <f>IF(E1854&gt;60,"Dead Count &gt;60: Consider Downsize","---")</f>
        <v>---</v>
      </c>
      <c r="N1857" s="286"/>
      <c r="O1857" s="286"/>
      <c r="P1857" s="286"/>
      <c r="Q1857" s="286"/>
      <c r="R1857" s="286"/>
      <c r="S1857" s="286"/>
      <c r="T1857" s="286"/>
      <c r="U1857" s="287"/>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85"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86"/>
      <c r="L1858" s="287"/>
      <c r="M1858" s="285" t="str">
        <f>IF(AND(OR(E1852="SS",E1852="RPX",E1852="EUC",E1852="RPX-T"),(OR(C1862="",C1862="Field SPL"))),"Cannot have FlexNap cables without tethers","---")</f>
        <v>---</v>
      </c>
      <c r="N1858" s="286"/>
      <c r="O1858" s="286"/>
      <c r="P1858" s="286"/>
      <c r="Q1858" s="286"/>
      <c r="R1858" s="286"/>
      <c r="S1858" s="286"/>
      <c r="T1858" s="286"/>
      <c r="U1858" s="287"/>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85" t="str">
        <f>IF(AND(OR(E1852="RPX", E1852="RPX-T", E1852="SS"),E1853=216),"NO 216 For RPX, RPX-T, OR SS CABLE","---")</f>
        <v>---</v>
      </c>
      <c r="K1859" s="286"/>
      <c r="L1859" s="287"/>
      <c r="M1859" s="285" t="str" cm="1">
        <f t="array" ref="M1859">IF(AND(E1852="",OR(C1862:C1886="FST",C1862:C1886="REV T",C1862:C1886="DBL REV",C1862:C1886="TPL REV", C1862:C1886="QD REV")),"Non-FlexNap cables cannot have tethers","---")</f>
        <v>---</v>
      </c>
      <c r="N1859" s="286"/>
      <c r="O1859" s="286"/>
      <c r="P1859" s="286"/>
      <c r="Q1859" s="286"/>
      <c r="R1859" s="286"/>
      <c r="S1859" s="286"/>
      <c r="T1859" s="286"/>
      <c r="U1859" s="287"/>
      <c r="V1859" s="25"/>
      <c r="W1859" s="58"/>
      <c r="X1859" s="58"/>
      <c r="Y1859" s="25"/>
      <c r="Z1859" s="45">
        <v>6</v>
      </c>
      <c r="AA1859" s="65">
        <v>61</v>
      </c>
      <c r="AB1859" s="65">
        <v>72</v>
      </c>
      <c r="AC1859" s="25"/>
      <c r="AD1859" s="25"/>
      <c r="BA1859" s="226"/>
    </row>
    <row r="1860" spans="1:53" ht="15.75" customHeight="1" thickBot="1" x14ac:dyDescent="0.3">
      <c r="A1860" s="88"/>
      <c r="B1860" s="321" t="s">
        <v>260</v>
      </c>
      <c r="C1860" s="293" t="s">
        <v>261</v>
      </c>
      <c r="D1860" s="293" t="s">
        <v>262</v>
      </c>
      <c r="E1860" s="306" t="s">
        <v>263</v>
      </c>
      <c r="F1860" s="293" t="s">
        <v>264</v>
      </c>
      <c r="G1860" s="308" t="s">
        <v>265</v>
      </c>
      <c r="H1860" s="308" t="s">
        <v>266</v>
      </c>
      <c r="I1860" s="308" t="s">
        <v>267</v>
      </c>
      <c r="J1860" s="310" t="s">
        <v>268</v>
      </c>
      <c r="K1860" s="293" t="s">
        <v>269</v>
      </c>
      <c r="L1860" s="279" t="s">
        <v>270</v>
      </c>
      <c r="M1860" s="281" t="s">
        <v>271</v>
      </c>
      <c r="N1860" s="281"/>
      <c r="O1860" s="281"/>
      <c r="P1860" s="281"/>
      <c r="Q1860" s="281"/>
      <c r="R1860" s="281"/>
      <c r="S1860" s="281"/>
      <c r="T1860" s="281"/>
      <c r="U1860" s="282"/>
      <c r="V1860" s="107"/>
      <c r="W1860" s="72"/>
      <c r="X1860" s="72"/>
      <c r="Y1860" s="72"/>
      <c r="Z1860" s="45">
        <v>7</v>
      </c>
      <c r="AA1860" s="65">
        <v>73</v>
      </c>
      <c r="AB1860" s="65">
        <v>84</v>
      </c>
      <c r="AC1860" s="25"/>
      <c r="AD1860" s="25"/>
      <c r="BA1860" s="228"/>
    </row>
    <row r="1861" spans="1:53" ht="15.75" thickBot="1" x14ac:dyDescent="0.3">
      <c r="A1861" s="88"/>
      <c r="B1861" s="322"/>
      <c r="C1861" s="294"/>
      <c r="D1861" s="294"/>
      <c r="E1861" s="307"/>
      <c r="F1861" s="294"/>
      <c r="G1861" s="309"/>
      <c r="H1861" s="309"/>
      <c r="I1861" s="309"/>
      <c r="J1861" s="311"/>
      <c r="K1861" s="294"/>
      <c r="L1861" s="280"/>
      <c r="M1861" s="283"/>
      <c r="N1861" s="283"/>
      <c r="O1861" s="283"/>
      <c r="P1861" s="283"/>
      <c r="Q1861" s="283"/>
      <c r="R1861" s="283"/>
      <c r="S1861" s="283"/>
      <c r="T1861" s="283"/>
      <c r="U1861" s="284"/>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77"/>
      <c r="N1862" s="277"/>
      <c r="O1862" s="277"/>
      <c r="P1862" s="277"/>
      <c r="Q1862" s="277"/>
      <c r="R1862" s="277"/>
      <c r="S1862" s="277"/>
      <c r="T1862" s="277"/>
      <c r="U1862" s="278"/>
      <c r="V1862" s="103"/>
      <c r="W1862" s="72"/>
      <c r="X1862" s="72"/>
      <c r="Y1862" s="72"/>
      <c r="Z1862" s="45">
        <v>9</v>
      </c>
      <c r="AA1862" s="46">
        <v>97</v>
      </c>
      <c r="AB1862" s="46">
        <v>108</v>
      </c>
      <c r="AC1862" s="72">
        <f t="shared" ref="AC1862:AC1886" si="774">IF(B1862&lt;&gt;"FST",1,0)</f>
        <v>1</v>
      </c>
      <c r="AD1862" s="72">
        <f t="shared" ref="AD1862:AD1886" si="775">IF(C1862&lt;&gt;"FST",1,0)</f>
        <v>1</v>
      </c>
      <c r="AE1862" s="109" t="str">
        <f t="shared" ref="AE1862:AE1888" si="776">CONCATENATE(H1862,"-",I1862)</f>
        <v>0-0</v>
      </c>
      <c r="AF1862" s="109" t="str">
        <f t="shared" ref="AF1862:AF1886" si="777">IF(C1862="Field SPL","N","Y")</f>
        <v>Y</v>
      </c>
      <c r="AG1862" s="109" t="str">
        <f t="shared" ref="AG1862:AG1886" si="778">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9">VALUE(IF(C1862="FST","0",IF(C1862="REV T","1",IF(C1862="DBL REV",".5","0"))))</f>
        <v>0</v>
      </c>
      <c r="AN1862" s="109">
        <f t="shared" ref="AN1862:AN1886" si="780">VALUE(IF(C1862="FST","0",IF(C1862="REV T","0",IF(C1862="DBL REV",".5","0"))))</f>
        <v>0</v>
      </c>
      <c r="AO1862" s="109" t="str">
        <f t="shared" ref="AO1862:AO1886" si="781">IF(C1862="TPL REV","Y","")</f>
        <v/>
      </c>
      <c r="AQ1862" s="109" t="str">
        <f t="shared" ref="AQ1862:AQ1886" si="782">IF(C1862="QD REV","Y","")</f>
        <v/>
      </c>
      <c r="BA1862" s="229">
        <f>MOD(E1862,12)</f>
        <v>0</v>
      </c>
    </row>
    <row r="1863" spans="1:53" ht="15.75" thickBot="1" x14ac:dyDescent="0.3">
      <c r="A1863" s="88"/>
      <c r="B1863" s="66" t="s">
        <v>279</v>
      </c>
      <c r="C1863" s="67"/>
      <c r="D1863" s="102"/>
      <c r="E1863" s="32"/>
      <c r="F1863" s="32"/>
      <c r="G1863" s="68" t="s">
        <v>277</v>
      </c>
      <c r="H1863" s="69">
        <f t="shared" ref="H1863:H1886" si="783">IF(E1863=0,0,I1863-(E1863-1))</f>
        <v>0</v>
      </c>
      <c r="I1863" s="70">
        <f t="shared" ref="I1863:I1886" si="784">IF(E1863=0,0,H1862-1)</f>
        <v>0</v>
      </c>
      <c r="J1863" s="73" t="str">
        <f>IF(C1863="","--",IF(AND(C1863&lt;&gt;"FST",C1863&lt;&gt;"TCF",BA1862&lt;&gt;0),BA1862,"--"))</f>
        <v>--</v>
      </c>
      <c r="K1863" s="32"/>
      <c r="L1863" s="233"/>
      <c r="M1863" s="277"/>
      <c r="N1863" s="277"/>
      <c r="O1863" s="277"/>
      <c r="P1863" s="277"/>
      <c r="Q1863" s="277"/>
      <c r="R1863" s="277"/>
      <c r="S1863" s="277"/>
      <c r="T1863" s="277"/>
      <c r="U1863" s="278"/>
      <c r="V1863" s="103"/>
      <c r="W1863" s="72"/>
      <c r="X1863" s="72"/>
      <c r="Y1863" s="72"/>
      <c r="Z1863" s="45">
        <v>10</v>
      </c>
      <c r="AA1863" s="46">
        <v>109</v>
      </c>
      <c r="AB1863" s="46">
        <v>120</v>
      </c>
      <c r="AC1863" s="72">
        <f t="shared" si="774"/>
        <v>1</v>
      </c>
      <c r="AD1863" s="72">
        <f t="shared" si="775"/>
        <v>1</v>
      </c>
      <c r="AE1863" s="109" t="str">
        <f t="shared" si="776"/>
        <v>0-0</v>
      </c>
      <c r="AF1863" s="109" t="str">
        <f t="shared" si="777"/>
        <v>Y</v>
      </c>
      <c r="AG1863" s="109" t="str">
        <f t="shared" si="778"/>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9"/>
        <v>0</v>
      </c>
      <c r="AN1863" s="109">
        <f t="shared" si="780"/>
        <v>0</v>
      </c>
      <c r="AO1863" s="109" t="str">
        <f t="shared" si="781"/>
        <v/>
      </c>
      <c r="AQ1863" s="109" t="str">
        <f t="shared" si="782"/>
        <v/>
      </c>
      <c r="BA1863" s="229">
        <f>MOD(SUM(E1862:E1863),12)</f>
        <v>0</v>
      </c>
    </row>
    <row r="1864" spans="1:53" ht="15.75" thickBot="1" x14ac:dyDescent="0.3">
      <c r="A1864" s="88"/>
      <c r="B1864" s="74" t="s">
        <v>280</v>
      </c>
      <c r="C1864" s="67"/>
      <c r="D1864" s="102"/>
      <c r="E1864" s="32"/>
      <c r="F1864" s="32"/>
      <c r="G1864" s="75" t="s">
        <v>277</v>
      </c>
      <c r="H1864" s="69">
        <f t="shared" si="783"/>
        <v>0</v>
      </c>
      <c r="I1864" s="70">
        <f t="shared" si="784"/>
        <v>0</v>
      </c>
      <c r="J1864" s="73" t="str">
        <f t="shared" ref="J1864:J1886" si="785">IF(C1864="","--",IF(AND(C1864&lt;&gt;"FST",C1864&lt;&gt;"TCF",BA1863&lt;&gt;0),BA1863,"--"))</f>
        <v>--</v>
      </c>
      <c r="K1864" s="32"/>
      <c r="L1864" s="233"/>
      <c r="M1864" s="277"/>
      <c r="N1864" s="277"/>
      <c r="O1864" s="277"/>
      <c r="P1864" s="277"/>
      <c r="Q1864" s="277"/>
      <c r="R1864" s="277"/>
      <c r="S1864" s="277"/>
      <c r="T1864" s="277"/>
      <c r="U1864" s="278"/>
      <c r="V1864" s="103"/>
      <c r="W1864" s="72"/>
      <c r="X1864" s="72"/>
      <c r="Y1864" s="72"/>
      <c r="Z1864" s="45">
        <v>11</v>
      </c>
      <c r="AA1864" s="46">
        <v>121</v>
      </c>
      <c r="AB1864" s="46">
        <v>132</v>
      </c>
      <c r="AC1864" s="72">
        <f t="shared" si="774"/>
        <v>1</v>
      </c>
      <c r="AD1864" s="72">
        <f t="shared" si="775"/>
        <v>1</v>
      </c>
      <c r="AE1864" s="109" t="str">
        <f t="shared" si="776"/>
        <v>0-0</v>
      </c>
      <c r="AF1864" s="109" t="str">
        <f t="shared" si="777"/>
        <v>Y</v>
      </c>
      <c r="AG1864" s="109" t="str">
        <f t="shared" si="778"/>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9"/>
        <v>0</v>
      </c>
      <c r="AN1864" s="109">
        <f t="shared" si="780"/>
        <v>0</v>
      </c>
      <c r="AO1864" s="109" t="str">
        <f t="shared" si="781"/>
        <v/>
      </c>
      <c r="AQ1864" s="109" t="str">
        <f t="shared" si="782"/>
        <v/>
      </c>
      <c r="BA1864" s="229">
        <f>MOD(SUM(E1862:E1865),12)</f>
        <v>0</v>
      </c>
    </row>
    <row r="1865" spans="1:53" ht="15.75" thickBot="1" x14ac:dyDescent="0.3">
      <c r="A1865" s="88"/>
      <c r="B1865" s="66" t="s">
        <v>281</v>
      </c>
      <c r="C1865" s="67"/>
      <c r="D1865" s="102"/>
      <c r="E1865" s="32"/>
      <c r="F1865" s="32"/>
      <c r="G1865" s="68" t="s">
        <v>277</v>
      </c>
      <c r="H1865" s="69">
        <f t="shared" si="783"/>
        <v>0</v>
      </c>
      <c r="I1865" s="70">
        <f t="shared" si="784"/>
        <v>0</v>
      </c>
      <c r="J1865" s="73" t="str">
        <f t="shared" si="785"/>
        <v>--</v>
      </c>
      <c r="K1865" s="32"/>
      <c r="L1865" s="233"/>
      <c r="M1865" s="277"/>
      <c r="N1865" s="277"/>
      <c r="O1865" s="277"/>
      <c r="P1865" s="277"/>
      <c r="Q1865" s="277"/>
      <c r="R1865" s="277"/>
      <c r="S1865" s="277"/>
      <c r="T1865" s="277"/>
      <c r="U1865" s="278"/>
      <c r="V1865" s="103"/>
      <c r="W1865" s="72"/>
      <c r="X1865" s="72"/>
      <c r="Y1865" s="72"/>
      <c r="Z1865" s="45">
        <v>12</v>
      </c>
      <c r="AA1865" s="76">
        <v>133</v>
      </c>
      <c r="AB1865" s="76">
        <v>144</v>
      </c>
      <c r="AC1865" s="72">
        <f t="shared" si="774"/>
        <v>1</v>
      </c>
      <c r="AD1865" s="72">
        <f t="shared" si="775"/>
        <v>1</v>
      </c>
      <c r="AE1865" s="109" t="str">
        <f t="shared" si="776"/>
        <v>0-0</v>
      </c>
      <c r="AF1865" s="109" t="str">
        <f t="shared" si="777"/>
        <v>Y</v>
      </c>
      <c r="AG1865" s="109" t="str">
        <f t="shared" si="778"/>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9"/>
        <v>0</v>
      </c>
      <c r="AN1865" s="109">
        <f t="shared" si="780"/>
        <v>0</v>
      </c>
      <c r="AO1865" s="109" t="str">
        <f t="shared" si="781"/>
        <v/>
      </c>
      <c r="AQ1865" s="109" t="str">
        <f t="shared" si="782"/>
        <v/>
      </c>
      <c r="BA1865" s="229">
        <f>MOD(SUM(E1862:E1866),12)</f>
        <v>0</v>
      </c>
    </row>
    <row r="1866" spans="1:53" ht="15.75" thickBot="1" x14ac:dyDescent="0.3">
      <c r="A1866" s="88"/>
      <c r="B1866" s="66" t="s">
        <v>282</v>
      </c>
      <c r="C1866" s="67"/>
      <c r="D1866" s="102"/>
      <c r="E1866" s="32"/>
      <c r="F1866" s="32"/>
      <c r="G1866" s="68" t="s">
        <v>277</v>
      </c>
      <c r="H1866" s="69">
        <f t="shared" si="783"/>
        <v>0</v>
      </c>
      <c r="I1866" s="70">
        <f t="shared" si="784"/>
        <v>0</v>
      </c>
      <c r="J1866" s="73" t="str">
        <f t="shared" si="785"/>
        <v>--</v>
      </c>
      <c r="K1866" s="32"/>
      <c r="L1866" s="233"/>
      <c r="M1866" s="277"/>
      <c r="N1866" s="277"/>
      <c r="O1866" s="277"/>
      <c r="P1866" s="277"/>
      <c r="Q1866" s="277"/>
      <c r="R1866" s="277"/>
      <c r="S1866" s="277"/>
      <c r="T1866" s="277"/>
      <c r="U1866" s="278"/>
      <c r="V1866" s="103"/>
      <c r="W1866" s="72"/>
      <c r="X1866" s="72"/>
      <c r="Y1866" s="72"/>
      <c r="Z1866" s="45">
        <v>13</v>
      </c>
      <c r="AA1866" s="77">
        <f t="shared" ref="AA1866:AA1871" si="786">AB1865+1</f>
        <v>145</v>
      </c>
      <c r="AB1866" s="77">
        <f t="shared" ref="AB1866:AB1871" si="787">AB1865+12</f>
        <v>156</v>
      </c>
      <c r="AC1866" s="72">
        <f t="shared" si="774"/>
        <v>1</v>
      </c>
      <c r="AD1866" s="72">
        <f t="shared" si="775"/>
        <v>1</v>
      </c>
      <c r="AE1866" s="109" t="str">
        <f t="shared" si="776"/>
        <v>0-0</v>
      </c>
      <c r="AF1866" s="109" t="str">
        <f t="shared" si="777"/>
        <v>Y</v>
      </c>
      <c r="AG1866" s="109" t="str">
        <f t="shared" si="778"/>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9"/>
        <v>0</v>
      </c>
      <c r="AN1866" s="109">
        <f t="shared" si="780"/>
        <v>0</v>
      </c>
      <c r="AO1866" s="109" t="str">
        <f t="shared" si="781"/>
        <v/>
      </c>
      <c r="AQ1866" s="109" t="str">
        <f t="shared" si="782"/>
        <v/>
      </c>
      <c r="BA1866" s="229">
        <f>MOD(SUM(E1862:E1867),12)</f>
        <v>0</v>
      </c>
    </row>
    <row r="1867" spans="1:53" ht="15.75" thickBot="1" x14ac:dyDescent="0.3">
      <c r="A1867" s="88"/>
      <c r="B1867" s="66" t="s">
        <v>283</v>
      </c>
      <c r="C1867" s="67"/>
      <c r="D1867" s="102"/>
      <c r="E1867" s="32"/>
      <c r="F1867" s="32"/>
      <c r="G1867" s="68" t="s">
        <v>277</v>
      </c>
      <c r="H1867" s="69">
        <f t="shared" si="783"/>
        <v>0</v>
      </c>
      <c r="I1867" s="70">
        <f t="shared" si="784"/>
        <v>0</v>
      </c>
      <c r="J1867" s="73" t="str">
        <f t="shared" si="785"/>
        <v>--</v>
      </c>
      <c r="K1867" s="32"/>
      <c r="L1867" s="233"/>
      <c r="M1867" s="277"/>
      <c r="N1867" s="277"/>
      <c r="O1867" s="277"/>
      <c r="P1867" s="277"/>
      <c r="Q1867" s="277"/>
      <c r="R1867" s="277"/>
      <c r="S1867" s="277"/>
      <c r="T1867" s="277"/>
      <c r="U1867" s="278"/>
      <c r="V1867" s="103"/>
      <c r="W1867" s="72"/>
      <c r="X1867" s="72"/>
      <c r="Y1867" s="72"/>
      <c r="Z1867" s="45">
        <v>14</v>
      </c>
      <c r="AA1867" s="77">
        <f t="shared" si="786"/>
        <v>157</v>
      </c>
      <c r="AB1867" s="77">
        <f t="shared" si="787"/>
        <v>168</v>
      </c>
      <c r="AC1867" s="72">
        <f t="shared" si="774"/>
        <v>1</v>
      </c>
      <c r="AD1867" s="72">
        <f t="shared" si="775"/>
        <v>1</v>
      </c>
      <c r="AE1867" s="109" t="str">
        <f t="shared" si="776"/>
        <v>0-0</v>
      </c>
      <c r="AF1867" s="109" t="str">
        <f t="shared" si="777"/>
        <v>Y</v>
      </c>
      <c r="AG1867" s="109" t="str">
        <f t="shared" si="778"/>
        <v>B</v>
      </c>
      <c r="AM1867" s="109">
        <f t="shared" si="779"/>
        <v>0</v>
      </c>
      <c r="AN1867" s="109">
        <f t="shared" si="780"/>
        <v>0</v>
      </c>
      <c r="AO1867" s="109" t="str">
        <f t="shared" si="781"/>
        <v/>
      </c>
      <c r="AQ1867" s="109" t="str">
        <f t="shared" si="782"/>
        <v/>
      </c>
      <c r="BA1867" s="229">
        <f>MOD(SUM(E1862:E1868),12)</f>
        <v>0</v>
      </c>
    </row>
    <row r="1868" spans="1:53" ht="15.75" thickBot="1" x14ac:dyDescent="0.3">
      <c r="A1868" s="88"/>
      <c r="B1868" s="66" t="s">
        <v>284</v>
      </c>
      <c r="C1868" s="67"/>
      <c r="D1868" s="102"/>
      <c r="E1868" s="32"/>
      <c r="F1868" s="32"/>
      <c r="G1868" s="68" t="s">
        <v>277</v>
      </c>
      <c r="H1868" s="69">
        <f t="shared" si="783"/>
        <v>0</v>
      </c>
      <c r="I1868" s="70">
        <f t="shared" si="784"/>
        <v>0</v>
      </c>
      <c r="J1868" s="73" t="str">
        <f t="shared" si="785"/>
        <v>--</v>
      </c>
      <c r="K1868" s="32"/>
      <c r="L1868" s="233"/>
      <c r="M1868" s="277"/>
      <c r="N1868" s="277"/>
      <c r="O1868" s="277"/>
      <c r="P1868" s="277"/>
      <c r="Q1868" s="277"/>
      <c r="R1868" s="277"/>
      <c r="S1868" s="277"/>
      <c r="T1868" s="277"/>
      <c r="U1868" s="278"/>
      <c r="V1868" s="103"/>
      <c r="W1868" s="72"/>
      <c r="X1868" s="72"/>
      <c r="Y1868" s="72"/>
      <c r="Z1868" s="45">
        <v>15</v>
      </c>
      <c r="AA1868" s="77">
        <f t="shared" si="786"/>
        <v>169</v>
      </c>
      <c r="AB1868" s="77">
        <f t="shared" si="787"/>
        <v>180</v>
      </c>
      <c r="AC1868" s="72">
        <f t="shared" si="774"/>
        <v>1</v>
      </c>
      <c r="AD1868" s="72">
        <f t="shared" si="775"/>
        <v>1</v>
      </c>
      <c r="AE1868" s="109" t="str">
        <f t="shared" si="776"/>
        <v>0-0</v>
      </c>
      <c r="AF1868" s="109" t="str">
        <f t="shared" si="777"/>
        <v>Y</v>
      </c>
      <c r="AG1868" s="109" t="str">
        <f t="shared" si="778"/>
        <v>B</v>
      </c>
      <c r="AM1868" s="109">
        <f t="shared" si="779"/>
        <v>0</v>
      </c>
      <c r="AN1868" s="109">
        <f t="shared" si="780"/>
        <v>0</v>
      </c>
      <c r="AO1868" s="109" t="str">
        <f t="shared" si="781"/>
        <v/>
      </c>
      <c r="AQ1868" s="109" t="str">
        <f t="shared" si="782"/>
        <v/>
      </c>
      <c r="BA1868" s="229">
        <f>MOD(SUM(E1862:E1869),12)</f>
        <v>0</v>
      </c>
    </row>
    <row r="1869" spans="1:53" ht="15.75" thickBot="1" x14ac:dyDescent="0.3">
      <c r="A1869" s="88"/>
      <c r="B1869" s="66" t="s">
        <v>285</v>
      </c>
      <c r="C1869" s="67"/>
      <c r="D1869" s="102"/>
      <c r="E1869" s="32"/>
      <c r="F1869" s="32"/>
      <c r="G1869" s="68" t="s">
        <v>277</v>
      </c>
      <c r="H1869" s="69">
        <f t="shared" si="783"/>
        <v>0</v>
      </c>
      <c r="I1869" s="70">
        <f t="shared" si="784"/>
        <v>0</v>
      </c>
      <c r="J1869" s="73" t="str">
        <f t="shared" si="785"/>
        <v>--</v>
      </c>
      <c r="K1869" s="32"/>
      <c r="L1869" s="233"/>
      <c r="M1869" s="277"/>
      <c r="N1869" s="277"/>
      <c r="O1869" s="277"/>
      <c r="P1869" s="277"/>
      <c r="Q1869" s="277"/>
      <c r="R1869" s="277"/>
      <c r="S1869" s="277"/>
      <c r="T1869" s="277"/>
      <c r="U1869" s="278"/>
      <c r="V1869" s="103"/>
      <c r="W1869" s="72"/>
      <c r="X1869" s="72"/>
      <c r="Y1869" s="72"/>
      <c r="Z1869" s="45">
        <f>Z1868+1</f>
        <v>16</v>
      </c>
      <c r="AA1869" s="77">
        <f t="shared" si="786"/>
        <v>181</v>
      </c>
      <c r="AB1869" s="77">
        <f t="shared" si="787"/>
        <v>192</v>
      </c>
      <c r="AC1869" s="72">
        <f t="shared" si="774"/>
        <v>1</v>
      </c>
      <c r="AD1869" s="72">
        <f t="shared" si="775"/>
        <v>1</v>
      </c>
      <c r="AE1869" s="109" t="str">
        <f t="shared" si="776"/>
        <v>0-0</v>
      </c>
      <c r="AF1869" s="109" t="str">
        <f t="shared" si="777"/>
        <v>Y</v>
      </c>
      <c r="AG1869" s="109" t="str">
        <f t="shared" si="778"/>
        <v>B</v>
      </c>
      <c r="AM1869" s="109">
        <f t="shared" si="779"/>
        <v>0</v>
      </c>
      <c r="AN1869" s="109">
        <f t="shared" si="780"/>
        <v>0</v>
      </c>
      <c r="AO1869" s="109" t="str">
        <f t="shared" si="781"/>
        <v/>
      </c>
      <c r="AQ1869" s="109" t="str">
        <f t="shared" si="782"/>
        <v/>
      </c>
      <c r="BA1869" s="229">
        <f>MOD(SUM(E1862:E1870),12)</f>
        <v>0</v>
      </c>
    </row>
    <row r="1870" spans="1:53" ht="15.75" thickBot="1" x14ac:dyDescent="0.3">
      <c r="A1870" s="88"/>
      <c r="B1870" s="66" t="s">
        <v>286</v>
      </c>
      <c r="C1870" s="67"/>
      <c r="D1870" s="102"/>
      <c r="E1870" s="32"/>
      <c r="F1870" s="32"/>
      <c r="G1870" s="68" t="s">
        <v>277</v>
      </c>
      <c r="H1870" s="69">
        <f t="shared" si="783"/>
        <v>0</v>
      </c>
      <c r="I1870" s="70">
        <f t="shared" si="784"/>
        <v>0</v>
      </c>
      <c r="J1870" s="73" t="str">
        <f t="shared" si="785"/>
        <v>--</v>
      </c>
      <c r="K1870" s="32"/>
      <c r="L1870" s="233"/>
      <c r="M1870" s="277"/>
      <c r="N1870" s="277"/>
      <c r="O1870" s="277"/>
      <c r="P1870" s="277"/>
      <c r="Q1870" s="277"/>
      <c r="R1870" s="277"/>
      <c r="S1870" s="277"/>
      <c r="T1870" s="277"/>
      <c r="U1870" s="278"/>
      <c r="V1870" s="103"/>
      <c r="W1870" s="72"/>
      <c r="X1870" s="72"/>
      <c r="Y1870" s="72"/>
      <c r="Z1870" s="45">
        <f>Z1869+1</f>
        <v>17</v>
      </c>
      <c r="AA1870" s="77">
        <f t="shared" si="786"/>
        <v>193</v>
      </c>
      <c r="AB1870" s="77">
        <f t="shared" si="787"/>
        <v>204</v>
      </c>
      <c r="AC1870" s="72">
        <f t="shared" si="774"/>
        <v>1</v>
      </c>
      <c r="AD1870" s="72">
        <f t="shared" si="775"/>
        <v>1</v>
      </c>
      <c r="AE1870" s="109" t="str">
        <f t="shared" si="776"/>
        <v>0-0</v>
      </c>
      <c r="AF1870" s="109" t="str">
        <f t="shared" si="777"/>
        <v>Y</v>
      </c>
      <c r="AG1870" s="109" t="str">
        <f t="shared" si="778"/>
        <v>B</v>
      </c>
      <c r="AM1870" s="109">
        <f t="shared" si="779"/>
        <v>0</v>
      </c>
      <c r="AN1870" s="109">
        <f t="shared" si="780"/>
        <v>0</v>
      </c>
      <c r="AO1870" s="109" t="str">
        <f t="shared" si="781"/>
        <v/>
      </c>
      <c r="AQ1870" s="109" t="str">
        <f t="shared" si="782"/>
        <v/>
      </c>
      <c r="BA1870" s="229">
        <f>MOD(SUM(E1862:E1871),12)</f>
        <v>0</v>
      </c>
    </row>
    <row r="1871" spans="1:53" ht="15.75" thickBot="1" x14ac:dyDescent="0.3">
      <c r="A1871" s="88"/>
      <c r="B1871" s="66" t="s">
        <v>287</v>
      </c>
      <c r="C1871" s="67"/>
      <c r="D1871" s="102"/>
      <c r="E1871" s="32"/>
      <c r="F1871" s="32"/>
      <c r="G1871" s="68" t="s">
        <v>277</v>
      </c>
      <c r="H1871" s="69">
        <f t="shared" si="783"/>
        <v>0</v>
      </c>
      <c r="I1871" s="70">
        <f t="shared" si="784"/>
        <v>0</v>
      </c>
      <c r="J1871" s="73" t="str">
        <f t="shared" si="785"/>
        <v>--</v>
      </c>
      <c r="K1871" s="32"/>
      <c r="L1871" s="233"/>
      <c r="M1871" s="277"/>
      <c r="N1871" s="277"/>
      <c r="O1871" s="277"/>
      <c r="P1871" s="277"/>
      <c r="Q1871" s="277"/>
      <c r="R1871" s="277"/>
      <c r="S1871" s="277"/>
      <c r="T1871" s="277"/>
      <c r="U1871" s="278"/>
      <c r="V1871" s="103"/>
      <c r="W1871" s="72"/>
      <c r="X1871" s="72"/>
      <c r="Y1871" s="72"/>
      <c r="Z1871" s="45">
        <f>Z1870+1</f>
        <v>18</v>
      </c>
      <c r="AA1871" s="77">
        <f t="shared" si="786"/>
        <v>205</v>
      </c>
      <c r="AB1871" s="77">
        <f t="shared" si="787"/>
        <v>216</v>
      </c>
      <c r="AC1871" s="72">
        <f t="shared" si="774"/>
        <v>1</v>
      </c>
      <c r="AD1871" s="72">
        <f t="shared" si="775"/>
        <v>1</v>
      </c>
      <c r="AE1871" s="109" t="str">
        <f t="shared" si="776"/>
        <v>0-0</v>
      </c>
      <c r="AF1871" s="109" t="str">
        <f t="shared" si="777"/>
        <v>Y</v>
      </c>
      <c r="AG1871" s="109" t="str">
        <f t="shared" si="778"/>
        <v>B</v>
      </c>
      <c r="AM1871" s="109">
        <f t="shared" si="779"/>
        <v>0</v>
      </c>
      <c r="AN1871" s="109">
        <f t="shared" si="780"/>
        <v>0</v>
      </c>
      <c r="AO1871" s="109" t="str">
        <f t="shared" si="781"/>
        <v/>
      </c>
      <c r="AQ1871" s="109" t="str">
        <f t="shared" si="782"/>
        <v/>
      </c>
      <c r="BA1871" s="229">
        <f>MOD(SUM(E1862:E1872),12)</f>
        <v>0</v>
      </c>
    </row>
    <row r="1872" spans="1:53" ht="15.75" thickBot="1" x14ac:dyDescent="0.3">
      <c r="A1872" s="88"/>
      <c r="B1872" s="66" t="s">
        <v>288</v>
      </c>
      <c r="C1872" s="67"/>
      <c r="D1872" s="102"/>
      <c r="E1872" s="32"/>
      <c r="F1872" s="32"/>
      <c r="G1872" s="68" t="s">
        <v>277</v>
      </c>
      <c r="H1872" s="69">
        <f t="shared" si="783"/>
        <v>0</v>
      </c>
      <c r="I1872" s="70">
        <f t="shared" si="784"/>
        <v>0</v>
      </c>
      <c r="J1872" s="73" t="str">
        <f t="shared" si="785"/>
        <v>--</v>
      </c>
      <c r="K1872" s="32"/>
      <c r="L1872" s="233"/>
      <c r="M1872" s="277"/>
      <c r="N1872" s="277"/>
      <c r="O1872" s="277"/>
      <c r="P1872" s="277"/>
      <c r="Q1872" s="277"/>
      <c r="R1872" s="277"/>
      <c r="S1872" s="277"/>
      <c r="T1872" s="277"/>
      <c r="U1872" s="278"/>
      <c r="V1872" s="103"/>
      <c r="W1872" s="84"/>
      <c r="X1872" s="84"/>
      <c r="Y1872" s="72"/>
      <c r="Z1872" s="72"/>
      <c r="AA1872" s="72"/>
      <c r="AB1872" s="72"/>
      <c r="AC1872" s="72">
        <f t="shared" si="774"/>
        <v>1</v>
      </c>
      <c r="AD1872" s="72">
        <f t="shared" si="775"/>
        <v>1</v>
      </c>
      <c r="AE1872" s="109" t="str">
        <f t="shared" si="776"/>
        <v>0-0</v>
      </c>
      <c r="AF1872" s="109" t="str">
        <f t="shared" si="777"/>
        <v>Y</v>
      </c>
      <c r="AG1872" s="109" t="str">
        <f t="shared" si="778"/>
        <v>B</v>
      </c>
      <c r="AM1872" s="109">
        <f t="shared" si="779"/>
        <v>0</v>
      </c>
      <c r="AN1872" s="109">
        <f t="shared" si="780"/>
        <v>0</v>
      </c>
      <c r="AO1872" s="109" t="str">
        <f t="shared" si="781"/>
        <v/>
      </c>
      <c r="AQ1872" s="109" t="str">
        <f t="shared" si="782"/>
        <v/>
      </c>
      <c r="BA1872" s="229">
        <f>MOD(SUM(E1862:E1873),12)</f>
        <v>0</v>
      </c>
    </row>
    <row r="1873" spans="1:53" ht="15.75" thickBot="1" x14ac:dyDescent="0.3">
      <c r="A1873" s="88"/>
      <c r="B1873" s="66" t="s">
        <v>289</v>
      </c>
      <c r="C1873" s="67"/>
      <c r="D1873" s="102"/>
      <c r="E1873" s="32"/>
      <c r="F1873" s="32"/>
      <c r="G1873" s="68" t="s">
        <v>277</v>
      </c>
      <c r="H1873" s="69">
        <f t="shared" si="783"/>
        <v>0</v>
      </c>
      <c r="I1873" s="70">
        <f t="shared" si="784"/>
        <v>0</v>
      </c>
      <c r="J1873" s="73" t="str">
        <f t="shared" si="785"/>
        <v>--</v>
      </c>
      <c r="K1873" s="32"/>
      <c r="L1873" s="233"/>
      <c r="M1873" s="277"/>
      <c r="N1873" s="277"/>
      <c r="O1873" s="277"/>
      <c r="P1873" s="277"/>
      <c r="Q1873" s="277"/>
      <c r="R1873" s="277"/>
      <c r="S1873" s="277"/>
      <c r="T1873" s="277"/>
      <c r="U1873" s="278"/>
      <c r="V1873" s="103"/>
      <c r="W1873" s="84">
        <f>Y1873+1</f>
        <v>1</v>
      </c>
      <c r="X1873" s="84"/>
      <c r="Y1873" s="78">
        <f>SUM(E1862:E1873)</f>
        <v>0</v>
      </c>
      <c r="Z1873" s="72"/>
      <c r="AA1873" s="72"/>
      <c r="AB1873" s="72"/>
      <c r="AC1873" s="72">
        <f t="shared" si="774"/>
        <v>1</v>
      </c>
      <c r="AD1873" s="72">
        <f t="shared" si="775"/>
        <v>1</v>
      </c>
      <c r="AE1873" s="109" t="str">
        <f t="shared" si="776"/>
        <v>0-0</v>
      </c>
      <c r="AF1873" s="109" t="str">
        <f t="shared" si="777"/>
        <v>Y</v>
      </c>
      <c r="AG1873" s="109" t="str">
        <f t="shared" si="778"/>
        <v>B</v>
      </c>
      <c r="AM1873" s="109">
        <f t="shared" si="779"/>
        <v>0</v>
      </c>
      <c r="AN1873" s="109">
        <f t="shared" si="780"/>
        <v>0</v>
      </c>
      <c r="AO1873" s="109" t="str">
        <f t="shared" si="781"/>
        <v/>
      </c>
      <c r="AQ1873" s="109" t="str">
        <f t="shared" si="782"/>
        <v/>
      </c>
      <c r="BA1873" s="229">
        <f>MOD(SUM(E1862:E1874),12)</f>
        <v>0</v>
      </c>
    </row>
    <row r="1874" spans="1:53" ht="15.75" thickBot="1" x14ac:dyDescent="0.3">
      <c r="A1874" s="88"/>
      <c r="B1874" s="66" t="s">
        <v>290</v>
      </c>
      <c r="C1874" s="67"/>
      <c r="D1874" s="102"/>
      <c r="E1874" s="32"/>
      <c r="F1874" s="32"/>
      <c r="G1874" s="68" t="s">
        <v>277</v>
      </c>
      <c r="H1874" s="69">
        <f t="shared" si="783"/>
        <v>0</v>
      </c>
      <c r="I1874" s="70">
        <f t="shared" si="784"/>
        <v>0</v>
      </c>
      <c r="J1874" s="73" t="str">
        <f t="shared" si="785"/>
        <v>--</v>
      </c>
      <c r="K1874" s="32"/>
      <c r="L1874" s="233"/>
      <c r="M1874" s="277"/>
      <c r="N1874" s="277"/>
      <c r="O1874" s="277"/>
      <c r="P1874" s="277"/>
      <c r="Q1874" s="277"/>
      <c r="R1874" s="277"/>
      <c r="S1874" s="277"/>
      <c r="T1874" s="277"/>
      <c r="U1874" s="278"/>
      <c r="V1874" s="103"/>
      <c r="W1874" s="84">
        <f>Y1874+1</f>
        <v>1</v>
      </c>
      <c r="X1874" s="84"/>
      <c r="Y1874" s="78">
        <f>SUM(E1862:E1874)</f>
        <v>0</v>
      </c>
      <c r="Z1874" s="72" t="str">
        <f t="shared" ref="Z1874:Z1886" si="788">IF(OR(AND(E$8=216,C1873="DBL REV",C1874="DBL REV",Y1873&lt;=144,Y1874&gt;144),AND(E$8=216,C1873="TPL REV",C1874="TPL REV",Y1873&lt;=144,Y1874&gt;144),AND(E$8=216,C1873="QD REV",C1874="QD REV",Y1873&lt;=144,Y1874&gt;144)),"ERROR","")</f>
        <v/>
      </c>
      <c r="AA1874" s="72"/>
      <c r="AB1874" s="72"/>
      <c r="AC1874" s="72">
        <f t="shared" si="774"/>
        <v>1</v>
      </c>
      <c r="AD1874" s="72">
        <f t="shared" si="775"/>
        <v>1</v>
      </c>
      <c r="AE1874" s="109" t="str">
        <f t="shared" si="776"/>
        <v>0-0</v>
      </c>
      <c r="AF1874" s="109" t="str">
        <f t="shared" si="777"/>
        <v>Y</v>
      </c>
      <c r="AG1874" s="109" t="str">
        <f t="shared" si="778"/>
        <v>B</v>
      </c>
      <c r="AM1874" s="109">
        <f t="shared" si="779"/>
        <v>0</v>
      </c>
      <c r="AN1874" s="109">
        <f t="shared" si="780"/>
        <v>0</v>
      </c>
      <c r="AO1874" s="109" t="str">
        <f t="shared" si="781"/>
        <v/>
      </c>
      <c r="AQ1874" s="109" t="str">
        <f t="shared" si="782"/>
        <v/>
      </c>
      <c r="BA1874" s="229">
        <f>MOD(SUM(E1862:E1875),12)</f>
        <v>0</v>
      </c>
    </row>
    <row r="1875" spans="1:53" ht="15.75" thickBot="1" x14ac:dyDescent="0.3">
      <c r="A1875" s="88"/>
      <c r="B1875" s="66" t="s">
        <v>291</v>
      </c>
      <c r="C1875" s="67"/>
      <c r="D1875" s="102"/>
      <c r="E1875" s="32"/>
      <c r="F1875" s="32"/>
      <c r="G1875" s="68" t="s">
        <v>277</v>
      </c>
      <c r="H1875" s="69">
        <f t="shared" si="783"/>
        <v>0</v>
      </c>
      <c r="I1875" s="70">
        <f t="shared" si="784"/>
        <v>0</v>
      </c>
      <c r="J1875" s="73" t="str">
        <f t="shared" si="785"/>
        <v>--</v>
      </c>
      <c r="K1875" s="32"/>
      <c r="L1875" s="233"/>
      <c r="M1875" s="277"/>
      <c r="N1875" s="277"/>
      <c r="O1875" s="277"/>
      <c r="P1875" s="277"/>
      <c r="Q1875" s="277"/>
      <c r="R1875" s="277"/>
      <c r="S1875" s="277"/>
      <c r="T1875" s="277"/>
      <c r="U1875" s="278"/>
      <c r="V1875" s="103"/>
      <c r="W1875" s="84">
        <f>Y1875+1</f>
        <v>1</v>
      </c>
      <c r="X1875" s="84"/>
      <c r="Y1875" s="78">
        <f>SUM(E1862:E1875)</f>
        <v>0</v>
      </c>
      <c r="Z1875" s="72" t="str">
        <f t="shared" si="788"/>
        <v/>
      </c>
      <c r="AA1875" s="72"/>
      <c r="AB1875" s="72"/>
      <c r="AC1875" s="72">
        <f t="shared" si="774"/>
        <v>1</v>
      </c>
      <c r="AD1875" s="72">
        <f t="shared" si="775"/>
        <v>1</v>
      </c>
      <c r="AE1875" s="109" t="str">
        <f t="shared" si="776"/>
        <v>0-0</v>
      </c>
      <c r="AF1875" s="109" t="str">
        <f t="shared" si="777"/>
        <v>Y</v>
      </c>
      <c r="AG1875" s="109" t="str">
        <f t="shared" si="778"/>
        <v>B</v>
      </c>
      <c r="AM1875" s="109">
        <f t="shared" si="779"/>
        <v>0</v>
      </c>
      <c r="AN1875" s="109">
        <f t="shared" si="780"/>
        <v>0</v>
      </c>
      <c r="AO1875" s="109" t="str">
        <f t="shared" si="781"/>
        <v/>
      </c>
      <c r="AQ1875" s="109" t="str">
        <f t="shared" si="782"/>
        <v/>
      </c>
      <c r="BA1875" s="229">
        <f>MOD(SUM(E1862:E1876),12)</f>
        <v>0</v>
      </c>
    </row>
    <row r="1876" spans="1:53" ht="15.75" thickBot="1" x14ac:dyDescent="0.3">
      <c r="A1876" s="88"/>
      <c r="B1876" s="66" t="s">
        <v>292</v>
      </c>
      <c r="C1876" s="67"/>
      <c r="D1876" s="102"/>
      <c r="E1876" s="32"/>
      <c r="F1876" s="32"/>
      <c r="G1876" s="68" t="s">
        <v>277</v>
      </c>
      <c r="H1876" s="69">
        <f t="shared" si="783"/>
        <v>0</v>
      </c>
      <c r="I1876" s="70">
        <f t="shared" si="784"/>
        <v>0</v>
      </c>
      <c r="J1876" s="73" t="str">
        <f t="shared" si="785"/>
        <v>--</v>
      </c>
      <c r="K1876" s="32"/>
      <c r="L1876" s="233"/>
      <c r="M1876" s="277"/>
      <c r="N1876" s="277"/>
      <c r="O1876" s="277"/>
      <c r="P1876" s="277"/>
      <c r="Q1876" s="277"/>
      <c r="R1876" s="277"/>
      <c r="S1876" s="277"/>
      <c r="T1876" s="277"/>
      <c r="U1876" s="278"/>
      <c r="V1876" s="103"/>
      <c r="W1876" s="84">
        <f>Y1876+1</f>
        <v>1</v>
      </c>
      <c r="X1876" s="84"/>
      <c r="Y1876" s="78">
        <f>SUM(E1862:E1876)</f>
        <v>0</v>
      </c>
      <c r="Z1876" s="72" t="str">
        <f t="shared" si="788"/>
        <v/>
      </c>
      <c r="AA1876" s="72" t="str">
        <f t="shared" ref="AA1876:AA1888" si="789">IF(AND(C1874&lt;&gt;"Field SPL",W1873&lt;=144,Y1874&gt;144),"ERROR","")</f>
        <v/>
      </c>
      <c r="AB1876" s="72"/>
      <c r="AC1876" s="72">
        <f t="shared" si="774"/>
        <v>1</v>
      </c>
      <c r="AD1876" s="72">
        <f t="shared" si="775"/>
        <v>1</v>
      </c>
      <c r="AE1876" s="109" t="str">
        <f t="shared" si="776"/>
        <v>0-0</v>
      </c>
      <c r="AF1876" s="109" t="str">
        <f t="shared" si="777"/>
        <v>Y</v>
      </c>
      <c r="AG1876" s="109" t="str">
        <f t="shared" si="778"/>
        <v>B</v>
      </c>
      <c r="AM1876" s="109">
        <f t="shared" si="779"/>
        <v>0</v>
      </c>
      <c r="AN1876" s="109">
        <f t="shared" si="780"/>
        <v>0</v>
      </c>
      <c r="AO1876" s="109" t="str">
        <f t="shared" si="781"/>
        <v/>
      </c>
      <c r="AQ1876" s="109" t="str">
        <f t="shared" si="782"/>
        <v/>
      </c>
      <c r="BA1876" s="229">
        <f>MOD(SUM(E1862:E1877),12)</f>
        <v>0</v>
      </c>
    </row>
    <row r="1877" spans="1:53" ht="15.75" thickBot="1" x14ac:dyDescent="0.3">
      <c r="A1877" s="88"/>
      <c r="B1877" s="66" t="s">
        <v>293</v>
      </c>
      <c r="C1877" s="67"/>
      <c r="D1877" s="102"/>
      <c r="E1877" s="32"/>
      <c r="F1877" s="32"/>
      <c r="G1877" s="68" t="s">
        <v>277</v>
      </c>
      <c r="H1877" s="69">
        <f t="shared" si="783"/>
        <v>0</v>
      </c>
      <c r="I1877" s="70">
        <f t="shared" si="784"/>
        <v>0</v>
      </c>
      <c r="J1877" s="73" t="str">
        <f t="shared" si="785"/>
        <v>--</v>
      </c>
      <c r="K1877" s="32"/>
      <c r="L1877" s="233"/>
      <c r="M1877" s="277"/>
      <c r="N1877" s="277"/>
      <c r="O1877" s="277"/>
      <c r="P1877" s="277"/>
      <c r="Q1877" s="277"/>
      <c r="R1877" s="277"/>
      <c r="S1877" s="277"/>
      <c r="T1877" s="277"/>
      <c r="U1877" s="278"/>
      <c r="V1877" s="103"/>
      <c r="W1877" s="84">
        <f t="shared" ref="W1877:W1885" si="790">Y1877+1</f>
        <v>1</v>
      </c>
      <c r="X1877" s="84"/>
      <c r="Y1877" s="78">
        <f>SUM(E1862:E1877)</f>
        <v>0</v>
      </c>
      <c r="Z1877" s="72" t="str">
        <f t="shared" si="788"/>
        <v/>
      </c>
      <c r="AA1877" s="72" t="str">
        <f t="shared" si="789"/>
        <v/>
      </c>
      <c r="AB1877" s="72"/>
      <c r="AC1877" s="72">
        <f t="shared" si="774"/>
        <v>1</v>
      </c>
      <c r="AD1877" s="72">
        <f t="shared" si="775"/>
        <v>1</v>
      </c>
      <c r="AE1877" s="109" t="str">
        <f t="shared" si="776"/>
        <v>0-0</v>
      </c>
      <c r="AF1877" s="109" t="str">
        <f t="shared" si="777"/>
        <v>Y</v>
      </c>
      <c r="AG1877" s="109" t="str">
        <f t="shared" si="778"/>
        <v>B</v>
      </c>
      <c r="AM1877" s="109">
        <f t="shared" si="779"/>
        <v>0</v>
      </c>
      <c r="AN1877" s="109">
        <f t="shared" si="780"/>
        <v>0</v>
      </c>
      <c r="AO1877" s="109" t="str">
        <f t="shared" si="781"/>
        <v/>
      </c>
      <c r="AQ1877" s="109" t="str">
        <f t="shared" si="782"/>
        <v/>
      </c>
      <c r="BA1877" s="229">
        <f>MOD(SUM(E1862:E1878),12)</f>
        <v>0</v>
      </c>
    </row>
    <row r="1878" spans="1:53" ht="15.75" thickBot="1" x14ac:dyDescent="0.3">
      <c r="A1878" s="88"/>
      <c r="B1878" s="66" t="s">
        <v>294</v>
      </c>
      <c r="C1878" s="67"/>
      <c r="D1878" s="102"/>
      <c r="E1878" s="32"/>
      <c r="F1878" s="32"/>
      <c r="G1878" s="68" t="s">
        <v>277</v>
      </c>
      <c r="H1878" s="69">
        <f t="shared" si="783"/>
        <v>0</v>
      </c>
      <c r="I1878" s="70">
        <f t="shared" si="784"/>
        <v>0</v>
      </c>
      <c r="J1878" s="73" t="str">
        <f t="shared" si="785"/>
        <v>--</v>
      </c>
      <c r="K1878" s="32"/>
      <c r="L1878" s="233"/>
      <c r="M1878" s="277"/>
      <c r="N1878" s="277"/>
      <c r="O1878" s="277"/>
      <c r="P1878" s="277"/>
      <c r="Q1878" s="277"/>
      <c r="R1878" s="277"/>
      <c r="S1878" s="277"/>
      <c r="T1878" s="277"/>
      <c r="U1878" s="278"/>
      <c r="V1878" s="103"/>
      <c r="W1878" s="84">
        <f t="shared" si="790"/>
        <v>1</v>
      </c>
      <c r="X1878" s="84"/>
      <c r="Y1878" s="78">
        <f>SUM(E1862:E1878)</f>
        <v>0</v>
      </c>
      <c r="Z1878" s="72" t="str">
        <f t="shared" si="788"/>
        <v/>
      </c>
      <c r="AA1878" s="72" t="str">
        <f t="shared" si="789"/>
        <v/>
      </c>
      <c r="AB1878" s="72"/>
      <c r="AC1878" s="72">
        <f t="shared" si="774"/>
        <v>1</v>
      </c>
      <c r="AD1878" s="72">
        <f t="shared" si="775"/>
        <v>1</v>
      </c>
      <c r="AE1878" s="109" t="str">
        <f t="shared" si="776"/>
        <v>0-0</v>
      </c>
      <c r="AF1878" s="109" t="str">
        <f t="shared" si="777"/>
        <v>Y</v>
      </c>
      <c r="AG1878" s="109" t="str">
        <f t="shared" si="778"/>
        <v>B</v>
      </c>
      <c r="AM1878" s="109">
        <f t="shared" si="779"/>
        <v>0</v>
      </c>
      <c r="AN1878" s="109">
        <f t="shared" si="780"/>
        <v>0</v>
      </c>
      <c r="AO1878" s="109" t="str">
        <f t="shared" si="781"/>
        <v/>
      </c>
      <c r="AQ1878" s="109" t="str">
        <f t="shared" si="782"/>
        <v/>
      </c>
      <c r="BA1878" s="229">
        <f>MOD(SUM(E1862:E1879),12)</f>
        <v>0</v>
      </c>
    </row>
    <row r="1879" spans="1:53" ht="15.75" thickBot="1" x14ac:dyDescent="0.3">
      <c r="A1879" s="88"/>
      <c r="B1879" s="66" t="s">
        <v>295</v>
      </c>
      <c r="C1879" s="67"/>
      <c r="D1879" s="102"/>
      <c r="E1879" s="32"/>
      <c r="F1879" s="32"/>
      <c r="G1879" s="68" t="s">
        <v>277</v>
      </c>
      <c r="H1879" s="69">
        <f t="shared" si="783"/>
        <v>0</v>
      </c>
      <c r="I1879" s="70">
        <f t="shared" si="784"/>
        <v>0</v>
      </c>
      <c r="J1879" s="73" t="str">
        <f t="shared" si="785"/>
        <v>--</v>
      </c>
      <c r="K1879" s="32"/>
      <c r="L1879" s="233"/>
      <c r="M1879" s="277"/>
      <c r="N1879" s="277"/>
      <c r="O1879" s="277"/>
      <c r="P1879" s="277"/>
      <c r="Q1879" s="277"/>
      <c r="R1879" s="277"/>
      <c r="S1879" s="277"/>
      <c r="T1879" s="277"/>
      <c r="U1879" s="278"/>
      <c r="V1879" s="103"/>
      <c r="W1879" s="84">
        <f t="shared" si="790"/>
        <v>1</v>
      </c>
      <c r="X1879" s="84"/>
      <c r="Y1879" s="78">
        <f>SUM(E1862:E1879)</f>
        <v>0</v>
      </c>
      <c r="Z1879" s="72" t="str">
        <f t="shared" si="788"/>
        <v/>
      </c>
      <c r="AA1879" s="72" t="str">
        <f t="shared" si="789"/>
        <v/>
      </c>
      <c r="AB1879" s="72"/>
      <c r="AC1879" s="72">
        <f t="shared" si="774"/>
        <v>1</v>
      </c>
      <c r="AD1879" s="72">
        <f t="shared" si="775"/>
        <v>1</v>
      </c>
      <c r="AE1879" s="109" t="str">
        <f t="shared" si="776"/>
        <v>0-0</v>
      </c>
      <c r="AF1879" s="109" t="str">
        <f t="shared" si="777"/>
        <v>Y</v>
      </c>
      <c r="AG1879" s="109" t="str">
        <f t="shared" si="778"/>
        <v>B</v>
      </c>
      <c r="AM1879" s="109">
        <f t="shared" si="779"/>
        <v>0</v>
      </c>
      <c r="AN1879" s="109">
        <f t="shared" si="780"/>
        <v>0</v>
      </c>
      <c r="AO1879" s="109" t="str">
        <f t="shared" si="781"/>
        <v/>
      </c>
      <c r="AQ1879" s="109" t="str">
        <f t="shared" si="782"/>
        <v/>
      </c>
      <c r="BA1879" s="229">
        <f>MOD(SUM(E1862:E1880),12)</f>
        <v>0</v>
      </c>
    </row>
    <row r="1880" spans="1:53" ht="15.75" thickBot="1" x14ac:dyDescent="0.3">
      <c r="A1880" s="88"/>
      <c r="B1880" s="66" t="s">
        <v>296</v>
      </c>
      <c r="C1880" s="67"/>
      <c r="D1880" s="102"/>
      <c r="E1880" s="32"/>
      <c r="F1880" s="32"/>
      <c r="G1880" s="68" t="s">
        <v>277</v>
      </c>
      <c r="H1880" s="69">
        <f t="shared" si="783"/>
        <v>0</v>
      </c>
      <c r="I1880" s="70">
        <f t="shared" si="784"/>
        <v>0</v>
      </c>
      <c r="J1880" s="73" t="str">
        <f t="shared" si="785"/>
        <v>--</v>
      </c>
      <c r="K1880" s="32"/>
      <c r="L1880" s="233"/>
      <c r="M1880" s="277"/>
      <c r="N1880" s="277"/>
      <c r="O1880" s="277"/>
      <c r="P1880" s="277"/>
      <c r="Q1880" s="277"/>
      <c r="R1880" s="277"/>
      <c r="S1880" s="277"/>
      <c r="T1880" s="277"/>
      <c r="U1880" s="278"/>
      <c r="V1880" s="103"/>
      <c r="W1880" s="84">
        <f t="shared" si="790"/>
        <v>1</v>
      </c>
      <c r="X1880" s="84"/>
      <c r="Y1880" s="78">
        <f>SUM(E1862:E1880)</f>
        <v>0</v>
      </c>
      <c r="Z1880" s="72" t="str">
        <f t="shared" si="788"/>
        <v/>
      </c>
      <c r="AA1880" s="72" t="str">
        <f t="shared" si="789"/>
        <v/>
      </c>
      <c r="AB1880" s="72"/>
      <c r="AC1880" s="72">
        <f t="shared" si="774"/>
        <v>1</v>
      </c>
      <c r="AD1880" s="72">
        <f t="shared" si="775"/>
        <v>1</v>
      </c>
      <c r="AE1880" s="109" t="str">
        <f t="shared" si="776"/>
        <v>0-0</v>
      </c>
      <c r="AF1880" s="109" t="str">
        <f t="shared" si="777"/>
        <v>Y</v>
      </c>
      <c r="AG1880" s="109" t="str">
        <f t="shared" si="778"/>
        <v>B</v>
      </c>
      <c r="AM1880" s="109">
        <f t="shared" si="779"/>
        <v>0</v>
      </c>
      <c r="AN1880" s="109">
        <f t="shared" si="780"/>
        <v>0</v>
      </c>
      <c r="AO1880" s="109" t="str">
        <f t="shared" si="781"/>
        <v/>
      </c>
      <c r="AQ1880" s="109" t="str">
        <f t="shared" si="782"/>
        <v/>
      </c>
      <c r="BA1880" s="229">
        <f>MOD(SUM(E1862:E1881),12)</f>
        <v>0</v>
      </c>
    </row>
    <row r="1881" spans="1:53" ht="15.75" thickBot="1" x14ac:dyDescent="0.3">
      <c r="A1881" s="88"/>
      <c r="B1881" s="66" t="s">
        <v>297</v>
      </c>
      <c r="C1881" s="67"/>
      <c r="D1881" s="102"/>
      <c r="E1881" s="32"/>
      <c r="F1881" s="32"/>
      <c r="G1881" s="68" t="s">
        <v>277</v>
      </c>
      <c r="H1881" s="69">
        <f t="shared" si="783"/>
        <v>0</v>
      </c>
      <c r="I1881" s="70">
        <f t="shared" si="784"/>
        <v>0</v>
      </c>
      <c r="J1881" s="73" t="str">
        <f t="shared" si="785"/>
        <v>--</v>
      </c>
      <c r="K1881" s="32"/>
      <c r="L1881" s="233"/>
      <c r="M1881" s="277"/>
      <c r="N1881" s="277"/>
      <c r="O1881" s="277"/>
      <c r="P1881" s="277"/>
      <c r="Q1881" s="277"/>
      <c r="R1881" s="277"/>
      <c r="S1881" s="277"/>
      <c r="T1881" s="277"/>
      <c r="U1881" s="278"/>
      <c r="V1881" s="103"/>
      <c r="W1881" s="84">
        <f t="shared" si="790"/>
        <v>1</v>
      </c>
      <c r="X1881" s="84"/>
      <c r="Y1881" s="78">
        <f>SUM(E1862:E1881)</f>
        <v>0</v>
      </c>
      <c r="Z1881" s="72" t="str">
        <f t="shared" si="788"/>
        <v/>
      </c>
      <c r="AA1881" s="72" t="str">
        <f t="shared" si="789"/>
        <v/>
      </c>
      <c r="AB1881" s="72"/>
      <c r="AC1881" s="72">
        <f t="shared" si="774"/>
        <v>1</v>
      </c>
      <c r="AD1881" s="72">
        <f t="shared" si="775"/>
        <v>1</v>
      </c>
      <c r="AE1881" s="109" t="str">
        <f t="shared" si="776"/>
        <v>0-0</v>
      </c>
      <c r="AF1881" s="109" t="str">
        <f t="shared" si="777"/>
        <v>Y</v>
      </c>
      <c r="AG1881" s="109" t="str">
        <f t="shared" si="778"/>
        <v>B</v>
      </c>
      <c r="AM1881" s="109">
        <f t="shared" si="779"/>
        <v>0</v>
      </c>
      <c r="AN1881" s="109">
        <f t="shared" si="780"/>
        <v>0</v>
      </c>
      <c r="AO1881" s="109" t="str">
        <f t="shared" si="781"/>
        <v/>
      </c>
      <c r="AQ1881" s="109" t="str">
        <f t="shared" si="782"/>
        <v/>
      </c>
      <c r="BA1881" s="229">
        <f>MOD(SUM(E1862:E1882),12)</f>
        <v>0</v>
      </c>
    </row>
    <row r="1882" spans="1:53" ht="15.75" thickBot="1" x14ac:dyDescent="0.3">
      <c r="A1882" s="88"/>
      <c r="B1882" s="66" t="s">
        <v>298</v>
      </c>
      <c r="C1882" s="67"/>
      <c r="D1882" s="102"/>
      <c r="E1882" s="32"/>
      <c r="F1882" s="32"/>
      <c r="G1882" s="68" t="s">
        <v>277</v>
      </c>
      <c r="H1882" s="69">
        <f t="shared" si="783"/>
        <v>0</v>
      </c>
      <c r="I1882" s="70">
        <f t="shared" si="784"/>
        <v>0</v>
      </c>
      <c r="J1882" s="73" t="str">
        <f t="shared" si="785"/>
        <v>--</v>
      </c>
      <c r="K1882" s="32"/>
      <c r="L1882" s="233"/>
      <c r="M1882" s="277"/>
      <c r="N1882" s="277"/>
      <c r="O1882" s="277"/>
      <c r="P1882" s="277"/>
      <c r="Q1882" s="277"/>
      <c r="R1882" s="277"/>
      <c r="S1882" s="277"/>
      <c r="T1882" s="277"/>
      <c r="U1882" s="278"/>
      <c r="V1882" s="103"/>
      <c r="W1882" s="84">
        <f t="shared" si="790"/>
        <v>1</v>
      </c>
      <c r="X1882" s="84"/>
      <c r="Y1882" s="78">
        <f>SUM(E1862:E1882)</f>
        <v>0</v>
      </c>
      <c r="Z1882" s="72" t="str">
        <f t="shared" si="788"/>
        <v/>
      </c>
      <c r="AA1882" s="72" t="str">
        <f t="shared" si="789"/>
        <v/>
      </c>
      <c r="AB1882" s="72"/>
      <c r="AC1882" s="72">
        <f t="shared" si="774"/>
        <v>1</v>
      </c>
      <c r="AD1882" s="72">
        <f t="shared" si="775"/>
        <v>1</v>
      </c>
      <c r="AE1882" s="109" t="str">
        <f t="shared" si="776"/>
        <v>0-0</v>
      </c>
      <c r="AF1882" s="109" t="str">
        <f t="shared" si="777"/>
        <v>Y</v>
      </c>
      <c r="AG1882" s="109" t="str">
        <f t="shared" si="778"/>
        <v>B</v>
      </c>
      <c r="AM1882" s="109">
        <f t="shared" si="779"/>
        <v>0</v>
      </c>
      <c r="AN1882" s="109">
        <f t="shared" si="780"/>
        <v>0</v>
      </c>
      <c r="AO1882" s="109" t="str">
        <f t="shared" si="781"/>
        <v/>
      </c>
      <c r="AQ1882" s="109" t="str">
        <f t="shared" si="782"/>
        <v/>
      </c>
      <c r="BA1882" s="229">
        <f>MOD(SUM(E1862:E1883),12)</f>
        <v>0</v>
      </c>
    </row>
    <row r="1883" spans="1:53" ht="15.75" thickBot="1" x14ac:dyDescent="0.3">
      <c r="A1883" s="88"/>
      <c r="B1883" s="66" t="s">
        <v>299</v>
      </c>
      <c r="C1883" s="67"/>
      <c r="D1883" s="102"/>
      <c r="E1883" s="32"/>
      <c r="F1883" s="32"/>
      <c r="G1883" s="68" t="s">
        <v>277</v>
      </c>
      <c r="H1883" s="69">
        <f t="shared" si="783"/>
        <v>0</v>
      </c>
      <c r="I1883" s="70">
        <f t="shared" si="784"/>
        <v>0</v>
      </c>
      <c r="J1883" s="73" t="str">
        <f t="shared" si="785"/>
        <v>--</v>
      </c>
      <c r="K1883" s="32"/>
      <c r="L1883" s="233"/>
      <c r="M1883" s="277"/>
      <c r="N1883" s="277"/>
      <c r="O1883" s="277"/>
      <c r="P1883" s="277"/>
      <c r="Q1883" s="277"/>
      <c r="R1883" s="277"/>
      <c r="S1883" s="277"/>
      <c r="T1883" s="277"/>
      <c r="U1883" s="278"/>
      <c r="V1883" s="103"/>
      <c r="W1883" s="84">
        <f t="shared" si="790"/>
        <v>1</v>
      </c>
      <c r="X1883" s="84"/>
      <c r="Y1883" s="78">
        <f>SUM(E1862:E1883)</f>
        <v>0</v>
      </c>
      <c r="Z1883" s="72" t="str">
        <f t="shared" si="788"/>
        <v/>
      </c>
      <c r="AA1883" s="72" t="str">
        <f t="shared" si="789"/>
        <v/>
      </c>
      <c r="AB1883" s="72"/>
      <c r="AC1883" s="72">
        <f t="shared" si="774"/>
        <v>1</v>
      </c>
      <c r="AD1883" s="72">
        <f t="shared" si="775"/>
        <v>1</v>
      </c>
      <c r="AE1883" s="109" t="str">
        <f t="shared" si="776"/>
        <v>0-0</v>
      </c>
      <c r="AF1883" s="109" t="str">
        <f t="shared" si="777"/>
        <v>Y</v>
      </c>
      <c r="AG1883" s="109" t="str">
        <f t="shared" si="778"/>
        <v>B</v>
      </c>
      <c r="AM1883" s="109">
        <f t="shared" si="779"/>
        <v>0</v>
      </c>
      <c r="AN1883" s="109">
        <f t="shared" si="780"/>
        <v>0</v>
      </c>
      <c r="AO1883" s="109" t="str">
        <f t="shared" si="781"/>
        <v/>
      </c>
      <c r="AQ1883" s="109" t="str">
        <f t="shared" si="782"/>
        <v/>
      </c>
      <c r="BA1883" s="229">
        <f>MOD(SUM(E1862:E1884),12)</f>
        <v>0</v>
      </c>
    </row>
    <row r="1884" spans="1:53" ht="15.75" thickBot="1" x14ac:dyDescent="0.3">
      <c r="A1884" s="88"/>
      <c r="B1884" s="66" t="s">
        <v>300</v>
      </c>
      <c r="C1884" s="67"/>
      <c r="D1884" s="102"/>
      <c r="E1884" s="32"/>
      <c r="F1884" s="32"/>
      <c r="G1884" s="68" t="s">
        <v>277</v>
      </c>
      <c r="H1884" s="69">
        <f t="shared" si="783"/>
        <v>0</v>
      </c>
      <c r="I1884" s="70">
        <f t="shared" si="784"/>
        <v>0</v>
      </c>
      <c r="J1884" s="73" t="str">
        <f t="shared" si="785"/>
        <v>--</v>
      </c>
      <c r="K1884" s="32"/>
      <c r="L1884" s="233"/>
      <c r="M1884" s="277"/>
      <c r="N1884" s="277"/>
      <c r="O1884" s="277"/>
      <c r="P1884" s="277"/>
      <c r="Q1884" s="277"/>
      <c r="R1884" s="277"/>
      <c r="S1884" s="277"/>
      <c r="T1884" s="277"/>
      <c r="U1884" s="278"/>
      <c r="V1884" s="103"/>
      <c r="W1884" s="84">
        <f t="shared" si="790"/>
        <v>1</v>
      </c>
      <c r="X1884" s="84"/>
      <c r="Y1884" s="78">
        <f>SUM(E1862:E1884)</f>
        <v>0</v>
      </c>
      <c r="Z1884" s="72" t="str">
        <f t="shared" si="788"/>
        <v/>
      </c>
      <c r="AA1884" s="72" t="str">
        <f t="shared" si="789"/>
        <v/>
      </c>
      <c r="AB1884" s="72"/>
      <c r="AC1884" s="72">
        <f t="shared" si="774"/>
        <v>1</v>
      </c>
      <c r="AD1884" s="72">
        <f t="shared" si="775"/>
        <v>1</v>
      </c>
      <c r="AE1884" s="109" t="str">
        <f t="shared" si="776"/>
        <v>0-0</v>
      </c>
      <c r="AF1884" s="109" t="str">
        <f t="shared" si="777"/>
        <v>Y</v>
      </c>
      <c r="AG1884" s="109" t="str">
        <f t="shared" si="778"/>
        <v>B</v>
      </c>
      <c r="AM1884" s="109">
        <f t="shared" si="779"/>
        <v>0</v>
      </c>
      <c r="AN1884" s="109">
        <f t="shared" si="780"/>
        <v>0</v>
      </c>
      <c r="AO1884" s="109" t="str">
        <f t="shared" si="781"/>
        <v/>
      </c>
      <c r="AQ1884" s="109" t="str">
        <f t="shared" si="782"/>
        <v/>
      </c>
      <c r="BA1884" s="229">
        <f>MOD(SUM(E1862:E1885),12)</f>
        <v>0</v>
      </c>
    </row>
    <row r="1885" spans="1:53" ht="15.75" thickBot="1" x14ac:dyDescent="0.3">
      <c r="A1885" s="88"/>
      <c r="B1885" s="66" t="s">
        <v>301</v>
      </c>
      <c r="C1885" s="67"/>
      <c r="D1885" s="102"/>
      <c r="E1885" s="32"/>
      <c r="F1885" s="32"/>
      <c r="G1885" s="68" t="s">
        <v>277</v>
      </c>
      <c r="H1885" s="69">
        <f t="shared" si="783"/>
        <v>0</v>
      </c>
      <c r="I1885" s="70">
        <f t="shared" si="784"/>
        <v>0</v>
      </c>
      <c r="J1885" s="73" t="str">
        <f t="shared" si="785"/>
        <v>--</v>
      </c>
      <c r="K1885" s="32"/>
      <c r="L1885" s="233"/>
      <c r="M1885" s="277"/>
      <c r="N1885" s="277"/>
      <c r="O1885" s="277"/>
      <c r="P1885" s="277"/>
      <c r="Q1885" s="277"/>
      <c r="R1885" s="277"/>
      <c r="S1885" s="277"/>
      <c r="T1885" s="277"/>
      <c r="U1885" s="278"/>
      <c r="V1885" s="103"/>
      <c r="W1885" s="84">
        <f t="shared" si="790"/>
        <v>1</v>
      </c>
      <c r="X1885" s="84"/>
      <c r="Y1885" s="78">
        <f>SUM(E1862:E1885)</f>
        <v>0</v>
      </c>
      <c r="Z1885" s="72" t="str">
        <f t="shared" si="788"/>
        <v/>
      </c>
      <c r="AA1885" s="72" t="str">
        <f t="shared" si="789"/>
        <v/>
      </c>
      <c r="AB1885" s="72"/>
      <c r="AC1885" s="72">
        <f t="shared" si="774"/>
        <v>1</v>
      </c>
      <c r="AD1885" s="72">
        <f t="shared" si="775"/>
        <v>1</v>
      </c>
      <c r="AE1885" s="109" t="str">
        <f t="shared" si="776"/>
        <v>0-0</v>
      </c>
      <c r="AF1885" s="109" t="str">
        <f t="shared" si="777"/>
        <v>Y</v>
      </c>
      <c r="AG1885" s="109" t="str">
        <f t="shared" si="778"/>
        <v>B</v>
      </c>
      <c r="AM1885" s="109">
        <f t="shared" si="779"/>
        <v>0</v>
      </c>
      <c r="AN1885" s="109">
        <f t="shared" si="780"/>
        <v>0</v>
      </c>
      <c r="AO1885" s="109" t="str">
        <f t="shared" si="781"/>
        <v/>
      </c>
      <c r="AQ1885" s="109" t="str">
        <f t="shared" si="782"/>
        <v/>
      </c>
      <c r="BA1885" s="229">
        <f>MOD(SUM(E1862:E1886),12)</f>
        <v>0</v>
      </c>
    </row>
    <row r="1886" spans="1:53" ht="15.75" thickBot="1" x14ac:dyDescent="0.3">
      <c r="A1886" s="88"/>
      <c r="B1886" s="66" t="s">
        <v>302</v>
      </c>
      <c r="C1886" s="67"/>
      <c r="D1886" s="102"/>
      <c r="E1886" s="32"/>
      <c r="F1886" s="32"/>
      <c r="G1886" s="68" t="s">
        <v>277</v>
      </c>
      <c r="H1886" s="69">
        <f t="shared" si="783"/>
        <v>0</v>
      </c>
      <c r="I1886" s="70">
        <f t="shared" si="784"/>
        <v>0</v>
      </c>
      <c r="J1886" s="73" t="str">
        <f t="shared" si="785"/>
        <v>--</v>
      </c>
      <c r="K1886" s="32"/>
      <c r="L1886" s="234"/>
      <c r="M1886" s="277"/>
      <c r="N1886" s="277"/>
      <c r="O1886" s="277"/>
      <c r="P1886" s="277"/>
      <c r="Q1886" s="277"/>
      <c r="R1886" s="277"/>
      <c r="S1886" s="277"/>
      <c r="T1886" s="277"/>
      <c r="U1886" s="278"/>
      <c r="V1886" s="103"/>
      <c r="W1886" s="72"/>
      <c r="X1886" s="72"/>
      <c r="Y1886" s="78">
        <f>SUM(E1862:E1886)</f>
        <v>0</v>
      </c>
      <c r="Z1886" s="72" t="str">
        <f t="shared" si="788"/>
        <v/>
      </c>
      <c r="AA1886" s="72" t="str">
        <f t="shared" si="789"/>
        <v/>
      </c>
      <c r="AB1886" s="72"/>
      <c r="AC1886" s="72">
        <f t="shared" si="774"/>
        <v>1</v>
      </c>
      <c r="AD1886" s="72">
        <f t="shared" si="775"/>
        <v>1</v>
      </c>
      <c r="AE1886" s="109" t="str">
        <f t="shared" si="776"/>
        <v>0-0</v>
      </c>
      <c r="AF1886" s="109" t="str">
        <f t="shared" si="777"/>
        <v>Y</v>
      </c>
      <c r="AG1886" s="109" t="str">
        <f t="shared" si="778"/>
        <v>B</v>
      </c>
      <c r="AM1886" s="109">
        <f t="shared" si="779"/>
        <v>0</v>
      </c>
      <c r="AN1886" s="109">
        <f t="shared" si="780"/>
        <v>0</v>
      </c>
      <c r="AO1886" s="109" t="str">
        <f t="shared" si="781"/>
        <v/>
      </c>
      <c r="AQ1886" s="109" t="str">
        <f t="shared" si="782"/>
        <v/>
      </c>
      <c r="BA1886" s="228"/>
    </row>
    <row r="1887" spans="1:53" ht="16.5" thickBot="1" x14ac:dyDescent="0.3">
      <c r="A1887" s="88"/>
      <c r="B1887" s="319" t="s">
        <v>395</v>
      </c>
      <c r="C1887" s="320"/>
      <c r="D1887" s="79"/>
      <c r="E1887" s="80"/>
      <c r="F1887" s="80"/>
      <c r="G1887" s="81"/>
      <c r="H1887" s="192"/>
      <c r="I1887" s="192"/>
      <c r="J1887" s="192"/>
      <c r="K1887" s="82"/>
      <c r="L1887" s="319" t="s">
        <v>306</v>
      </c>
      <c r="M1887" s="330"/>
      <c r="N1887" s="330"/>
      <c r="O1887" s="330"/>
      <c r="P1887" s="330"/>
      <c r="Q1887" s="330"/>
      <c r="R1887" s="330"/>
      <c r="S1887" s="330"/>
      <c r="T1887" s="330"/>
      <c r="U1887" s="320"/>
      <c r="V1887" s="104"/>
      <c r="W1887" s="72"/>
      <c r="X1887" s="72"/>
      <c r="Y1887" s="72"/>
      <c r="Z1887" s="72"/>
      <c r="AA1887" s="72" t="str">
        <f t="shared" si="789"/>
        <v/>
      </c>
      <c r="AB1887" s="72"/>
      <c r="AC1887" s="72">
        <f>SUM(AC1862:AC1886)</f>
        <v>25</v>
      </c>
      <c r="AD1887" s="72">
        <f>SUM(AD1862:AD1886)</f>
        <v>25</v>
      </c>
      <c r="AE1887" s="109" t="str">
        <f t="shared" si="776"/>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319" t="s">
        <v>307</v>
      </c>
      <c r="C1888" s="320"/>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9"/>
        <v/>
      </c>
      <c r="AB1888" s="72"/>
      <c r="AC1888" s="72"/>
      <c r="AD1888" s="72"/>
      <c r="AE1888" s="109" t="str">
        <f t="shared" si="776"/>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312" t="s">
        <v>222</v>
      </c>
      <c r="C1892" s="313"/>
      <c r="D1892" s="314" t="s">
        <v>223</v>
      </c>
      <c r="E1892" s="305"/>
      <c r="F1892" s="88"/>
      <c r="G1892" s="315" t="s">
        <v>224</v>
      </c>
      <c r="H1892" s="316"/>
      <c r="I1892" s="28">
        <f>SUM(E1903:E1927)</f>
        <v>0</v>
      </c>
      <c r="J1892" s="317" t="s">
        <v>225</v>
      </c>
      <c r="K1892" s="318"/>
      <c r="L1892" s="305"/>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5" t="s">
        <v>226</v>
      </c>
      <c r="AA1892" s="296"/>
      <c r="AB1892" s="297"/>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4" t="s">
        <v>230</v>
      </c>
      <c r="H1893" s="305"/>
      <c r="I1893" s="33">
        <f>E1894-I1892</f>
        <v>0</v>
      </c>
      <c r="J1893" s="289" t="s">
        <v>231</v>
      </c>
      <c r="K1893" s="290"/>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298" t="s">
        <v>232</v>
      </c>
      <c r="AA1893" s="300" t="s">
        <v>233</v>
      </c>
      <c r="AB1893" s="301"/>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291" t="s">
        <v>237</v>
      </c>
      <c r="H1894" s="292"/>
      <c r="I1894" s="35">
        <f>IF(E1894=0,0,12-(MOD(I1892,12)))</f>
        <v>0</v>
      </c>
      <c r="J1894" s="289" t="s">
        <v>238</v>
      </c>
      <c r="K1894" s="290"/>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299"/>
      <c r="AA1894" s="302"/>
      <c r="AB1894" s="303"/>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321" t="s">
        <v>242</v>
      </c>
      <c r="H1895" s="43" t="s">
        <v>243</v>
      </c>
      <c r="I1895" s="35">
        <f>IF(E1895&lt;&gt;0,1,0)</f>
        <v>0</v>
      </c>
      <c r="J1895" s="291" t="s">
        <v>244</v>
      </c>
      <c r="K1895" s="292"/>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322"/>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321" t="s">
        <v>251</v>
      </c>
      <c r="H1897" s="51" t="s">
        <v>252</v>
      </c>
      <c r="I1897" s="112">
        <f>E1896</f>
        <v>0</v>
      </c>
      <c r="J1897" s="323" t="s">
        <v>253</v>
      </c>
      <c r="K1897" s="324"/>
      <c r="L1897" s="325"/>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322"/>
      <c r="H1898" s="47" t="s">
        <v>257</v>
      </c>
      <c r="I1898" s="35" t="str">
        <f>IF(E1896="","0",IF(AND(E1893="EUC",E1894=432), I1897+(203-E1895),IF(E1896=0,0,(E1896+(E1894-E1895)-1))))</f>
        <v>0</v>
      </c>
      <c r="J1898" s="285" t="str">
        <f>IFERROR(IF(OR(E1893="EUC",E1893="SS"),"---",IF(OR(P1892,S1892),"NO 2F Tethers for RPX!",IF(OR(P1894,S1894),"NO 6F Tethers for RPX!","---"))),"---")</f>
        <v>---</v>
      </c>
      <c r="K1898" s="286"/>
      <c r="L1898" s="287"/>
      <c r="M1898" s="285" t="str">
        <f>IF(E1895&gt;60,"Dead Count &gt;60: Consider Downsize","---")</f>
        <v>---</v>
      </c>
      <c r="N1898" s="286"/>
      <c r="O1898" s="286"/>
      <c r="P1898" s="286"/>
      <c r="Q1898" s="286"/>
      <c r="R1898" s="286"/>
      <c r="S1898" s="286"/>
      <c r="T1898" s="286"/>
      <c r="U1898" s="287"/>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85"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86"/>
      <c r="L1899" s="287"/>
      <c r="M1899" s="285" t="str">
        <f>IF(AND(OR(E1893="SS",E1893="RPX",E1893="EUC",E1893="RPX-T"),(OR(C1903="",C1903="Field SPL"))),"Cannot have FlexNap cables without tethers","---")</f>
        <v>---</v>
      </c>
      <c r="N1899" s="286"/>
      <c r="O1899" s="286"/>
      <c r="P1899" s="286"/>
      <c r="Q1899" s="286"/>
      <c r="R1899" s="286"/>
      <c r="S1899" s="286"/>
      <c r="T1899" s="286"/>
      <c r="U1899" s="287"/>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85" t="str">
        <f>IF(AND(OR(E1893="RPX", E1893="RPX-T", E1893="SS"),E1894=216),"NO 216 For RPX, RPX-T, OR SS CABLE","---")</f>
        <v>---</v>
      </c>
      <c r="K1900" s="286"/>
      <c r="L1900" s="287"/>
      <c r="M1900" s="285" t="str" cm="1">
        <f t="array" ref="M1900">IF(AND(E1893="",OR(C1903:C1927="FST",C1903:C1927="REV T",C1903:C1927="DBL REV",C1903:C1927="TPL REV", C1903:C1927="QD REV")),"Non-FlexNap cables cannot have tethers","---")</f>
        <v>---</v>
      </c>
      <c r="N1900" s="286"/>
      <c r="O1900" s="286"/>
      <c r="P1900" s="286"/>
      <c r="Q1900" s="286"/>
      <c r="R1900" s="286"/>
      <c r="S1900" s="286"/>
      <c r="T1900" s="286"/>
      <c r="U1900" s="287"/>
      <c r="V1900" s="25"/>
      <c r="W1900" s="58"/>
      <c r="X1900" s="58"/>
      <c r="Y1900" s="25"/>
      <c r="Z1900" s="45">
        <v>6</v>
      </c>
      <c r="AA1900" s="65">
        <v>61</v>
      </c>
      <c r="AB1900" s="65">
        <v>72</v>
      </c>
      <c r="AC1900" s="25"/>
      <c r="AD1900" s="25"/>
      <c r="BA1900" s="226"/>
    </row>
    <row r="1901" spans="1:53" ht="15.75" customHeight="1" thickBot="1" x14ac:dyDescent="0.3">
      <c r="A1901" s="88"/>
      <c r="B1901" s="321" t="s">
        <v>260</v>
      </c>
      <c r="C1901" s="293" t="s">
        <v>261</v>
      </c>
      <c r="D1901" s="293" t="s">
        <v>262</v>
      </c>
      <c r="E1901" s="306" t="s">
        <v>263</v>
      </c>
      <c r="F1901" s="293" t="s">
        <v>264</v>
      </c>
      <c r="G1901" s="308" t="s">
        <v>265</v>
      </c>
      <c r="H1901" s="308" t="s">
        <v>266</v>
      </c>
      <c r="I1901" s="308" t="s">
        <v>267</v>
      </c>
      <c r="J1901" s="310" t="s">
        <v>268</v>
      </c>
      <c r="K1901" s="293" t="s">
        <v>269</v>
      </c>
      <c r="L1901" s="279" t="s">
        <v>270</v>
      </c>
      <c r="M1901" s="281" t="s">
        <v>271</v>
      </c>
      <c r="N1901" s="281"/>
      <c r="O1901" s="281"/>
      <c r="P1901" s="281"/>
      <c r="Q1901" s="281"/>
      <c r="R1901" s="281"/>
      <c r="S1901" s="281"/>
      <c r="T1901" s="281"/>
      <c r="U1901" s="282"/>
      <c r="V1901" s="107"/>
      <c r="W1901" s="72"/>
      <c r="X1901" s="72"/>
      <c r="Y1901" s="72"/>
      <c r="Z1901" s="45">
        <v>7</v>
      </c>
      <c r="AA1901" s="65">
        <v>73</v>
      </c>
      <c r="AB1901" s="65">
        <v>84</v>
      </c>
      <c r="AC1901" s="25"/>
      <c r="AD1901" s="25"/>
      <c r="BA1901" s="228"/>
    </row>
    <row r="1902" spans="1:53" ht="15.75" thickBot="1" x14ac:dyDescent="0.3">
      <c r="A1902" s="88"/>
      <c r="B1902" s="322"/>
      <c r="C1902" s="294"/>
      <c r="D1902" s="294"/>
      <c r="E1902" s="307"/>
      <c r="F1902" s="294"/>
      <c r="G1902" s="309"/>
      <c r="H1902" s="309"/>
      <c r="I1902" s="309"/>
      <c r="J1902" s="311"/>
      <c r="K1902" s="294"/>
      <c r="L1902" s="280"/>
      <c r="M1902" s="283"/>
      <c r="N1902" s="283"/>
      <c r="O1902" s="283"/>
      <c r="P1902" s="283"/>
      <c r="Q1902" s="283"/>
      <c r="R1902" s="283"/>
      <c r="S1902" s="283"/>
      <c r="T1902" s="283"/>
      <c r="U1902" s="284"/>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77"/>
      <c r="N1903" s="277"/>
      <c r="O1903" s="277"/>
      <c r="P1903" s="277"/>
      <c r="Q1903" s="277"/>
      <c r="R1903" s="277"/>
      <c r="S1903" s="277"/>
      <c r="T1903" s="277"/>
      <c r="U1903" s="278"/>
      <c r="V1903" s="103"/>
      <c r="W1903" s="72"/>
      <c r="X1903" s="72"/>
      <c r="Y1903" s="72"/>
      <c r="Z1903" s="45">
        <v>9</v>
      </c>
      <c r="AA1903" s="46">
        <v>97</v>
      </c>
      <c r="AB1903" s="46">
        <v>108</v>
      </c>
      <c r="AC1903" s="72">
        <f t="shared" ref="AC1903:AC1927" si="791">IF(B1903&lt;&gt;"FST",1,0)</f>
        <v>1</v>
      </c>
      <c r="AD1903" s="72">
        <f t="shared" ref="AD1903:AD1927" si="792">IF(C1903&lt;&gt;"FST",1,0)</f>
        <v>1</v>
      </c>
      <c r="AE1903" s="109" t="str">
        <f t="shared" ref="AE1903:AE1929" si="793">CONCATENATE(H1903,"-",I1903)</f>
        <v>0-0</v>
      </c>
      <c r="AF1903" s="109" t="str">
        <f t="shared" ref="AF1903:AF1927" si="794">IF(C1903="Field SPL","N","Y")</f>
        <v>Y</v>
      </c>
      <c r="AG1903" s="109" t="str">
        <f t="shared" ref="AG1903:AG1927" si="795">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96">VALUE(IF(C1903="FST","0",IF(C1903="REV T","1",IF(C1903="DBL REV",".5","0"))))</f>
        <v>0</v>
      </c>
      <c r="AN1903" s="109">
        <f t="shared" ref="AN1903:AN1927" si="797">VALUE(IF(C1903="FST","0",IF(C1903="REV T","0",IF(C1903="DBL REV",".5","0"))))</f>
        <v>0</v>
      </c>
      <c r="AO1903" s="109" t="str">
        <f t="shared" ref="AO1903:AO1927" si="798">IF(C1903="TPL REV","Y","")</f>
        <v/>
      </c>
      <c r="AQ1903" s="109" t="str">
        <f t="shared" ref="AQ1903:AQ1927" si="799">IF(C1903="QD REV","Y","")</f>
        <v/>
      </c>
      <c r="BA1903" s="229">
        <f>MOD(E1903,12)</f>
        <v>0</v>
      </c>
    </row>
    <row r="1904" spans="1:53" ht="15.75" thickBot="1" x14ac:dyDescent="0.3">
      <c r="A1904" s="88"/>
      <c r="B1904" s="66" t="s">
        <v>279</v>
      </c>
      <c r="C1904" s="67"/>
      <c r="D1904" s="102"/>
      <c r="E1904" s="32"/>
      <c r="F1904" s="32"/>
      <c r="G1904" s="68" t="s">
        <v>277</v>
      </c>
      <c r="H1904" s="69">
        <f t="shared" ref="H1904:H1927" si="800">IF(E1904=0,0,I1904-(E1904-1))</f>
        <v>0</v>
      </c>
      <c r="I1904" s="70">
        <f t="shared" ref="I1904:I1927" si="801">IF(E1904=0,0,H1903-1)</f>
        <v>0</v>
      </c>
      <c r="J1904" s="73" t="str">
        <f>IF(C1904="","--",IF(AND(C1904&lt;&gt;"FST",C1904&lt;&gt;"TCF",BA1903&lt;&gt;0),BA1903,"--"))</f>
        <v>--</v>
      </c>
      <c r="K1904" s="32"/>
      <c r="L1904" s="233"/>
      <c r="M1904" s="277"/>
      <c r="N1904" s="277"/>
      <c r="O1904" s="277"/>
      <c r="P1904" s="277"/>
      <c r="Q1904" s="277"/>
      <c r="R1904" s="277"/>
      <c r="S1904" s="277"/>
      <c r="T1904" s="277"/>
      <c r="U1904" s="278"/>
      <c r="V1904" s="103"/>
      <c r="W1904" s="72"/>
      <c r="X1904" s="72"/>
      <c r="Y1904" s="72"/>
      <c r="Z1904" s="45">
        <v>10</v>
      </c>
      <c r="AA1904" s="46">
        <v>109</v>
      </c>
      <c r="AB1904" s="46">
        <v>120</v>
      </c>
      <c r="AC1904" s="72">
        <f t="shared" si="791"/>
        <v>1</v>
      </c>
      <c r="AD1904" s="72">
        <f t="shared" si="792"/>
        <v>1</v>
      </c>
      <c r="AE1904" s="109" t="str">
        <f t="shared" si="793"/>
        <v>0-0</v>
      </c>
      <c r="AF1904" s="109" t="str">
        <f t="shared" si="794"/>
        <v>Y</v>
      </c>
      <c r="AG1904" s="109" t="str">
        <f t="shared" si="795"/>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96"/>
        <v>0</v>
      </c>
      <c r="AN1904" s="109">
        <f t="shared" si="797"/>
        <v>0</v>
      </c>
      <c r="AO1904" s="109" t="str">
        <f t="shared" si="798"/>
        <v/>
      </c>
      <c r="AQ1904" s="109" t="str">
        <f t="shared" si="799"/>
        <v/>
      </c>
      <c r="BA1904" s="229">
        <f>MOD(SUM(E1903:E1904),12)</f>
        <v>0</v>
      </c>
    </row>
    <row r="1905" spans="1:53" ht="15.75" thickBot="1" x14ac:dyDescent="0.3">
      <c r="A1905" s="88"/>
      <c r="B1905" s="74" t="s">
        <v>280</v>
      </c>
      <c r="C1905" s="67"/>
      <c r="D1905" s="102"/>
      <c r="E1905" s="32"/>
      <c r="F1905" s="32"/>
      <c r="G1905" s="75" t="s">
        <v>277</v>
      </c>
      <c r="H1905" s="69">
        <f t="shared" si="800"/>
        <v>0</v>
      </c>
      <c r="I1905" s="70">
        <f t="shared" si="801"/>
        <v>0</v>
      </c>
      <c r="J1905" s="73" t="str">
        <f t="shared" ref="J1905:J1927" si="802">IF(C1905="","--",IF(AND(C1905&lt;&gt;"FST",C1905&lt;&gt;"TCF",BA1904&lt;&gt;0),BA1904,"--"))</f>
        <v>--</v>
      </c>
      <c r="K1905" s="32"/>
      <c r="L1905" s="233"/>
      <c r="M1905" s="277"/>
      <c r="N1905" s="277"/>
      <c r="O1905" s="277"/>
      <c r="P1905" s="277"/>
      <c r="Q1905" s="277"/>
      <c r="R1905" s="277"/>
      <c r="S1905" s="277"/>
      <c r="T1905" s="277"/>
      <c r="U1905" s="278"/>
      <c r="V1905" s="103"/>
      <c r="W1905" s="72"/>
      <c r="X1905" s="72"/>
      <c r="Y1905" s="72"/>
      <c r="Z1905" s="45">
        <v>11</v>
      </c>
      <c r="AA1905" s="46">
        <v>121</v>
      </c>
      <c r="AB1905" s="46">
        <v>132</v>
      </c>
      <c r="AC1905" s="72">
        <f t="shared" si="791"/>
        <v>1</v>
      </c>
      <c r="AD1905" s="72">
        <f t="shared" si="792"/>
        <v>1</v>
      </c>
      <c r="AE1905" s="109" t="str">
        <f t="shared" si="793"/>
        <v>0-0</v>
      </c>
      <c r="AF1905" s="109" t="str">
        <f t="shared" si="794"/>
        <v>Y</v>
      </c>
      <c r="AG1905" s="109" t="str">
        <f t="shared" si="795"/>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96"/>
        <v>0</v>
      </c>
      <c r="AN1905" s="109">
        <f t="shared" si="797"/>
        <v>0</v>
      </c>
      <c r="AO1905" s="109" t="str">
        <f t="shared" si="798"/>
        <v/>
      </c>
      <c r="AQ1905" s="109" t="str">
        <f t="shared" si="799"/>
        <v/>
      </c>
      <c r="BA1905" s="229">
        <f>MOD(SUM(E1903:E1906),12)</f>
        <v>0</v>
      </c>
    </row>
    <row r="1906" spans="1:53" ht="15.75" thickBot="1" x14ac:dyDescent="0.3">
      <c r="A1906" s="88"/>
      <c r="B1906" s="66" t="s">
        <v>281</v>
      </c>
      <c r="C1906" s="67"/>
      <c r="D1906" s="102"/>
      <c r="E1906" s="32"/>
      <c r="F1906" s="32"/>
      <c r="G1906" s="68" t="s">
        <v>277</v>
      </c>
      <c r="H1906" s="69">
        <f t="shared" si="800"/>
        <v>0</v>
      </c>
      <c r="I1906" s="70">
        <f t="shared" si="801"/>
        <v>0</v>
      </c>
      <c r="J1906" s="73" t="str">
        <f t="shared" si="802"/>
        <v>--</v>
      </c>
      <c r="K1906" s="32"/>
      <c r="L1906" s="233"/>
      <c r="M1906" s="277"/>
      <c r="N1906" s="277"/>
      <c r="O1906" s="277"/>
      <c r="P1906" s="277"/>
      <c r="Q1906" s="277"/>
      <c r="R1906" s="277"/>
      <c r="S1906" s="277"/>
      <c r="T1906" s="277"/>
      <c r="U1906" s="278"/>
      <c r="V1906" s="103"/>
      <c r="W1906" s="72"/>
      <c r="X1906" s="72"/>
      <c r="Y1906" s="72"/>
      <c r="Z1906" s="45">
        <v>12</v>
      </c>
      <c r="AA1906" s="76">
        <v>133</v>
      </c>
      <c r="AB1906" s="76">
        <v>144</v>
      </c>
      <c r="AC1906" s="72">
        <f t="shared" si="791"/>
        <v>1</v>
      </c>
      <c r="AD1906" s="72">
        <f t="shared" si="792"/>
        <v>1</v>
      </c>
      <c r="AE1906" s="109" t="str">
        <f t="shared" si="793"/>
        <v>0-0</v>
      </c>
      <c r="AF1906" s="109" t="str">
        <f t="shared" si="794"/>
        <v>Y</v>
      </c>
      <c r="AG1906" s="109" t="str">
        <f t="shared" si="795"/>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96"/>
        <v>0</v>
      </c>
      <c r="AN1906" s="109">
        <f t="shared" si="797"/>
        <v>0</v>
      </c>
      <c r="AO1906" s="109" t="str">
        <f t="shared" si="798"/>
        <v/>
      </c>
      <c r="AQ1906" s="109" t="str">
        <f t="shared" si="799"/>
        <v/>
      </c>
      <c r="BA1906" s="229">
        <f>MOD(SUM(E1903:E1907),12)</f>
        <v>0</v>
      </c>
    </row>
    <row r="1907" spans="1:53" ht="15.75" thickBot="1" x14ac:dyDescent="0.3">
      <c r="A1907" s="88"/>
      <c r="B1907" s="66" t="s">
        <v>282</v>
      </c>
      <c r="C1907" s="67"/>
      <c r="D1907" s="102"/>
      <c r="E1907" s="32"/>
      <c r="F1907" s="32"/>
      <c r="G1907" s="68" t="s">
        <v>277</v>
      </c>
      <c r="H1907" s="69">
        <f t="shared" si="800"/>
        <v>0</v>
      </c>
      <c r="I1907" s="70">
        <f t="shared" si="801"/>
        <v>0</v>
      </c>
      <c r="J1907" s="73" t="str">
        <f t="shared" si="802"/>
        <v>--</v>
      </c>
      <c r="K1907" s="32"/>
      <c r="L1907" s="233"/>
      <c r="M1907" s="277"/>
      <c r="N1907" s="277"/>
      <c r="O1907" s="277"/>
      <c r="P1907" s="277"/>
      <c r="Q1907" s="277"/>
      <c r="R1907" s="277"/>
      <c r="S1907" s="277"/>
      <c r="T1907" s="277"/>
      <c r="U1907" s="278"/>
      <c r="V1907" s="103"/>
      <c r="W1907" s="72"/>
      <c r="X1907" s="72"/>
      <c r="Y1907" s="72"/>
      <c r="Z1907" s="45">
        <v>13</v>
      </c>
      <c r="AA1907" s="77">
        <f t="shared" ref="AA1907:AA1912" si="803">AB1906+1</f>
        <v>145</v>
      </c>
      <c r="AB1907" s="77">
        <f t="shared" ref="AB1907:AB1912" si="804">AB1906+12</f>
        <v>156</v>
      </c>
      <c r="AC1907" s="72">
        <f t="shared" si="791"/>
        <v>1</v>
      </c>
      <c r="AD1907" s="72">
        <f t="shared" si="792"/>
        <v>1</v>
      </c>
      <c r="AE1907" s="109" t="str">
        <f t="shared" si="793"/>
        <v>0-0</v>
      </c>
      <c r="AF1907" s="109" t="str">
        <f t="shared" si="794"/>
        <v>Y</v>
      </c>
      <c r="AG1907" s="109" t="str">
        <f t="shared" si="795"/>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96"/>
        <v>0</v>
      </c>
      <c r="AN1907" s="109">
        <f t="shared" si="797"/>
        <v>0</v>
      </c>
      <c r="AO1907" s="109" t="str">
        <f t="shared" si="798"/>
        <v/>
      </c>
      <c r="AQ1907" s="109" t="str">
        <f t="shared" si="799"/>
        <v/>
      </c>
      <c r="BA1907" s="229">
        <f>MOD(SUM(E1903:E1908),12)</f>
        <v>0</v>
      </c>
    </row>
    <row r="1908" spans="1:53" ht="15.75" thickBot="1" x14ac:dyDescent="0.3">
      <c r="A1908" s="88"/>
      <c r="B1908" s="66" t="s">
        <v>283</v>
      </c>
      <c r="C1908" s="67"/>
      <c r="D1908" s="102"/>
      <c r="E1908" s="32"/>
      <c r="F1908" s="32"/>
      <c r="G1908" s="68" t="s">
        <v>277</v>
      </c>
      <c r="H1908" s="69">
        <f t="shared" si="800"/>
        <v>0</v>
      </c>
      <c r="I1908" s="70">
        <f t="shared" si="801"/>
        <v>0</v>
      </c>
      <c r="J1908" s="73" t="str">
        <f t="shared" si="802"/>
        <v>--</v>
      </c>
      <c r="K1908" s="32"/>
      <c r="L1908" s="233"/>
      <c r="M1908" s="277"/>
      <c r="N1908" s="277"/>
      <c r="O1908" s="277"/>
      <c r="P1908" s="277"/>
      <c r="Q1908" s="277"/>
      <c r="R1908" s="277"/>
      <c r="S1908" s="277"/>
      <c r="T1908" s="277"/>
      <c r="U1908" s="278"/>
      <c r="V1908" s="103"/>
      <c r="W1908" s="72"/>
      <c r="X1908" s="72"/>
      <c r="Y1908" s="72"/>
      <c r="Z1908" s="45">
        <v>14</v>
      </c>
      <c r="AA1908" s="77">
        <f t="shared" si="803"/>
        <v>157</v>
      </c>
      <c r="AB1908" s="77">
        <f t="shared" si="804"/>
        <v>168</v>
      </c>
      <c r="AC1908" s="72">
        <f t="shared" si="791"/>
        <v>1</v>
      </c>
      <c r="AD1908" s="72">
        <f t="shared" si="792"/>
        <v>1</v>
      </c>
      <c r="AE1908" s="109" t="str">
        <f t="shared" si="793"/>
        <v>0-0</v>
      </c>
      <c r="AF1908" s="109" t="str">
        <f t="shared" si="794"/>
        <v>Y</v>
      </c>
      <c r="AG1908" s="109" t="str">
        <f t="shared" si="795"/>
        <v>B</v>
      </c>
      <c r="AM1908" s="109">
        <f t="shared" si="796"/>
        <v>0</v>
      </c>
      <c r="AN1908" s="109">
        <f t="shared" si="797"/>
        <v>0</v>
      </c>
      <c r="AO1908" s="109" t="str">
        <f t="shared" si="798"/>
        <v/>
      </c>
      <c r="AQ1908" s="109" t="str">
        <f t="shared" si="799"/>
        <v/>
      </c>
      <c r="BA1908" s="229">
        <f>MOD(SUM(E1903:E1909),12)</f>
        <v>0</v>
      </c>
    </row>
    <row r="1909" spans="1:53" ht="15.75" thickBot="1" x14ac:dyDescent="0.3">
      <c r="A1909" s="88"/>
      <c r="B1909" s="66" t="s">
        <v>284</v>
      </c>
      <c r="C1909" s="67"/>
      <c r="D1909" s="102"/>
      <c r="E1909" s="32"/>
      <c r="F1909" s="32"/>
      <c r="G1909" s="68" t="s">
        <v>277</v>
      </c>
      <c r="H1909" s="69">
        <f t="shared" si="800"/>
        <v>0</v>
      </c>
      <c r="I1909" s="70">
        <f t="shared" si="801"/>
        <v>0</v>
      </c>
      <c r="J1909" s="73" t="str">
        <f t="shared" si="802"/>
        <v>--</v>
      </c>
      <c r="K1909" s="32"/>
      <c r="L1909" s="233"/>
      <c r="M1909" s="277"/>
      <c r="N1909" s="277"/>
      <c r="O1909" s="277"/>
      <c r="P1909" s="277"/>
      <c r="Q1909" s="277"/>
      <c r="R1909" s="277"/>
      <c r="S1909" s="277"/>
      <c r="T1909" s="277"/>
      <c r="U1909" s="278"/>
      <c r="V1909" s="103"/>
      <c r="W1909" s="72"/>
      <c r="X1909" s="72"/>
      <c r="Y1909" s="72"/>
      <c r="Z1909" s="45">
        <v>15</v>
      </c>
      <c r="AA1909" s="77">
        <f t="shared" si="803"/>
        <v>169</v>
      </c>
      <c r="AB1909" s="77">
        <f t="shared" si="804"/>
        <v>180</v>
      </c>
      <c r="AC1909" s="72">
        <f t="shared" si="791"/>
        <v>1</v>
      </c>
      <c r="AD1909" s="72">
        <f t="shared" si="792"/>
        <v>1</v>
      </c>
      <c r="AE1909" s="109" t="str">
        <f t="shared" si="793"/>
        <v>0-0</v>
      </c>
      <c r="AF1909" s="109" t="str">
        <f t="shared" si="794"/>
        <v>Y</v>
      </c>
      <c r="AG1909" s="109" t="str">
        <f t="shared" si="795"/>
        <v>B</v>
      </c>
      <c r="AM1909" s="109">
        <f t="shared" si="796"/>
        <v>0</v>
      </c>
      <c r="AN1909" s="109">
        <f t="shared" si="797"/>
        <v>0</v>
      </c>
      <c r="AO1909" s="109" t="str">
        <f t="shared" si="798"/>
        <v/>
      </c>
      <c r="AQ1909" s="109" t="str">
        <f t="shared" si="799"/>
        <v/>
      </c>
      <c r="BA1909" s="229">
        <f>MOD(SUM(E1903:E1910),12)</f>
        <v>0</v>
      </c>
    </row>
    <row r="1910" spans="1:53" ht="15.75" thickBot="1" x14ac:dyDescent="0.3">
      <c r="A1910" s="88"/>
      <c r="B1910" s="66" t="s">
        <v>285</v>
      </c>
      <c r="C1910" s="67"/>
      <c r="D1910" s="102"/>
      <c r="E1910" s="32"/>
      <c r="F1910" s="32"/>
      <c r="G1910" s="68" t="s">
        <v>277</v>
      </c>
      <c r="H1910" s="69">
        <f t="shared" si="800"/>
        <v>0</v>
      </c>
      <c r="I1910" s="70">
        <f t="shared" si="801"/>
        <v>0</v>
      </c>
      <c r="J1910" s="73" t="str">
        <f t="shared" si="802"/>
        <v>--</v>
      </c>
      <c r="K1910" s="32"/>
      <c r="L1910" s="233"/>
      <c r="M1910" s="277"/>
      <c r="N1910" s="277"/>
      <c r="O1910" s="277"/>
      <c r="P1910" s="277"/>
      <c r="Q1910" s="277"/>
      <c r="R1910" s="277"/>
      <c r="S1910" s="277"/>
      <c r="T1910" s="277"/>
      <c r="U1910" s="278"/>
      <c r="V1910" s="103"/>
      <c r="W1910" s="72"/>
      <c r="X1910" s="72"/>
      <c r="Y1910" s="72"/>
      <c r="Z1910" s="45">
        <f>Z1909+1</f>
        <v>16</v>
      </c>
      <c r="AA1910" s="77">
        <f t="shared" si="803"/>
        <v>181</v>
      </c>
      <c r="AB1910" s="77">
        <f t="shared" si="804"/>
        <v>192</v>
      </c>
      <c r="AC1910" s="72">
        <f t="shared" si="791"/>
        <v>1</v>
      </c>
      <c r="AD1910" s="72">
        <f t="shared" si="792"/>
        <v>1</v>
      </c>
      <c r="AE1910" s="109" t="str">
        <f t="shared" si="793"/>
        <v>0-0</v>
      </c>
      <c r="AF1910" s="109" t="str">
        <f t="shared" si="794"/>
        <v>Y</v>
      </c>
      <c r="AG1910" s="109" t="str">
        <f t="shared" si="795"/>
        <v>B</v>
      </c>
      <c r="AM1910" s="109">
        <f t="shared" si="796"/>
        <v>0</v>
      </c>
      <c r="AN1910" s="109">
        <f t="shared" si="797"/>
        <v>0</v>
      </c>
      <c r="AO1910" s="109" t="str">
        <f t="shared" si="798"/>
        <v/>
      </c>
      <c r="AQ1910" s="109" t="str">
        <f t="shared" si="799"/>
        <v/>
      </c>
      <c r="BA1910" s="229">
        <f>MOD(SUM(E1903:E1911),12)</f>
        <v>0</v>
      </c>
    </row>
    <row r="1911" spans="1:53" ht="15.75" thickBot="1" x14ac:dyDescent="0.3">
      <c r="A1911" s="88"/>
      <c r="B1911" s="66" t="s">
        <v>286</v>
      </c>
      <c r="C1911" s="67"/>
      <c r="D1911" s="102"/>
      <c r="E1911" s="32"/>
      <c r="F1911" s="32"/>
      <c r="G1911" s="68" t="s">
        <v>277</v>
      </c>
      <c r="H1911" s="69">
        <f t="shared" si="800"/>
        <v>0</v>
      </c>
      <c r="I1911" s="70">
        <f t="shared" si="801"/>
        <v>0</v>
      </c>
      <c r="J1911" s="73" t="str">
        <f t="shared" si="802"/>
        <v>--</v>
      </c>
      <c r="K1911" s="32"/>
      <c r="L1911" s="233"/>
      <c r="M1911" s="277"/>
      <c r="N1911" s="277"/>
      <c r="O1911" s="277"/>
      <c r="P1911" s="277"/>
      <c r="Q1911" s="277"/>
      <c r="R1911" s="277"/>
      <c r="S1911" s="277"/>
      <c r="T1911" s="277"/>
      <c r="U1911" s="278"/>
      <c r="V1911" s="103"/>
      <c r="W1911" s="72"/>
      <c r="X1911" s="72"/>
      <c r="Y1911" s="72"/>
      <c r="Z1911" s="45">
        <f>Z1910+1</f>
        <v>17</v>
      </c>
      <c r="AA1911" s="77">
        <f t="shared" si="803"/>
        <v>193</v>
      </c>
      <c r="AB1911" s="77">
        <f t="shared" si="804"/>
        <v>204</v>
      </c>
      <c r="AC1911" s="72">
        <f t="shared" si="791"/>
        <v>1</v>
      </c>
      <c r="AD1911" s="72">
        <f t="shared" si="792"/>
        <v>1</v>
      </c>
      <c r="AE1911" s="109" t="str">
        <f t="shared" si="793"/>
        <v>0-0</v>
      </c>
      <c r="AF1911" s="109" t="str">
        <f t="shared" si="794"/>
        <v>Y</v>
      </c>
      <c r="AG1911" s="109" t="str">
        <f t="shared" si="795"/>
        <v>B</v>
      </c>
      <c r="AM1911" s="109">
        <f t="shared" si="796"/>
        <v>0</v>
      </c>
      <c r="AN1911" s="109">
        <f t="shared" si="797"/>
        <v>0</v>
      </c>
      <c r="AO1911" s="109" t="str">
        <f t="shared" si="798"/>
        <v/>
      </c>
      <c r="AQ1911" s="109" t="str">
        <f t="shared" si="799"/>
        <v/>
      </c>
      <c r="BA1911" s="229">
        <f>MOD(SUM(E1903:E1912),12)</f>
        <v>0</v>
      </c>
    </row>
    <row r="1912" spans="1:53" ht="15.75" thickBot="1" x14ac:dyDescent="0.3">
      <c r="A1912" s="88"/>
      <c r="B1912" s="66" t="s">
        <v>287</v>
      </c>
      <c r="C1912" s="67"/>
      <c r="D1912" s="102"/>
      <c r="E1912" s="32"/>
      <c r="F1912" s="32"/>
      <c r="G1912" s="68" t="s">
        <v>277</v>
      </c>
      <c r="H1912" s="69">
        <f t="shared" si="800"/>
        <v>0</v>
      </c>
      <c r="I1912" s="70">
        <f t="shared" si="801"/>
        <v>0</v>
      </c>
      <c r="J1912" s="73" t="str">
        <f t="shared" si="802"/>
        <v>--</v>
      </c>
      <c r="K1912" s="32"/>
      <c r="L1912" s="233"/>
      <c r="M1912" s="277"/>
      <c r="N1912" s="277"/>
      <c r="O1912" s="277"/>
      <c r="P1912" s="277"/>
      <c r="Q1912" s="277"/>
      <c r="R1912" s="277"/>
      <c r="S1912" s="277"/>
      <c r="T1912" s="277"/>
      <c r="U1912" s="278"/>
      <c r="V1912" s="103"/>
      <c r="W1912" s="72"/>
      <c r="X1912" s="72"/>
      <c r="Y1912" s="72"/>
      <c r="Z1912" s="45">
        <f>Z1911+1</f>
        <v>18</v>
      </c>
      <c r="AA1912" s="77">
        <f t="shared" si="803"/>
        <v>205</v>
      </c>
      <c r="AB1912" s="77">
        <f t="shared" si="804"/>
        <v>216</v>
      </c>
      <c r="AC1912" s="72">
        <f t="shared" si="791"/>
        <v>1</v>
      </c>
      <c r="AD1912" s="72">
        <f t="shared" si="792"/>
        <v>1</v>
      </c>
      <c r="AE1912" s="109" t="str">
        <f t="shared" si="793"/>
        <v>0-0</v>
      </c>
      <c r="AF1912" s="109" t="str">
        <f t="shared" si="794"/>
        <v>Y</v>
      </c>
      <c r="AG1912" s="109" t="str">
        <f t="shared" si="795"/>
        <v>B</v>
      </c>
      <c r="AM1912" s="109">
        <f t="shared" si="796"/>
        <v>0</v>
      </c>
      <c r="AN1912" s="109">
        <f t="shared" si="797"/>
        <v>0</v>
      </c>
      <c r="AO1912" s="109" t="str">
        <f t="shared" si="798"/>
        <v/>
      </c>
      <c r="AQ1912" s="109" t="str">
        <f t="shared" si="799"/>
        <v/>
      </c>
      <c r="BA1912" s="229">
        <f>MOD(SUM(E1903:E1913),12)</f>
        <v>0</v>
      </c>
    </row>
    <row r="1913" spans="1:53" ht="15.75" thickBot="1" x14ac:dyDescent="0.3">
      <c r="A1913" s="88"/>
      <c r="B1913" s="66" t="s">
        <v>288</v>
      </c>
      <c r="C1913" s="67"/>
      <c r="D1913" s="102"/>
      <c r="E1913" s="32"/>
      <c r="F1913" s="32"/>
      <c r="G1913" s="68" t="s">
        <v>277</v>
      </c>
      <c r="H1913" s="69">
        <f t="shared" si="800"/>
        <v>0</v>
      </c>
      <c r="I1913" s="70">
        <f t="shared" si="801"/>
        <v>0</v>
      </c>
      <c r="J1913" s="73" t="str">
        <f t="shared" si="802"/>
        <v>--</v>
      </c>
      <c r="K1913" s="32"/>
      <c r="L1913" s="233"/>
      <c r="M1913" s="277"/>
      <c r="N1913" s="277"/>
      <c r="O1913" s="277"/>
      <c r="P1913" s="277"/>
      <c r="Q1913" s="277"/>
      <c r="R1913" s="277"/>
      <c r="S1913" s="277"/>
      <c r="T1913" s="277"/>
      <c r="U1913" s="278"/>
      <c r="V1913" s="103"/>
      <c r="W1913" s="84"/>
      <c r="X1913" s="84"/>
      <c r="Y1913" s="72"/>
      <c r="Z1913" s="72"/>
      <c r="AA1913" s="72"/>
      <c r="AB1913" s="72"/>
      <c r="AC1913" s="72">
        <f t="shared" si="791"/>
        <v>1</v>
      </c>
      <c r="AD1913" s="72">
        <f t="shared" si="792"/>
        <v>1</v>
      </c>
      <c r="AE1913" s="109" t="str">
        <f t="shared" si="793"/>
        <v>0-0</v>
      </c>
      <c r="AF1913" s="109" t="str">
        <f t="shared" si="794"/>
        <v>Y</v>
      </c>
      <c r="AG1913" s="109" t="str">
        <f t="shared" si="795"/>
        <v>B</v>
      </c>
      <c r="AM1913" s="109">
        <f t="shared" si="796"/>
        <v>0</v>
      </c>
      <c r="AN1913" s="109">
        <f t="shared" si="797"/>
        <v>0</v>
      </c>
      <c r="AO1913" s="109" t="str">
        <f t="shared" si="798"/>
        <v/>
      </c>
      <c r="AQ1913" s="109" t="str">
        <f t="shared" si="799"/>
        <v/>
      </c>
      <c r="BA1913" s="229">
        <f>MOD(SUM(E1903:E1914),12)</f>
        <v>0</v>
      </c>
    </row>
    <row r="1914" spans="1:53" ht="15.75" thickBot="1" x14ac:dyDescent="0.3">
      <c r="A1914" s="88"/>
      <c r="B1914" s="66" t="s">
        <v>289</v>
      </c>
      <c r="C1914" s="67"/>
      <c r="D1914" s="102"/>
      <c r="E1914" s="32"/>
      <c r="F1914" s="32"/>
      <c r="G1914" s="68" t="s">
        <v>277</v>
      </c>
      <c r="H1914" s="69">
        <f t="shared" si="800"/>
        <v>0</v>
      </c>
      <c r="I1914" s="70">
        <f t="shared" si="801"/>
        <v>0</v>
      </c>
      <c r="J1914" s="73" t="str">
        <f t="shared" si="802"/>
        <v>--</v>
      </c>
      <c r="K1914" s="32"/>
      <c r="L1914" s="233"/>
      <c r="M1914" s="277"/>
      <c r="N1914" s="277"/>
      <c r="O1914" s="277"/>
      <c r="P1914" s="277"/>
      <c r="Q1914" s="277"/>
      <c r="R1914" s="277"/>
      <c r="S1914" s="277"/>
      <c r="T1914" s="277"/>
      <c r="U1914" s="278"/>
      <c r="V1914" s="103"/>
      <c r="W1914" s="84">
        <f>Y1914+1</f>
        <v>1</v>
      </c>
      <c r="X1914" s="84"/>
      <c r="Y1914" s="78">
        <f>SUM(E1903:E1914)</f>
        <v>0</v>
      </c>
      <c r="Z1914" s="72"/>
      <c r="AA1914" s="72"/>
      <c r="AB1914" s="72"/>
      <c r="AC1914" s="72">
        <f t="shared" si="791"/>
        <v>1</v>
      </c>
      <c r="AD1914" s="72">
        <f t="shared" si="792"/>
        <v>1</v>
      </c>
      <c r="AE1914" s="109" t="str">
        <f t="shared" si="793"/>
        <v>0-0</v>
      </c>
      <c r="AF1914" s="109" t="str">
        <f t="shared" si="794"/>
        <v>Y</v>
      </c>
      <c r="AG1914" s="109" t="str">
        <f t="shared" si="795"/>
        <v>B</v>
      </c>
      <c r="AM1914" s="109">
        <f t="shared" si="796"/>
        <v>0</v>
      </c>
      <c r="AN1914" s="109">
        <f t="shared" si="797"/>
        <v>0</v>
      </c>
      <c r="AO1914" s="109" t="str">
        <f t="shared" si="798"/>
        <v/>
      </c>
      <c r="AQ1914" s="109" t="str">
        <f t="shared" si="799"/>
        <v/>
      </c>
      <c r="BA1914" s="229">
        <f>MOD(SUM(E1903:E1915),12)</f>
        <v>0</v>
      </c>
    </row>
    <row r="1915" spans="1:53" ht="15.75" thickBot="1" x14ac:dyDescent="0.3">
      <c r="A1915" s="88"/>
      <c r="B1915" s="66" t="s">
        <v>290</v>
      </c>
      <c r="C1915" s="67"/>
      <c r="D1915" s="102"/>
      <c r="E1915" s="32"/>
      <c r="F1915" s="32"/>
      <c r="G1915" s="68" t="s">
        <v>277</v>
      </c>
      <c r="H1915" s="69">
        <f t="shared" si="800"/>
        <v>0</v>
      </c>
      <c r="I1915" s="70">
        <f t="shared" si="801"/>
        <v>0</v>
      </c>
      <c r="J1915" s="73" t="str">
        <f t="shared" si="802"/>
        <v>--</v>
      </c>
      <c r="K1915" s="32"/>
      <c r="L1915" s="233"/>
      <c r="M1915" s="277"/>
      <c r="N1915" s="277"/>
      <c r="O1915" s="277"/>
      <c r="P1915" s="277"/>
      <c r="Q1915" s="277"/>
      <c r="R1915" s="277"/>
      <c r="S1915" s="277"/>
      <c r="T1915" s="277"/>
      <c r="U1915" s="278"/>
      <c r="V1915" s="103"/>
      <c r="W1915" s="84">
        <f>Y1915+1</f>
        <v>1</v>
      </c>
      <c r="X1915" s="84"/>
      <c r="Y1915" s="78">
        <f>SUM(E1903:E1915)</f>
        <v>0</v>
      </c>
      <c r="Z1915" s="72" t="str">
        <f t="shared" ref="Z1915:Z1927" si="805">IF(OR(AND(E$8=216,C1914="DBL REV",C1915="DBL REV",Y1914&lt;=144,Y1915&gt;144),AND(E$8=216,C1914="TPL REV",C1915="TPL REV",Y1914&lt;=144,Y1915&gt;144),AND(E$8=216,C1914="QD REV",C1915="QD REV",Y1914&lt;=144,Y1915&gt;144)),"ERROR","")</f>
        <v/>
      </c>
      <c r="AA1915" s="72"/>
      <c r="AB1915" s="72"/>
      <c r="AC1915" s="72">
        <f t="shared" si="791"/>
        <v>1</v>
      </c>
      <c r="AD1915" s="72">
        <f t="shared" si="792"/>
        <v>1</v>
      </c>
      <c r="AE1915" s="109" t="str">
        <f t="shared" si="793"/>
        <v>0-0</v>
      </c>
      <c r="AF1915" s="109" t="str">
        <f t="shared" si="794"/>
        <v>Y</v>
      </c>
      <c r="AG1915" s="109" t="str">
        <f t="shared" si="795"/>
        <v>B</v>
      </c>
      <c r="AM1915" s="109">
        <f t="shared" si="796"/>
        <v>0</v>
      </c>
      <c r="AN1915" s="109">
        <f t="shared" si="797"/>
        <v>0</v>
      </c>
      <c r="AO1915" s="109" t="str">
        <f t="shared" si="798"/>
        <v/>
      </c>
      <c r="AQ1915" s="109" t="str">
        <f t="shared" si="799"/>
        <v/>
      </c>
      <c r="BA1915" s="229">
        <f>MOD(SUM(E1903:E1916),12)</f>
        <v>0</v>
      </c>
    </row>
    <row r="1916" spans="1:53" ht="15.75" thickBot="1" x14ac:dyDescent="0.3">
      <c r="A1916" s="88"/>
      <c r="B1916" s="66" t="s">
        <v>291</v>
      </c>
      <c r="C1916" s="67"/>
      <c r="D1916" s="102"/>
      <c r="E1916" s="32"/>
      <c r="F1916" s="32"/>
      <c r="G1916" s="68" t="s">
        <v>277</v>
      </c>
      <c r="H1916" s="69">
        <f t="shared" si="800"/>
        <v>0</v>
      </c>
      <c r="I1916" s="70">
        <f t="shared" si="801"/>
        <v>0</v>
      </c>
      <c r="J1916" s="73" t="str">
        <f t="shared" si="802"/>
        <v>--</v>
      </c>
      <c r="K1916" s="32"/>
      <c r="L1916" s="233"/>
      <c r="M1916" s="277"/>
      <c r="N1916" s="277"/>
      <c r="O1916" s="277"/>
      <c r="P1916" s="277"/>
      <c r="Q1916" s="277"/>
      <c r="R1916" s="277"/>
      <c r="S1916" s="277"/>
      <c r="T1916" s="277"/>
      <c r="U1916" s="278"/>
      <c r="V1916" s="103"/>
      <c r="W1916" s="84">
        <f>Y1916+1</f>
        <v>1</v>
      </c>
      <c r="X1916" s="84"/>
      <c r="Y1916" s="78">
        <f>SUM(E1903:E1916)</f>
        <v>0</v>
      </c>
      <c r="Z1916" s="72" t="str">
        <f t="shared" si="805"/>
        <v/>
      </c>
      <c r="AA1916" s="72"/>
      <c r="AB1916" s="72"/>
      <c r="AC1916" s="72">
        <f t="shared" si="791"/>
        <v>1</v>
      </c>
      <c r="AD1916" s="72">
        <f t="shared" si="792"/>
        <v>1</v>
      </c>
      <c r="AE1916" s="109" t="str">
        <f t="shared" si="793"/>
        <v>0-0</v>
      </c>
      <c r="AF1916" s="109" t="str">
        <f t="shared" si="794"/>
        <v>Y</v>
      </c>
      <c r="AG1916" s="109" t="str">
        <f t="shared" si="795"/>
        <v>B</v>
      </c>
      <c r="AM1916" s="109">
        <f t="shared" si="796"/>
        <v>0</v>
      </c>
      <c r="AN1916" s="109">
        <f t="shared" si="797"/>
        <v>0</v>
      </c>
      <c r="AO1916" s="109" t="str">
        <f t="shared" si="798"/>
        <v/>
      </c>
      <c r="AQ1916" s="109" t="str">
        <f t="shared" si="799"/>
        <v/>
      </c>
      <c r="BA1916" s="229">
        <f>MOD(SUM(E1903:E1917),12)</f>
        <v>0</v>
      </c>
    </row>
    <row r="1917" spans="1:53" ht="15.75" thickBot="1" x14ac:dyDescent="0.3">
      <c r="A1917" s="88"/>
      <c r="B1917" s="66" t="s">
        <v>292</v>
      </c>
      <c r="C1917" s="67"/>
      <c r="D1917" s="102"/>
      <c r="E1917" s="32"/>
      <c r="F1917" s="32"/>
      <c r="G1917" s="68" t="s">
        <v>277</v>
      </c>
      <c r="H1917" s="69">
        <f t="shared" si="800"/>
        <v>0</v>
      </c>
      <c r="I1917" s="70">
        <f t="shared" si="801"/>
        <v>0</v>
      </c>
      <c r="J1917" s="73" t="str">
        <f t="shared" si="802"/>
        <v>--</v>
      </c>
      <c r="K1917" s="32"/>
      <c r="L1917" s="233"/>
      <c r="M1917" s="277"/>
      <c r="N1917" s="277"/>
      <c r="O1917" s="277"/>
      <c r="P1917" s="277"/>
      <c r="Q1917" s="277"/>
      <c r="R1917" s="277"/>
      <c r="S1917" s="277"/>
      <c r="T1917" s="277"/>
      <c r="U1917" s="278"/>
      <c r="V1917" s="103"/>
      <c r="W1917" s="84">
        <f>Y1917+1</f>
        <v>1</v>
      </c>
      <c r="X1917" s="84"/>
      <c r="Y1917" s="78">
        <f>SUM(E1903:E1917)</f>
        <v>0</v>
      </c>
      <c r="Z1917" s="72" t="str">
        <f t="shared" si="805"/>
        <v/>
      </c>
      <c r="AA1917" s="72" t="str">
        <f t="shared" ref="AA1917:AA1929" si="806">IF(AND(C1915&lt;&gt;"Field SPL",W1914&lt;=144,Y1915&gt;144),"ERROR","")</f>
        <v/>
      </c>
      <c r="AB1917" s="72"/>
      <c r="AC1917" s="72">
        <f t="shared" si="791"/>
        <v>1</v>
      </c>
      <c r="AD1917" s="72">
        <f t="shared" si="792"/>
        <v>1</v>
      </c>
      <c r="AE1917" s="109" t="str">
        <f t="shared" si="793"/>
        <v>0-0</v>
      </c>
      <c r="AF1917" s="109" t="str">
        <f t="shared" si="794"/>
        <v>Y</v>
      </c>
      <c r="AG1917" s="109" t="str">
        <f t="shared" si="795"/>
        <v>B</v>
      </c>
      <c r="AM1917" s="109">
        <f t="shared" si="796"/>
        <v>0</v>
      </c>
      <c r="AN1917" s="109">
        <f t="shared" si="797"/>
        <v>0</v>
      </c>
      <c r="AO1917" s="109" t="str">
        <f t="shared" si="798"/>
        <v/>
      </c>
      <c r="AQ1917" s="109" t="str">
        <f t="shared" si="799"/>
        <v/>
      </c>
      <c r="BA1917" s="229">
        <f>MOD(SUM(E1903:E1918),12)</f>
        <v>0</v>
      </c>
    </row>
    <row r="1918" spans="1:53" ht="15.75" thickBot="1" x14ac:dyDescent="0.3">
      <c r="A1918" s="88"/>
      <c r="B1918" s="66" t="s">
        <v>293</v>
      </c>
      <c r="C1918" s="67"/>
      <c r="D1918" s="102"/>
      <c r="E1918" s="32"/>
      <c r="F1918" s="32"/>
      <c r="G1918" s="68" t="s">
        <v>277</v>
      </c>
      <c r="H1918" s="69">
        <f t="shared" si="800"/>
        <v>0</v>
      </c>
      <c r="I1918" s="70">
        <f t="shared" si="801"/>
        <v>0</v>
      </c>
      <c r="J1918" s="73" t="str">
        <f t="shared" si="802"/>
        <v>--</v>
      </c>
      <c r="K1918" s="32"/>
      <c r="L1918" s="233"/>
      <c r="M1918" s="277"/>
      <c r="N1918" s="277"/>
      <c r="O1918" s="277"/>
      <c r="P1918" s="277"/>
      <c r="Q1918" s="277"/>
      <c r="R1918" s="277"/>
      <c r="S1918" s="277"/>
      <c r="T1918" s="277"/>
      <c r="U1918" s="278"/>
      <c r="V1918" s="103"/>
      <c r="W1918" s="84">
        <f t="shared" ref="W1918:W1926" si="807">Y1918+1</f>
        <v>1</v>
      </c>
      <c r="X1918" s="84"/>
      <c r="Y1918" s="78">
        <f>SUM(E1903:E1918)</f>
        <v>0</v>
      </c>
      <c r="Z1918" s="72" t="str">
        <f t="shared" si="805"/>
        <v/>
      </c>
      <c r="AA1918" s="72" t="str">
        <f t="shared" si="806"/>
        <v/>
      </c>
      <c r="AB1918" s="72"/>
      <c r="AC1918" s="72">
        <f t="shared" si="791"/>
        <v>1</v>
      </c>
      <c r="AD1918" s="72">
        <f t="shared" si="792"/>
        <v>1</v>
      </c>
      <c r="AE1918" s="109" t="str">
        <f t="shared" si="793"/>
        <v>0-0</v>
      </c>
      <c r="AF1918" s="109" t="str">
        <f t="shared" si="794"/>
        <v>Y</v>
      </c>
      <c r="AG1918" s="109" t="str">
        <f t="shared" si="795"/>
        <v>B</v>
      </c>
      <c r="AM1918" s="109">
        <f t="shared" si="796"/>
        <v>0</v>
      </c>
      <c r="AN1918" s="109">
        <f t="shared" si="797"/>
        <v>0</v>
      </c>
      <c r="AO1918" s="109" t="str">
        <f t="shared" si="798"/>
        <v/>
      </c>
      <c r="AQ1918" s="109" t="str">
        <f t="shared" si="799"/>
        <v/>
      </c>
      <c r="BA1918" s="229">
        <f>MOD(SUM(E1903:E1919),12)</f>
        <v>0</v>
      </c>
    </row>
    <row r="1919" spans="1:53" ht="15.75" thickBot="1" x14ac:dyDescent="0.3">
      <c r="A1919" s="88"/>
      <c r="B1919" s="66" t="s">
        <v>294</v>
      </c>
      <c r="C1919" s="67"/>
      <c r="D1919" s="102"/>
      <c r="E1919" s="32"/>
      <c r="F1919" s="32"/>
      <c r="G1919" s="68" t="s">
        <v>277</v>
      </c>
      <c r="H1919" s="69">
        <f t="shared" si="800"/>
        <v>0</v>
      </c>
      <c r="I1919" s="70">
        <f t="shared" si="801"/>
        <v>0</v>
      </c>
      <c r="J1919" s="73" t="str">
        <f t="shared" si="802"/>
        <v>--</v>
      </c>
      <c r="K1919" s="32"/>
      <c r="L1919" s="233"/>
      <c r="M1919" s="277"/>
      <c r="N1919" s="277"/>
      <c r="O1919" s="277"/>
      <c r="P1919" s="277"/>
      <c r="Q1919" s="277"/>
      <c r="R1919" s="277"/>
      <c r="S1919" s="277"/>
      <c r="T1919" s="277"/>
      <c r="U1919" s="278"/>
      <c r="V1919" s="103"/>
      <c r="W1919" s="84">
        <f t="shared" si="807"/>
        <v>1</v>
      </c>
      <c r="X1919" s="84"/>
      <c r="Y1919" s="78">
        <f>SUM(E1903:E1919)</f>
        <v>0</v>
      </c>
      <c r="Z1919" s="72" t="str">
        <f t="shared" si="805"/>
        <v/>
      </c>
      <c r="AA1919" s="72" t="str">
        <f t="shared" si="806"/>
        <v/>
      </c>
      <c r="AB1919" s="72"/>
      <c r="AC1919" s="72">
        <f t="shared" si="791"/>
        <v>1</v>
      </c>
      <c r="AD1919" s="72">
        <f t="shared" si="792"/>
        <v>1</v>
      </c>
      <c r="AE1919" s="109" t="str">
        <f t="shared" si="793"/>
        <v>0-0</v>
      </c>
      <c r="AF1919" s="109" t="str">
        <f t="shared" si="794"/>
        <v>Y</v>
      </c>
      <c r="AG1919" s="109" t="str">
        <f t="shared" si="795"/>
        <v>B</v>
      </c>
      <c r="AM1919" s="109">
        <f t="shared" si="796"/>
        <v>0</v>
      </c>
      <c r="AN1919" s="109">
        <f t="shared" si="797"/>
        <v>0</v>
      </c>
      <c r="AO1919" s="109" t="str">
        <f t="shared" si="798"/>
        <v/>
      </c>
      <c r="AQ1919" s="109" t="str">
        <f t="shared" si="799"/>
        <v/>
      </c>
      <c r="BA1919" s="229">
        <f>MOD(SUM(E1903:E1920),12)</f>
        <v>0</v>
      </c>
    </row>
    <row r="1920" spans="1:53" ht="15.75" thickBot="1" x14ac:dyDescent="0.3">
      <c r="A1920" s="88"/>
      <c r="B1920" s="66" t="s">
        <v>295</v>
      </c>
      <c r="C1920" s="67"/>
      <c r="D1920" s="102"/>
      <c r="E1920" s="32"/>
      <c r="F1920" s="32"/>
      <c r="G1920" s="68" t="s">
        <v>277</v>
      </c>
      <c r="H1920" s="69">
        <f t="shared" si="800"/>
        <v>0</v>
      </c>
      <c r="I1920" s="70">
        <f t="shared" si="801"/>
        <v>0</v>
      </c>
      <c r="J1920" s="73" t="str">
        <f t="shared" si="802"/>
        <v>--</v>
      </c>
      <c r="K1920" s="32"/>
      <c r="L1920" s="233"/>
      <c r="M1920" s="277"/>
      <c r="N1920" s="277"/>
      <c r="O1920" s="277"/>
      <c r="P1920" s="277"/>
      <c r="Q1920" s="277"/>
      <c r="R1920" s="277"/>
      <c r="S1920" s="277"/>
      <c r="T1920" s="277"/>
      <c r="U1920" s="278"/>
      <c r="V1920" s="103"/>
      <c r="W1920" s="84">
        <f t="shared" si="807"/>
        <v>1</v>
      </c>
      <c r="X1920" s="84"/>
      <c r="Y1920" s="78">
        <f>SUM(E1903:E1920)</f>
        <v>0</v>
      </c>
      <c r="Z1920" s="72" t="str">
        <f t="shared" si="805"/>
        <v/>
      </c>
      <c r="AA1920" s="72" t="str">
        <f t="shared" si="806"/>
        <v/>
      </c>
      <c r="AB1920" s="72"/>
      <c r="AC1920" s="72">
        <f t="shared" si="791"/>
        <v>1</v>
      </c>
      <c r="AD1920" s="72">
        <f t="shared" si="792"/>
        <v>1</v>
      </c>
      <c r="AE1920" s="109" t="str">
        <f t="shared" si="793"/>
        <v>0-0</v>
      </c>
      <c r="AF1920" s="109" t="str">
        <f t="shared" si="794"/>
        <v>Y</v>
      </c>
      <c r="AG1920" s="109" t="str">
        <f t="shared" si="795"/>
        <v>B</v>
      </c>
      <c r="AM1920" s="109">
        <f t="shared" si="796"/>
        <v>0</v>
      </c>
      <c r="AN1920" s="109">
        <f t="shared" si="797"/>
        <v>0</v>
      </c>
      <c r="AO1920" s="109" t="str">
        <f t="shared" si="798"/>
        <v/>
      </c>
      <c r="AQ1920" s="109" t="str">
        <f t="shared" si="799"/>
        <v/>
      </c>
      <c r="BA1920" s="229">
        <f>MOD(SUM(E1903:E1921),12)</f>
        <v>0</v>
      </c>
    </row>
    <row r="1921" spans="1:53" ht="15.75" thickBot="1" x14ac:dyDescent="0.3">
      <c r="A1921" s="88"/>
      <c r="B1921" s="66" t="s">
        <v>296</v>
      </c>
      <c r="C1921" s="67"/>
      <c r="D1921" s="102"/>
      <c r="E1921" s="32"/>
      <c r="F1921" s="32"/>
      <c r="G1921" s="68" t="s">
        <v>277</v>
      </c>
      <c r="H1921" s="69">
        <f t="shared" si="800"/>
        <v>0</v>
      </c>
      <c r="I1921" s="70">
        <f t="shared" si="801"/>
        <v>0</v>
      </c>
      <c r="J1921" s="73" t="str">
        <f t="shared" si="802"/>
        <v>--</v>
      </c>
      <c r="K1921" s="32"/>
      <c r="L1921" s="233"/>
      <c r="M1921" s="277"/>
      <c r="N1921" s="277"/>
      <c r="O1921" s="277"/>
      <c r="P1921" s="277"/>
      <c r="Q1921" s="277"/>
      <c r="R1921" s="277"/>
      <c r="S1921" s="277"/>
      <c r="T1921" s="277"/>
      <c r="U1921" s="278"/>
      <c r="V1921" s="103"/>
      <c r="W1921" s="84">
        <f t="shared" si="807"/>
        <v>1</v>
      </c>
      <c r="X1921" s="84"/>
      <c r="Y1921" s="78">
        <f>SUM(E1903:E1921)</f>
        <v>0</v>
      </c>
      <c r="Z1921" s="72" t="str">
        <f t="shared" si="805"/>
        <v/>
      </c>
      <c r="AA1921" s="72" t="str">
        <f t="shared" si="806"/>
        <v/>
      </c>
      <c r="AB1921" s="72"/>
      <c r="AC1921" s="72">
        <f t="shared" si="791"/>
        <v>1</v>
      </c>
      <c r="AD1921" s="72">
        <f t="shared" si="792"/>
        <v>1</v>
      </c>
      <c r="AE1921" s="109" t="str">
        <f t="shared" si="793"/>
        <v>0-0</v>
      </c>
      <c r="AF1921" s="109" t="str">
        <f t="shared" si="794"/>
        <v>Y</v>
      </c>
      <c r="AG1921" s="109" t="str">
        <f t="shared" si="795"/>
        <v>B</v>
      </c>
      <c r="AM1921" s="109">
        <f t="shared" si="796"/>
        <v>0</v>
      </c>
      <c r="AN1921" s="109">
        <f t="shared" si="797"/>
        <v>0</v>
      </c>
      <c r="AO1921" s="109" t="str">
        <f t="shared" si="798"/>
        <v/>
      </c>
      <c r="AQ1921" s="109" t="str">
        <f t="shared" si="799"/>
        <v/>
      </c>
      <c r="BA1921" s="229">
        <f>MOD(SUM(E1903:E1922),12)</f>
        <v>0</v>
      </c>
    </row>
    <row r="1922" spans="1:53" ht="15.75" thickBot="1" x14ac:dyDescent="0.3">
      <c r="A1922" s="88"/>
      <c r="B1922" s="66" t="s">
        <v>297</v>
      </c>
      <c r="C1922" s="67"/>
      <c r="D1922" s="102"/>
      <c r="E1922" s="32"/>
      <c r="F1922" s="32"/>
      <c r="G1922" s="68" t="s">
        <v>277</v>
      </c>
      <c r="H1922" s="69">
        <f t="shared" si="800"/>
        <v>0</v>
      </c>
      <c r="I1922" s="70">
        <f t="shared" si="801"/>
        <v>0</v>
      </c>
      <c r="J1922" s="73" t="str">
        <f t="shared" si="802"/>
        <v>--</v>
      </c>
      <c r="K1922" s="32"/>
      <c r="L1922" s="233"/>
      <c r="M1922" s="277"/>
      <c r="N1922" s="277"/>
      <c r="O1922" s="277"/>
      <c r="P1922" s="277"/>
      <c r="Q1922" s="277"/>
      <c r="R1922" s="277"/>
      <c r="S1922" s="277"/>
      <c r="T1922" s="277"/>
      <c r="U1922" s="278"/>
      <c r="V1922" s="103"/>
      <c r="W1922" s="84">
        <f t="shared" si="807"/>
        <v>1</v>
      </c>
      <c r="X1922" s="84"/>
      <c r="Y1922" s="78">
        <f>SUM(E1903:E1922)</f>
        <v>0</v>
      </c>
      <c r="Z1922" s="72" t="str">
        <f t="shared" si="805"/>
        <v/>
      </c>
      <c r="AA1922" s="72" t="str">
        <f t="shared" si="806"/>
        <v/>
      </c>
      <c r="AB1922" s="72"/>
      <c r="AC1922" s="72">
        <f t="shared" si="791"/>
        <v>1</v>
      </c>
      <c r="AD1922" s="72">
        <f t="shared" si="792"/>
        <v>1</v>
      </c>
      <c r="AE1922" s="109" t="str">
        <f t="shared" si="793"/>
        <v>0-0</v>
      </c>
      <c r="AF1922" s="109" t="str">
        <f t="shared" si="794"/>
        <v>Y</v>
      </c>
      <c r="AG1922" s="109" t="str">
        <f t="shared" si="795"/>
        <v>B</v>
      </c>
      <c r="AM1922" s="109">
        <f t="shared" si="796"/>
        <v>0</v>
      </c>
      <c r="AN1922" s="109">
        <f t="shared" si="797"/>
        <v>0</v>
      </c>
      <c r="AO1922" s="109" t="str">
        <f t="shared" si="798"/>
        <v/>
      </c>
      <c r="AQ1922" s="109" t="str">
        <f t="shared" si="799"/>
        <v/>
      </c>
      <c r="BA1922" s="229">
        <f>MOD(SUM(E1903:E1923),12)</f>
        <v>0</v>
      </c>
    </row>
    <row r="1923" spans="1:53" ht="15.75" thickBot="1" x14ac:dyDescent="0.3">
      <c r="A1923" s="88"/>
      <c r="B1923" s="66" t="s">
        <v>298</v>
      </c>
      <c r="C1923" s="67"/>
      <c r="D1923" s="102"/>
      <c r="E1923" s="32"/>
      <c r="F1923" s="32"/>
      <c r="G1923" s="68" t="s">
        <v>277</v>
      </c>
      <c r="H1923" s="69">
        <f t="shared" si="800"/>
        <v>0</v>
      </c>
      <c r="I1923" s="70">
        <f t="shared" si="801"/>
        <v>0</v>
      </c>
      <c r="J1923" s="73" t="str">
        <f t="shared" si="802"/>
        <v>--</v>
      </c>
      <c r="K1923" s="32"/>
      <c r="L1923" s="233"/>
      <c r="M1923" s="277"/>
      <c r="N1923" s="277"/>
      <c r="O1923" s="277"/>
      <c r="P1923" s="277"/>
      <c r="Q1923" s="277"/>
      <c r="R1923" s="277"/>
      <c r="S1923" s="277"/>
      <c r="T1923" s="277"/>
      <c r="U1923" s="278"/>
      <c r="V1923" s="103"/>
      <c r="W1923" s="84">
        <f t="shared" si="807"/>
        <v>1</v>
      </c>
      <c r="X1923" s="84"/>
      <c r="Y1923" s="78">
        <f>SUM(E1903:E1923)</f>
        <v>0</v>
      </c>
      <c r="Z1923" s="72" t="str">
        <f t="shared" si="805"/>
        <v/>
      </c>
      <c r="AA1923" s="72" t="str">
        <f t="shared" si="806"/>
        <v/>
      </c>
      <c r="AB1923" s="72"/>
      <c r="AC1923" s="72">
        <f t="shared" si="791"/>
        <v>1</v>
      </c>
      <c r="AD1923" s="72">
        <f t="shared" si="792"/>
        <v>1</v>
      </c>
      <c r="AE1923" s="109" t="str">
        <f t="shared" si="793"/>
        <v>0-0</v>
      </c>
      <c r="AF1923" s="109" t="str">
        <f t="shared" si="794"/>
        <v>Y</v>
      </c>
      <c r="AG1923" s="109" t="str">
        <f t="shared" si="795"/>
        <v>B</v>
      </c>
      <c r="AM1923" s="109">
        <f t="shared" si="796"/>
        <v>0</v>
      </c>
      <c r="AN1923" s="109">
        <f t="shared" si="797"/>
        <v>0</v>
      </c>
      <c r="AO1923" s="109" t="str">
        <f t="shared" si="798"/>
        <v/>
      </c>
      <c r="AQ1923" s="109" t="str">
        <f t="shared" si="799"/>
        <v/>
      </c>
      <c r="BA1923" s="229">
        <f>MOD(SUM(E1903:E1924),12)</f>
        <v>0</v>
      </c>
    </row>
    <row r="1924" spans="1:53" ht="15.75" thickBot="1" x14ac:dyDescent="0.3">
      <c r="A1924" s="88"/>
      <c r="B1924" s="66" t="s">
        <v>299</v>
      </c>
      <c r="C1924" s="67"/>
      <c r="D1924" s="102"/>
      <c r="E1924" s="32"/>
      <c r="F1924" s="32"/>
      <c r="G1924" s="68" t="s">
        <v>277</v>
      </c>
      <c r="H1924" s="69">
        <f t="shared" si="800"/>
        <v>0</v>
      </c>
      <c r="I1924" s="70">
        <f t="shared" si="801"/>
        <v>0</v>
      </c>
      <c r="J1924" s="73" t="str">
        <f t="shared" si="802"/>
        <v>--</v>
      </c>
      <c r="K1924" s="32"/>
      <c r="L1924" s="233"/>
      <c r="M1924" s="277"/>
      <c r="N1924" s="277"/>
      <c r="O1924" s="277"/>
      <c r="P1924" s="277"/>
      <c r="Q1924" s="277"/>
      <c r="R1924" s="277"/>
      <c r="S1924" s="277"/>
      <c r="T1924" s="277"/>
      <c r="U1924" s="278"/>
      <c r="V1924" s="103"/>
      <c r="W1924" s="84">
        <f t="shared" si="807"/>
        <v>1</v>
      </c>
      <c r="X1924" s="84"/>
      <c r="Y1924" s="78">
        <f>SUM(E1903:E1924)</f>
        <v>0</v>
      </c>
      <c r="Z1924" s="72" t="str">
        <f t="shared" si="805"/>
        <v/>
      </c>
      <c r="AA1924" s="72" t="str">
        <f t="shared" si="806"/>
        <v/>
      </c>
      <c r="AB1924" s="72"/>
      <c r="AC1924" s="72">
        <f t="shared" si="791"/>
        <v>1</v>
      </c>
      <c r="AD1924" s="72">
        <f t="shared" si="792"/>
        <v>1</v>
      </c>
      <c r="AE1924" s="109" t="str">
        <f t="shared" si="793"/>
        <v>0-0</v>
      </c>
      <c r="AF1924" s="109" t="str">
        <f t="shared" si="794"/>
        <v>Y</v>
      </c>
      <c r="AG1924" s="109" t="str">
        <f t="shared" si="795"/>
        <v>B</v>
      </c>
      <c r="AM1924" s="109">
        <f t="shared" si="796"/>
        <v>0</v>
      </c>
      <c r="AN1924" s="109">
        <f t="shared" si="797"/>
        <v>0</v>
      </c>
      <c r="AO1924" s="109" t="str">
        <f t="shared" si="798"/>
        <v/>
      </c>
      <c r="AQ1924" s="109" t="str">
        <f t="shared" si="799"/>
        <v/>
      </c>
      <c r="BA1924" s="229">
        <f>MOD(SUM(E1903:E1925),12)</f>
        <v>0</v>
      </c>
    </row>
    <row r="1925" spans="1:53" ht="15.75" thickBot="1" x14ac:dyDescent="0.3">
      <c r="A1925" s="88"/>
      <c r="B1925" s="66" t="s">
        <v>300</v>
      </c>
      <c r="C1925" s="67"/>
      <c r="D1925" s="102"/>
      <c r="E1925" s="32"/>
      <c r="F1925" s="32"/>
      <c r="G1925" s="68" t="s">
        <v>277</v>
      </c>
      <c r="H1925" s="69">
        <f t="shared" si="800"/>
        <v>0</v>
      </c>
      <c r="I1925" s="70">
        <f t="shared" si="801"/>
        <v>0</v>
      </c>
      <c r="J1925" s="73" t="str">
        <f t="shared" si="802"/>
        <v>--</v>
      </c>
      <c r="K1925" s="32"/>
      <c r="L1925" s="233"/>
      <c r="M1925" s="277"/>
      <c r="N1925" s="277"/>
      <c r="O1925" s="277"/>
      <c r="P1925" s="277"/>
      <c r="Q1925" s="277"/>
      <c r="R1925" s="277"/>
      <c r="S1925" s="277"/>
      <c r="T1925" s="277"/>
      <c r="U1925" s="278"/>
      <c r="V1925" s="103"/>
      <c r="W1925" s="84">
        <f t="shared" si="807"/>
        <v>1</v>
      </c>
      <c r="X1925" s="84"/>
      <c r="Y1925" s="78">
        <f>SUM(E1903:E1925)</f>
        <v>0</v>
      </c>
      <c r="Z1925" s="72" t="str">
        <f t="shared" si="805"/>
        <v/>
      </c>
      <c r="AA1925" s="72" t="str">
        <f t="shared" si="806"/>
        <v/>
      </c>
      <c r="AB1925" s="72"/>
      <c r="AC1925" s="72">
        <f t="shared" si="791"/>
        <v>1</v>
      </c>
      <c r="AD1925" s="72">
        <f t="shared" si="792"/>
        <v>1</v>
      </c>
      <c r="AE1925" s="109" t="str">
        <f t="shared" si="793"/>
        <v>0-0</v>
      </c>
      <c r="AF1925" s="109" t="str">
        <f t="shared" si="794"/>
        <v>Y</v>
      </c>
      <c r="AG1925" s="109" t="str">
        <f t="shared" si="795"/>
        <v>B</v>
      </c>
      <c r="AM1925" s="109">
        <f t="shared" si="796"/>
        <v>0</v>
      </c>
      <c r="AN1925" s="109">
        <f t="shared" si="797"/>
        <v>0</v>
      </c>
      <c r="AO1925" s="109" t="str">
        <f t="shared" si="798"/>
        <v/>
      </c>
      <c r="AQ1925" s="109" t="str">
        <f t="shared" si="799"/>
        <v/>
      </c>
      <c r="BA1925" s="229">
        <f>MOD(SUM(E1903:E1926),12)</f>
        <v>0</v>
      </c>
    </row>
    <row r="1926" spans="1:53" ht="15.75" thickBot="1" x14ac:dyDescent="0.3">
      <c r="A1926" s="88"/>
      <c r="B1926" s="66" t="s">
        <v>301</v>
      </c>
      <c r="C1926" s="67"/>
      <c r="D1926" s="102"/>
      <c r="E1926" s="32"/>
      <c r="F1926" s="32"/>
      <c r="G1926" s="68" t="s">
        <v>277</v>
      </c>
      <c r="H1926" s="69">
        <f t="shared" si="800"/>
        <v>0</v>
      </c>
      <c r="I1926" s="70">
        <f t="shared" si="801"/>
        <v>0</v>
      </c>
      <c r="J1926" s="73" t="str">
        <f t="shared" si="802"/>
        <v>--</v>
      </c>
      <c r="K1926" s="32"/>
      <c r="L1926" s="233"/>
      <c r="M1926" s="277"/>
      <c r="N1926" s="277"/>
      <c r="O1926" s="277"/>
      <c r="P1926" s="277"/>
      <c r="Q1926" s="277"/>
      <c r="R1926" s="277"/>
      <c r="S1926" s="277"/>
      <c r="T1926" s="277"/>
      <c r="U1926" s="278"/>
      <c r="V1926" s="103"/>
      <c r="W1926" s="84">
        <f t="shared" si="807"/>
        <v>1</v>
      </c>
      <c r="X1926" s="84"/>
      <c r="Y1926" s="78">
        <f>SUM(E1903:E1926)</f>
        <v>0</v>
      </c>
      <c r="Z1926" s="72" t="str">
        <f t="shared" si="805"/>
        <v/>
      </c>
      <c r="AA1926" s="72" t="str">
        <f t="shared" si="806"/>
        <v/>
      </c>
      <c r="AB1926" s="72"/>
      <c r="AC1926" s="72">
        <f t="shared" si="791"/>
        <v>1</v>
      </c>
      <c r="AD1926" s="72">
        <f t="shared" si="792"/>
        <v>1</v>
      </c>
      <c r="AE1926" s="109" t="str">
        <f t="shared" si="793"/>
        <v>0-0</v>
      </c>
      <c r="AF1926" s="109" t="str">
        <f t="shared" si="794"/>
        <v>Y</v>
      </c>
      <c r="AG1926" s="109" t="str">
        <f t="shared" si="795"/>
        <v>B</v>
      </c>
      <c r="AM1926" s="109">
        <f t="shared" si="796"/>
        <v>0</v>
      </c>
      <c r="AN1926" s="109">
        <f t="shared" si="797"/>
        <v>0</v>
      </c>
      <c r="AO1926" s="109" t="str">
        <f t="shared" si="798"/>
        <v/>
      </c>
      <c r="AQ1926" s="109" t="str">
        <f t="shared" si="799"/>
        <v/>
      </c>
      <c r="BA1926" s="229">
        <f>MOD(SUM(E1903:E1927),12)</f>
        <v>0</v>
      </c>
    </row>
    <row r="1927" spans="1:53" ht="15.75" thickBot="1" x14ac:dyDescent="0.3">
      <c r="A1927" s="88"/>
      <c r="B1927" s="66" t="s">
        <v>302</v>
      </c>
      <c r="C1927" s="67"/>
      <c r="D1927" s="102"/>
      <c r="E1927" s="32"/>
      <c r="F1927" s="32"/>
      <c r="G1927" s="68" t="s">
        <v>277</v>
      </c>
      <c r="H1927" s="69">
        <f t="shared" si="800"/>
        <v>0</v>
      </c>
      <c r="I1927" s="70">
        <f t="shared" si="801"/>
        <v>0</v>
      </c>
      <c r="J1927" s="73" t="str">
        <f t="shared" si="802"/>
        <v>--</v>
      </c>
      <c r="K1927" s="32"/>
      <c r="L1927" s="234"/>
      <c r="M1927" s="277"/>
      <c r="N1927" s="277"/>
      <c r="O1927" s="277"/>
      <c r="P1927" s="277"/>
      <c r="Q1927" s="277"/>
      <c r="R1927" s="277"/>
      <c r="S1927" s="277"/>
      <c r="T1927" s="277"/>
      <c r="U1927" s="278"/>
      <c r="V1927" s="103"/>
      <c r="W1927" s="72"/>
      <c r="X1927" s="72"/>
      <c r="Y1927" s="78">
        <f>SUM(E1903:E1927)</f>
        <v>0</v>
      </c>
      <c r="Z1927" s="72" t="str">
        <f t="shared" si="805"/>
        <v/>
      </c>
      <c r="AA1927" s="72" t="str">
        <f t="shared" si="806"/>
        <v/>
      </c>
      <c r="AB1927" s="72"/>
      <c r="AC1927" s="72">
        <f t="shared" si="791"/>
        <v>1</v>
      </c>
      <c r="AD1927" s="72">
        <f t="shared" si="792"/>
        <v>1</v>
      </c>
      <c r="AE1927" s="109" t="str">
        <f t="shared" si="793"/>
        <v>0-0</v>
      </c>
      <c r="AF1927" s="109" t="str">
        <f t="shared" si="794"/>
        <v>Y</v>
      </c>
      <c r="AG1927" s="109" t="str">
        <f t="shared" si="795"/>
        <v>B</v>
      </c>
      <c r="AM1927" s="109">
        <f t="shared" si="796"/>
        <v>0</v>
      </c>
      <c r="AN1927" s="109">
        <f t="shared" si="797"/>
        <v>0</v>
      </c>
      <c r="AO1927" s="109" t="str">
        <f t="shared" si="798"/>
        <v/>
      </c>
      <c r="AQ1927" s="109" t="str">
        <f t="shared" si="799"/>
        <v/>
      </c>
      <c r="BA1927" s="228"/>
    </row>
    <row r="1928" spans="1:53" ht="16.5" thickBot="1" x14ac:dyDescent="0.3">
      <c r="A1928" s="88"/>
      <c r="B1928" s="319" t="s">
        <v>397</v>
      </c>
      <c r="C1928" s="320"/>
      <c r="D1928" s="79"/>
      <c r="E1928" s="80"/>
      <c r="F1928" s="80"/>
      <c r="G1928" s="81"/>
      <c r="H1928" s="192"/>
      <c r="I1928" s="192"/>
      <c r="J1928" s="192"/>
      <c r="K1928" s="82"/>
      <c r="L1928" s="319" t="s">
        <v>306</v>
      </c>
      <c r="M1928" s="330"/>
      <c r="N1928" s="330"/>
      <c r="O1928" s="330"/>
      <c r="P1928" s="330"/>
      <c r="Q1928" s="330"/>
      <c r="R1928" s="330"/>
      <c r="S1928" s="330"/>
      <c r="T1928" s="330"/>
      <c r="U1928" s="320"/>
      <c r="V1928" s="104"/>
      <c r="W1928" s="72"/>
      <c r="X1928" s="72"/>
      <c r="Y1928" s="72"/>
      <c r="Z1928" s="72"/>
      <c r="AA1928" s="72" t="str">
        <f t="shared" si="806"/>
        <v/>
      </c>
      <c r="AB1928" s="72"/>
      <c r="AC1928" s="72">
        <f>SUM(AC1903:AC1927)</f>
        <v>25</v>
      </c>
      <c r="AD1928" s="72">
        <f>SUM(AD1903:AD1927)</f>
        <v>25</v>
      </c>
      <c r="AE1928" s="109" t="str">
        <f t="shared" si="793"/>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319" t="s">
        <v>307</v>
      </c>
      <c r="C1929" s="320"/>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806"/>
        <v/>
      </c>
      <c r="AB1929" s="72"/>
      <c r="AC1929" s="72"/>
      <c r="AD1929" s="72"/>
      <c r="AE1929" s="109" t="str">
        <f t="shared" si="793"/>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312" t="s">
        <v>222</v>
      </c>
      <c r="C1933" s="313"/>
      <c r="D1933" s="314" t="s">
        <v>223</v>
      </c>
      <c r="E1933" s="305"/>
      <c r="F1933" s="88"/>
      <c r="G1933" s="315" t="s">
        <v>224</v>
      </c>
      <c r="H1933" s="316"/>
      <c r="I1933" s="28">
        <f>SUM(E1944:E1968)</f>
        <v>0</v>
      </c>
      <c r="J1933" s="317" t="s">
        <v>225</v>
      </c>
      <c r="K1933" s="318"/>
      <c r="L1933" s="305"/>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5" t="s">
        <v>226</v>
      </c>
      <c r="AA1933" s="296"/>
      <c r="AB1933" s="297"/>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4" t="s">
        <v>230</v>
      </c>
      <c r="H1934" s="305"/>
      <c r="I1934" s="33">
        <f>E1935-I1933</f>
        <v>0</v>
      </c>
      <c r="J1934" s="289" t="s">
        <v>231</v>
      </c>
      <c r="K1934" s="290"/>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298" t="s">
        <v>232</v>
      </c>
      <c r="AA1934" s="300" t="s">
        <v>233</v>
      </c>
      <c r="AB1934" s="301"/>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291" t="s">
        <v>237</v>
      </c>
      <c r="H1935" s="292"/>
      <c r="I1935" s="35">
        <f>IF(E1935=0,0,12-(MOD(I1933,12)))</f>
        <v>0</v>
      </c>
      <c r="J1935" s="289" t="s">
        <v>238</v>
      </c>
      <c r="K1935" s="290"/>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299"/>
      <c r="AA1935" s="302"/>
      <c r="AB1935" s="303"/>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321" t="s">
        <v>242</v>
      </c>
      <c r="H1936" s="43" t="s">
        <v>243</v>
      </c>
      <c r="I1936" s="35">
        <f>IF(E1936&lt;&gt;0,1,0)</f>
        <v>0</v>
      </c>
      <c r="J1936" s="291" t="s">
        <v>244</v>
      </c>
      <c r="K1936" s="292"/>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322"/>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321" t="s">
        <v>251</v>
      </c>
      <c r="H1938" s="51" t="s">
        <v>252</v>
      </c>
      <c r="I1938" s="112">
        <f>E1937</f>
        <v>0</v>
      </c>
      <c r="J1938" s="323" t="s">
        <v>253</v>
      </c>
      <c r="K1938" s="324"/>
      <c r="L1938" s="325"/>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322"/>
      <c r="H1939" s="47" t="s">
        <v>257</v>
      </c>
      <c r="I1939" s="35" t="str">
        <f>IF(E1937="","0",IF(AND(E1934="EUC",E1935=432), I1938+(203-E1936),IF(E1937=0,0,(E1937+(E1935-E1936)-1))))</f>
        <v>0</v>
      </c>
      <c r="J1939" s="285" t="str">
        <f>IFERROR(IF(OR(E1934="EUC",E1934="SS"),"---",IF(OR(P1933,S1933),"NO 2F Tethers for RPX!",IF(OR(P1935,S1935),"NO 6F Tethers for RPX!","---"))),"---")</f>
        <v>---</v>
      </c>
      <c r="K1939" s="286"/>
      <c r="L1939" s="287"/>
      <c r="M1939" s="285" t="str">
        <f>IF(E1936&gt;60,"Dead Count &gt;60: Consider Downsize","---")</f>
        <v>---</v>
      </c>
      <c r="N1939" s="286"/>
      <c r="O1939" s="286"/>
      <c r="P1939" s="286"/>
      <c r="Q1939" s="286"/>
      <c r="R1939" s="286"/>
      <c r="S1939" s="286"/>
      <c r="T1939" s="286"/>
      <c r="U1939" s="287"/>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85"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86"/>
      <c r="L1940" s="287"/>
      <c r="M1940" s="285" t="str">
        <f>IF(AND(OR(E1934="SS",E1934="RPX",E1934="EUC",E1934="RPX-T"),(OR(C1944="",C1944="Field SPL"))),"Cannot have FlexNap cables without tethers","---")</f>
        <v>---</v>
      </c>
      <c r="N1940" s="286"/>
      <c r="O1940" s="286"/>
      <c r="P1940" s="286"/>
      <c r="Q1940" s="286"/>
      <c r="R1940" s="286"/>
      <c r="S1940" s="286"/>
      <c r="T1940" s="286"/>
      <c r="U1940" s="287"/>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85" t="str">
        <f>IF(AND(OR(E1934="RPX", E1934="RPX-T", E1934="SS"),E1935=216),"NO 216 For RPX, RPX-T, OR SS CABLE","---")</f>
        <v>---</v>
      </c>
      <c r="K1941" s="286"/>
      <c r="L1941" s="287"/>
      <c r="M1941" s="285" t="str" cm="1">
        <f t="array" ref="M1941">IF(AND(E1934="",OR(C1944:C1968="FST",C1944:C1968="REV T",C1944:C1968="DBL REV",C1944:C1968="TPL REV", C1944:C1968="QD REV")),"Non-FlexNap cables cannot have tethers","---")</f>
        <v>---</v>
      </c>
      <c r="N1941" s="286"/>
      <c r="O1941" s="286"/>
      <c r="P1941" s="286"/>
      <c r="Q1941" s="286"/>
      <c r="R1941" s="286"/>
      <c r="S1941" s="286"/>
      <c r="T1941" s="286"/>
      <c r="U1941" s="287"/>
      <c r="V1941" s="25"/>
      <c r="W1941" s="58"/>
      <c r="X1941" s="58"/>
      <c r="Y1941" s="25"/>
      <c r="Z1941" s="45">
        <v>6</v>
      </c>
      <c r="AA1941" s="65">
        <v>61</v>
      </c>
      <c r="AB1941" s="65">
        <v>72</v>
      </c>
      <c r="AC1941" s="25"/>
      <c r="AD1941" s="25"/>
      <c r="BA1941" s="226"/>
    </row>
    <row r="1942" spans="1:53" ht="15.75" customHeight="1" thickBot="1" x14ac:dyDescent="0.3">
      <c r="A1942" s="88"/>
      <c r="B1942" s="321" t="s">
        <v>260</v>
      </c>
      <c r="C1942" s="293" t="s">
        <v>261</v>
      </c>
      <c r="D1942" s="293" t="s">
        <v>262</v>
      </c>
      <c r="E1942" s="306" t="s">
        <v>263</v>
      </c>
      <c r="F1942" s="293" t="s">
        <v>264</v>
      </c>
      <c r="G1942" s="308" t="s">
        <v>265</v>
      </c>
      <c r="H1942" s="308" t="s">
        <v>266</v>
      </c>
      <c r="I1942" s="308" t="s">
        <v>267</v>
      </c>
      <c r="J1942" s="310" t="s">
        <v>268</v>
      </c>
      <c r="K1942" s="293" t="s">
        <v>269</v>
      </c>
      <c r="L1942" s="279" t="s">
        <v>270</v>
      </c>
      <c r="M1942" s="281" t="s">
        <v>271</v>
      </c>
      <c r="N1942" s="281"/>
      <c r="O1942" s="281"/>
      <c r="P1942" s="281"/>
      <c r="Q1942" s="281"/>
      <c r="R1942" s="281"/>
      <c r="S1942" s="281"/>
      <c r="T1942" s="281"/>
      <c r="U1942" s="282"/>
      <c r="V1942" s="107"/>
      <c r="W1942" s="72"/>
      <c r="X1942" s="72"/>
      <c r="Y1942" s="72"/>
      <c r="Z1942" s="45">
        <v>7</v>
      </c>
      <c r="AA1942" s="65">
        <v>73</v>
      </c>
      <c r="AB1942" s="65">
        <v>84</v>
      </c>
      <c r="AC1942" s="25"/>
      <c r="AD1942" s="25"/>
      <c r="BA1942" s="228"/>
    </row>
    <row r="1943" spans="1:53" ht="15.75" thickBot="1" x14ac:dyDescent="0.3">
      <c r="A1943" s="88"/>
      <c r="B1943" s="322"/>
      <c r="C1943" s="294"/>
      <c r="D1943" s="294"/>
      <c r="E1943" s="307"/>
      <c r="F1943" s="294"/>
      <c r="G1943" s="309"/>
      <c r="H1943" s="309"/>
      <c r="I1943" s="309"/>
      <c r="J1943" s="311"/>
      <c r="K1943" s="294"/>
      <c r="L1943" s="280"/>
      <c r="M1943" s="283"/>
      <c r="N1943" s="283"/>
      <c r="O1943" s="283"/>
      <c r="P1943" s="283"/>
      <c r="Q1943" s="283"/>
      <c r="R1943" s="283"/>
      <c r="S1943" s="283"/>
      <c r="T1943" s="283"/>
      <c r="U1943" s="284"/>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77"/>
      <c r="N1944" s="277"/>
      <c r="O1944" s="277"/>
      <c r="P1944" s="277"/>
      <c r="Q1944" s="277"/>
      <c r="R1944" s="277"/>
      <c r="S1944" s="277"/>
      <c r="T1944" s="277"/>
      <c r="U1944" s="278"/>
      <c r="V1944" s="103"/>
      <c r="W1944" s="72"/>
      <c r="X1944" s="72"/>
      <c r="Y1944" s="72"/>
      <c r="Z1944" s="45">
        <v>9</v>
      </c>
      <c r="AA1944" s="46">
        <v>97</v>
      </c>
      <c r="AB1944" s="46">
        <v>108</v>
      </c>
      <c r="AC1944" s="72">
        <f t="shared" ref="AC1944:AC1968" si="808">IF(B1944&lt;&gt;"FST",1,0)</f>
        <v>1</v>
      </c>
      <c r="AD1944" s="72">
        <f t="shared" ref="AD1944:AD1968" si="809">IF(C1944&lt;&gt;"FST",1,0)</f>
        <v>1</v>
      </c>
      <c r="AE1944" s="109" t="str">
        <f t="shared" ref="AE1944:AE1970" si="810">CONCATENATE(H1944,"-",I1944)</f>
        <v>0-0</v>
      </c>
      <c r="AF1944" s="109" t="str">
        <f t="shared" ref="AF1944:AF1968" si="811">IF(C1944="Field SPL","N","Y")</f>
        <v>Y</v>
      </c>
      <c r="AG1944" s="109" t="str">
        <f t="shared" ref="AG1944:AG1968" si="812">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13">VALUE(IF(C1944="FST","0",IF(C1944="REV T","1",IF(C1944="DBL REV",".5","0"))))</f>
        <v>0</v>
      </c>
      <c r="AN1944" s="109">
        <f t="shared" ref="AN1944:AN1968" si="814">VALUE(IF(C1944="FST","0",IF(C1944="REV T","0",IF(C1944="DBL REV",".5","0"))))</f>
        <v>0</v>
      </c>
      <c r="AO1944" s="109" t="str">
        <f t="shared" ref="AO1944:AO1968" si="815">IF(C1944="TPL REV","Y","")</f>
        <v/>
      </c>
      <c r="AQ1944" s="109" t="str">
        <f t="shared" ref="AQ1944:AQ1968" si="816">IF(C1944="QD REV","Y","")</f>
        <v/>
      </c>
      <c r="BA1944" s="229">
        <f>MOD(E1944,12)</f>
        <v>0</v>
      </c>
    </row>
    <row r="1945" spans="1:53" ht="15.75" thickBot="1" x14ac:dyDescent="0.3">
      <c r="A1945" s="88"/>
      <c r="B1945" s="66" t="s">
        <v>279</v>
      </c>
      <c r="C1945" s="67"/>
      <c r="D1945" s="102"/>
      <c r="E1945" s="32"/>
      <c r="F1945" s="32"/>
      <c r="G1945" s="68" t="s">
        <v>277</v>
      </c>
      <c r="H1945" s="69">
        <f t="shared" ref="H1945:H1968" si="817">IF(E1945=0,0,I1945-(E1945-1))</f>
        <v>0</v>
      </c>
      <c r="I1945" s="70">
        <f t="shared" ref="I1945:I1968" si="818">IF(E1945=0,0,H1944-1)</f>
        <v>0</v>
      </c>
      <c r="J1945" s="73" t="str">
        <f>IF(C1945="","--",IF(AND(C1945&lt;&gt;"FST",C1945&lt;&gt;"TCF",BA1944&lt;&gt;0),BA1944,"--"))</f>
        <v>--</v>
      </c>
      <c r="K1945" s="32"/>
      <c r="L1945" s="233"/>
      <c r="M1945" s="277"/>
      <c r="N1945" s="277"/>
      <c r="O1945" s="277"/>
      <c r="P1945" s="277"/>
      <c r="Q1945" s="277"/>
      <c r="R1945" s="277"/>
      <c r="S1945" s="277"/>
      <c r="T1945" s="277"/>
      <c r="U1945" s="278"/>
      <c r="V1945" s="103"/>
      <c r="W1945" s="72"/>
      <c r="X1945" s="72"/>
      <c r="Y1945" s="72"/>
      <c r="Z1945" s="45">
        <v>10</v>
      </c>
      <c r="AA1945" s="46">
        <v>109</v>
      </c>
      <c r="AB1945" s="46">
        <v>120</v>
      </c>
      <c r="AC1945" s="72">
        <f t="shared" si="808"/>
        <v>1</v>
      </c>
      <c r="AD1945" s="72">
        <f t="shared" si="809"/>
        <v>1</v>
      </c>
      <c r="AE1945" s="109" t="str">
        <f t="shared" si="810"/>
        <v>0-0</v>
      </c>
      <c r="AF1945" s="109" t="str">
        <f t="shared" si="811"/>
        <v>Y</v>
      </c>
      <c r="AG1945" s="109" t="str">
        <f t="shared" si="812"/>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13"/>
        <v>0</v>
      </c>
      <c r="AN1945" s="109">
        <f t="shared" si="814"/>
        <v>0</v>
      </c>
      <c r="AO1945" s="109" t="str">
        <f t="shared" si="815"/>
        <v/>
      </c>
      <c r="AQ1945" s="109" t="str">
        <f t="shared" si="816"/>
        <v/>
      </c>
      <c r="BA1945" s="229">
        <f>MOD(SUM(E1944:E1945),12)</f>
        <v>0</v>
      </c>
    </row>
    <row r="1946" spans="1:53" ht="15.75" thickBot="1" x14ac:dyDescent="0.3">
      <c r="A1946" s="88"/>
      <c r="B1946" s="74" t="s">
        <v>280</v>
      </c>
      <c r="C1946" s="67"/>
      <c r="D1946" s="102"/>
      <c r="E1946" s="32"/>
      <c r="F1946" s="32"/>
      <c r="G1946" s="75" t="s">
        <v>277</v>
      </c>
      <c r="H1946" s="69">
        <f t="shared" si="817"/>
        <v>0</v>
      </c>
      <c r="I1946" s="70">
        <f t="shared" si="818"/>
        <v>0</v>
      </c>
      <c r="J1946" s="73" t="str">
        <f t="shared" ref="J1946:J1968" si="819">IF(C1946="","--",IF(AND(C1946&lt;&gt;"FST",C1946&lt;&gt;"TCF",BA1945&lt;&gt;0),BA1945,"--"))</f>
        <v>--</v>
      </c>
      <c r="K1946" s="32"/>
      <c r="L1946" s="233"/>
      <c r="M1946" s="277"/>
      <c r="N1946" s="277"/>
      <c r="O1946" s="277"/>
      <c r="P1946" s="277"/>
      <c r="Q1946" s="277"/>
      <c r="R1946" s="277"/>
      <c r="S1946" s="277"/>
      <c r="T1946" s="277"/>
      <c r="U1946" s="278"/>
      <c r="V1946" s="103"/>
      <c r="W1946" s="72"/>
      <c r="X1946" s="72"/>
      <c r="Y1946" s="72"/>
      <c r="Z1946" s="45">
        <v>11</v>
      </c>
      <c r="AA1946" s="46">
        <v>121</v>
      </c>
      <c r="AB1946" s="46">
        <v>132</v>
      </c>
      <c r="AC1946" s="72">
        <f t="shared" si="808"/>
        <v>1</v>
      </c>
      <c r="AD1946" s="72">
        <f t="shared" si="809"/>
        <v>1</v>
      </c>
      <c r="AE1946" s="109" t="str">
        <f t="shared" si="810"/>
        <v>0-0</v>
      </c>
      <c r="AF1946" s="109" t="str">
        <f t="shared" si="811"/>
        <v>Y</v>
      </c>
      <c r="AG1946" s="109" t="str">
        <f t="shared" si="812"/>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13"/>
        <v>0</v>
      </c>
      <c r="AN1946" s="109">
        <f t="shared" si="814"/>
        <v>0</v>
      </c>
      <c r="AO1946" s="109" t="str">
        <f t="shared" si="815"/>
        <v/>
      </c>
      <c r="AQ1946" s="109" t="str">
        <f t="shared" si="816"/>
        <v/>
      </c>
      <c r="BA1946" s="229">
        <f>MOD(SUM(E1944:E1947),12)</f>
        <v>0</v>
      </c>
    </row>
    <row r="1947" spans="1:53" ht="15.75" thickBot="1" x14ac:dyDescent="0.3">
      <c r="A1947" s="88"/>
      <c r="B1947" s="66" t="s">
        <v>281</v>
      </c>
      <c r="C1947" s="67"/>
      <c r="D1947" s="102"/>
      <c r="E1947" s="32"/>
      <c r="F1947" s="32"/>
      <c r="G1947" s="68" t="s">
        <v>277</v>
      </c>
      <c r="H1947" s="69">
        <f t="shared" si="817"/>
        <v>0</v>
      </c>
      <c r="I1947" s="70">
        <f t="shared" si="818"/>
        <v>0</v>
      </c>
      <c r="J1947" s="73" t="str">
        <f t="shared" si="819"/>
        <v>--</v>
      </c>
      <c r="K1947" s="32"/>
      <c r="L1947" s="233"/>
      <c r="M1947" s="277"/>
      <c r="N1947" s="277"/>
      <c r="O1947" s="277"/>
      <c r="P1947" s="277"/>
      <c r="Q1947" s="277"/>
      <c r="R1947" s="277"/>
      <c r="S1947" s="277"/>
      <c r="T1947" s="277"/>
      <c r="U1947" s="278"/>
      <c r="V1947" s="103"/>
      <c r="W1947" s="72"/>
      <c r="X1947" s="72"/>
      <c r="Y1947" s="72"/>
      <c r="Z1947" s="45">
        <v>12</v>
      </c>
      <c r="AA1947" s="76">
        <v>133</v>
      </c>
      <c r="AB1947" s="76">
        <v>144</v>
      </c>
      <c r="AC1947" s="72">
        <f t="shared" si="808"/>
        <v>1</v>
      </c>
      <c r="AD1947" s="72">
        <f t="shared" si="809"/>
        <v>1</v>
      </c>
      <c r="AE1947" s="109" t="str">
        <f t="shared" si="810"/>
        <v>0-0</v>
      </c>
      <c r="AF1947" s="109" t="str">
        <f t="shared" si="811"/>
        <v>Y</v>
      </c>
      <c r="AG1947" s="109" t="str">
        <f t="shared" si="812"/>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13"/>
        <v>0</v>
      </c>
      <c r="AN1947" s="109">
        <f t="shared" si="814"/>
        <v>0</v>
      </c>
      <c r="AO1947" s="109" t="str">
        <f t="shared" si="815"/>
        <v/>
      </c>
      <c r="AQ1947" s="109" t="str">
        <f t="shared" si="816"/>
        <v/>
      </c>
      <c r="BA1947" s="229">
        <f>MOD(SUM(E1944:E1948),12)</f>
        <v>0</v>
      </c>
    </row>
    <row r="1948" spans="1:53" ht="15.75" thickBot="1" x14ac:dyDescent="0.3">
      <c r="A1948" s="88"/>
      <c r="B1948" s="66" t="s">
        <v>282</v>
      </c>
      <c r="C1948" s="67"/>
      <c r="D1948" s="102"/>
      <c r="E1948" s="32"/>
      <c r="F1948" s="32"/>
      <c r="G1948" s="68" t="s">
        <v>277</v>
      </c>
      <c r="H1948" s="69">
        <f t="shared" si="817"/>
        <v>0</v>
      </c>
      <c r="I1948" s="70">
        <f t="shared" si="818"/>
        <v>0</v>
      </c>
      <c r="J1948" s="73" t="str">
        <f t="shared" si="819"/>
        <v>--</v>
      </c>
      <c r="K1948" s="32"/>
      <c r="L1948" s="233"/>
      <c r="M1948" s="277"/>
      <c r="N1948" s="277"/>
      <c r="O1948" s="277"/>
      <c r="P1948" s="277"/>
      <c r="Q1948" s="277"/>
      <c r="R1948" s="277"/>
      <c r="S1948" s="277"/>
      <c r="T1948" s="277"/>
      <c r="U1948" s="278"/>
      <c r="V1948" s="103"/>
      <c r="W1948" s="72"/>
      <c r="X1948" s="72"/>
      <c r="Y1948" s="72"/>
      <c r="Z1948" s="45">
        <v>13</v>
      </c>
      <c r="AA1948" s="77">
        <f t="shared" ref="AA1948:AA1953" si="820">AB1947+1</f>
        <v>145</v>
      </c>
      <c r="AB1948" s="77">
        <f t="shared" ref="AB1948:AB1953" si="821">AB1947+12</f>
        <v>156</v>
      </c>
      <c r="AC1948" s="72">
        <f t="shared" si="808"/>
        <v>1</v>
      </c>
      <c r="AD1948" s="72">
        <f t="shared" si="809"/>
        <v>1</v>
      </c>
      <c r="AE1948" s="109" t="str">
        <f t="shared" si="810"/>
        <v>0-0</v>
      </c>
      <c r="AF1948" s="109" t="str">
        <f t="shared" si="811"/>
        <v>Y</v>
      </c>
      <c r="AG1948" s="109" t="str">
        <f t="shared" si="812"/>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13"/>
        <v>0</v>
      </c>
      <c r="AN1948" s="109">
        <f t="shared" si="814"/>
        <v>0</v>
      </c>
      <c r="AO1948" s="109" t="str">
        <f t="shared" si="815"/>
        <v/>
      </c>
      <c r="AQ1948" s="109" t="str">
        <f t="shared" si="816"/>
        <v/>
      </c>
      <c r="BA1948" s="229">
        <f>MOD(SUM(E1944:E1949),12)</f>
        <v>0</v>
      </c>
    </row>
    <row r="1949" spans="1:53" ht="15.75" thickBot="1" x14ac:dyDescent="0.3">
      <c r="A1949" s="88"/>
      <c r="B1949" s="66" t="s">
        <v>283</v>
      </c>
      <c r="C1949" s="67"/>
      <c r="D1949" s="102"/>
      <c r="E1949" s="32"/>
      <c r="F1949" s="32"/>
      <c r="G1949" s="68" t="s">
        <v>277</v>
      </c>
      <c r="H1949" s="69">
        <f t="shared" si="817"/>
        <v>0</v>
      </c>
      <c r="I1949" s="70">
        <f t="shared" si="818"/>
        <v>0</v>
      </c>
      <c r="J1949" s="73" t="str">
        <f t="shared" si="819"/>
        <v>--</v>
      </c>
      <c r="K1949" s="32"/>
      <c r="L1949" s="233"/>
      <c r="M1949" s="277"/>
      <c r="N1949" s="277"/>
      <c r="O1949" s="277"/>
      <c r="P1949" s="277"/>
      <c r="Q1949" s="277"/>
      <c r="R1949" s="277"/>
      <c r="S1949" s="277"/>
      <c r="T1949" s="277"/>
      <c r="U1949" s="278"/>
      <c r="V1949" s="103"/>
      <c r="W1949" s="72"/>
      <c r="X1949" s="72"/>
      <c r="Y1949" s="72"/>
      <c r="Z1949" s="45">
        <v>14</v>
      </c>
      <c r="AA1949" s="77">
        <f t="shared" si="820"/>
        <v>157</v>
      </c>
      <c r="AB1949" s="77">
        <f t="shared" si="821"/>
        <v>168</v>
      </c>
      <c r="AC1949" s="72">
        <f t="shared" si="808"/>
        <v>1</v>
      </c>
      <c r="AD1949" s="72">
        <f t="shared" si="809"/>
        <v>1</v>
      </c>
      <c r="AE1949" s="109" t="str">
        <f t="shared" si="810"/>
        <v>0-0</v>
      </c>
      <c r="AF1949" s="109" t="str">
        <f t="shared" si="811"/>
        <v>Y</v>
      </c>
      <c r="AG1949" s="109" t="str">
        <f t="shared" si="812"/>
        <v>B</v>
      </c>
      <c r="AM1949" s="109">
        <f t="shared" si="813"/>
        <v>0</v>
      </c>
      <c r="AN1949" s="109">
        <f t="shared" si="814"/>
        <v>0</v>
      </c>
      <c r="AO1949" s="109" t="str">
        <f t="shared" si="815"/>
        <v/>
      </c>
      <c r="AQ1949" s="109" t="str">
        <f t="shared" si="816"/>
        <v/>
      </c>
      <c r="BA1949" s="229">
        <f>MOD(SUM(E1944:E1950),12)</f>
        <v>0</v>
      </c>
    </row>
    <row r="1950" spans="1:53" ht="15.75" thickBot="1" x14ac:dyDescent="0.3">
      <c r="A1950" s="88"/>
      <c r="B1950" s="66" t="s">
        <v>284</v>
      </c>
      <c r="C1950" s="67"/>
      <c r="D1950" s="102"/>
      <c r="E1950" s="32"/>
      <c r="F1950" s="32"/>
      <c r="G1950" s="68" t="s">
        <v>277</v>
      </c>
      <c r="H1950" s="69">
        <f t="shared" si="817"/>
        <v>0</v>
      </c>
      <c r="I1950" s="70">
        <f t="shared" si="818"/>
        <v>0</v>
      </c>
      <c r="J1950" s="73" t="str">
        <f t="shared" si="819"/>
        <v>--</v>
      </c>
      <c r="K1950" s="32"/>
      <c r="L1950" s="233"/>
      <c r="M1950" s="277"/>
      <c r="N1950" s="277"/>
      <c r="O1950" s="277"/>
      <c r="P1950" s="277"/>
      <c r="Q1950" s="277"/>
      <c r="R1950" s="277"/>
      <c r="S1950" s="277"/>
      <c r="T1950" s="277"/>
      <c r="U1950" s="278"/>
      <c r="V1950" s="103"/>
      <c r="W1950" s="72"/>
      <c r="X1950" s="72"/>
      <c r="Y1950" s="72"/>
      <c r="Z1950" s="45">
        <v>15</v>
      </c>
      <c r="AA1950" s="77">
        <f t="shared" si="820"/>
        <v>169</v>
      </c>
      <c r="AB1950" s="77">
        <f t="shared" si="821"/>
        <v>180</v>
      </c>
      <c r="AC1950" s="72">
        <f t="shared" si="808"/>
        <v>1</v>
      </c>
      <c r="AD1950" s="72">
        <f t="shared" si="809"/>
        <v>1</v>
      </c>
      <c r="AE1950" s="109" t="str">
        <f t="shared" si="810"/>
        <v>0-0</v>
      </c>
      <c r="AF1950" s="109" t="str">
        <f t="shared" si="811"/>
        <v>Y</v>
      </c>
      <c r="AG1950" s="109" t="str">
        <f t="shared" si="812"/>
        <v>B</v>
      </c>
      <c r="AM1950" s="109">
        <f t="shared" si="813"/>
        <v>0</v>
      </c>
      <c r="AN1950" s="109">
        <f t="shared" si="814"/>
        <v>0</v>
      </c>
      <c r="AO1950" s="109" t="str">
        <f t="shared" si="815"/>
        <v/>
      </c>
      <c r="AQ1950" s="109" t="str">
        <f t="shared" si="816"/>
        <v/>
      </c>
      <c r="BA1950" s="229">
        <f>MOD(SUM(E1944:E1951),12)</f>
        <v>0</v>
      </c>
    </row>
    <row r="1951" spans="1:53" ht="15.75" thickBot="1" x14ac:dyDescent="0.3">
      <c r="A1951" s="88"/>
      <c r="B1951" s="66" t="s">
        <v>285</v>
      </c>
      <c r="C1951" s="67"/>
      <c r="D1951" s="102"/>
      <c r="E1951" s="32"/>
      <c r="F1951" s="32"/>
      <c r="G1951" s="68" t="s">
        <v>277</v>
      </c>
      <c r="H1951" s="69">
        <f t="shared" si="817"/>
        <v>0</v>
      </c>
      <c r="I1951" s="70">
        <f t="shared" si="818"/>
        <v>0</v>
      </c>
      <c r="J1951" s="73" t="str">
        <f t="shared" si="819"/>
        <v>--</v>
      </c>
      <c r="K1951" s="32"/>
      <c r="L1951" s="233"/>
      <c r="M1951" s="277"/>
      <c r="N1951" s="277"/>
      <c r="O1951" s="277"/>
      <c r="P1951" s="277"/>
      <c r="Q1951" s="277"/>
      <c r="R1951" s="277"/>
      <c r="S1951" s="277"/>
      <c r="T1951" s="277"/>
      <c r="U1951" s="278"/>
      <c r="V1951" s="103"/>
      <c r="W1951" s="72"/>
      <c r="X1951" s="72"/>
      <c r="Y1951" s="72"/>
      <c r="Z1951" s="45">
        <f>Z1950+1</f>
        <v>16</v>
      </c>
      <c r="AA1951" s="77">
        <f t="shared" si="820"/>
        <v>181</v>
      </c>
      <c r="AB1951" s="77">
        <f t="shared" si="821"/>
        <v>192</v>
      </c>
      <c r="AC1951" s="72">
        <f t="shared" si="808"/>
        <v>1</v>
      </c>
      <c r="AD1951" s="72">
        <f t="shared" si="809"/>
        <v>1</v>
      </c>
      <c r="AE1951" s="109" t="str">
        <f t="shared" si="810"/>
        <v>0-0</v>
      </c>
      <c r="AF1951" s="109" t="str">
        <f t="shared" si="811"/>
        <v>Y</v>
      </c>
      <c r="AG1951" s="109" t="str">
        <f t="shared" si="812"/>
        <v>B</v>
      </c>
      <c r="AM1951" s="109">
        <f t="shared" si="813"/>
        <v>0</v>
      </c>
      <c r="AN1951" s="109">
        <f t="shared" si="814"/>
        <v>0</v>
      </c>
      <c r="AO1951" s="109" t="str">
        <f t="shared" si="815"/>
        <v/>
      </c>
      <c r="AQ1951" s="109" t="str">
        <f t="shared" si="816"/>
        <v/>
      </c>
      <c r="BA1951" s="229">
        <f>MOD(SUM(E1944:E1952),12)</f>
        <v>0</v>
      </c>
    </row>
    <row r="1952" spans="1:53" ht="15.75" thickBot="1" x14ac:dyDescent="0.3">
      <c r="A1952" s="88"/>
      <c r="B1952" s="66" t="s">
        <v>286</v>
      </c>
      <c r="C1952" s="67"/>
      <c r="D1952" s="102"/>
      <c r="E1952" s="32"/>
      <c r="F1952" s="32"/>
      <c r="G1952" s="68" t="s">
        <v>277</v>
      </c>
      <c r="H1952" s="69">
        <f t="shared" si="817"/>
        <v>0</v>
      </c>
      <c r="I1952" s="70">
        <f t="shared" si="818"/>
        <v>0</v>
      </c>
      <c r="J1952" s="73" t="str">
        <f t="shared" si="819"/>
        <v>--</v>
      </c>
      <c r="K1952" s="32"/>
      <c r="L1952" s="233"/>
      <c r="M1952" s="277"/>
      <c r="N1952" s="277"/>
      <c r="O1952" s="277"/>
      <c r="P1952" s="277"/>
      <c r="Q1952" s="277"/>
      <c r="R1952" s="277"/>
      <c r="S1952" s="277"/>
      <c r="T1952" s="277"/>
      <c r="U1952" s="278"/>
      <c r="V1952" s="103"/>
      <c r="W1952" s="72"/>
      <c r="X1952" s="72"/>
      <c r="Y1952" s="72"/>
      <c r="Z1952" s="45">
        <f>Z1951+1</f>
        <v>17</v>
      </c>
      <c r="AA1952" s="77">
        <f t="shared" si="820"/>
        <v>193</v>
      </c>
      <c r="AB1952" s="77">
        <f t="shared" si="821"/>
        <v>204</v>
      </c>
      <c r="AC1952" s="72">
        <f t="shared" si="808"/>
        <v>1</v>
      </c>
      <c r="AD1952" s="72">
        <f t="shared" si="809"/>
        <v>1</v>
      </c>
      <c r="AE1952" s="109" t="str">
        <f t="shared" si="810"/>
        <v>0-0</v>
      </c>
      <c r="AF1952" s="109" t="str">
        <f t="shared" si="811"/>
        <v>Y</v>
      </c>
      <c r="AG1952" s="109" t="str">
        <f t="shared" si="812"/>
        <v>B</v>
      </c>
      <c r="AM1952" s="109">
        <f t="shared" si="813"/>
        <v>0</v>
      </c>
      <c r="AN1952" s="109">
        <f t="shared" si="814"/>
        <v>0</v>
      </c>
      <c r="AO1952" s="109" t="str">
        <f t="shared" si="815"/>
        <v/>
      </c>
      <c r="AQ1952" s="109" t="str">
        <f t="shared" si="816"/>
        <v/>
      </c>
      <c r="BA1952" s="229">
        <f>MOD(SUM(E1944:E1953),12)</f>
        <v>0</v>
      </c>
    </row>
    <row r="1953" spans="1:53" ht="15.75" thickBot="1" x14ac:dyDescent="0.3">
      <c r="A1953" s="88"/>
      <c r="B1953" s="66" t="s">
        <v>287</v>
      </c>
      <c r="C1953" s="67"/>
      <c r="D1953" s="102"/>
      <c r="E1953" s="32"/>
      <c r="F1953" s="32"/>
      <c r="G1953" s="68" t="s">
        <v>277</v>
      </c>
      <c r="H1953" s="69">
        <f t="shared" si="817"/>
        <v>0</v>
      </c>
      <c r="I1953" s="70">
        <f t="shared" si="818"/>
        <v>0</v>
      </c>
      <c r="J1953" s="73" t="str">
        <f t="shared" si="819"/>
        <v>--</v>
      </c>
      <c r="K1953" s="32"/>
      <c r="L1953" s="233"/>
      <c r="M1953" s="277"/>
      <c r="N1953" s="277"/>
      <c r="O1953" s="277"/>
      <c r="P1953" s="277"/>
      <c r="Q1953" s="277"/>
      <c r="R1953" s="277"/>
      <c r="S1953" s="277"/>
      <c r="T1953" s="277"/>
      <c r="U1953" s="278"/>
      <c r="V1953" s="103"/>
      <c r="W1953" s="72"/>
      <c r="X1953" s="72"/>
      <c r="Y1953" s="72"/>
      <c r="Z1953" s="45">
        <f>Z1952+1</f>
        <v>18</v>
      </c>
      <c r="AA1953" s="77">
        <f t="shared" si="820"/>
        <v>205</v>
      </c>
      <c r="AB1953" s="77">
        <f t="shared" si="821"/>
        <v>216</v>
      </c>
      <c r="AC1953" s="72">
        <f t="shared" si="808"/>
        <v>1</v>
      </c>
      <c r="AD1953" s="72">
        <f t="shared" si="809"/>
        <v>1</v>
      </c>
      <c r="AE1953" s="109" t="str">
        <f t="shared" si="810"/>
        <v>0-0</v>
      </c>
      <c r="AF1953" s="109" t="str">
        <f t="shared" si="811"/>
        <v>Y</v>
      </c>
      <c r="AG1953" s="109" t="str">
        <f t="shared" si="812"/>
        <v>B</v>
      </c>
      <c r="AM1953" s="109">
        <f t="shared" si="813"/>
        <v>0</v>
      </c>
      <c r="AN1953" s="109">
        <f t="shared" si="814"/>
        <v>0</v>
      </c>
      <c r="AO1953" s="109" t="str">
        <f t="shared" si="815"/>
        <v/>
      </c>
      <c r="AQ1953" s="109" t="str">
        <f t="shared" si="816"/>
        <v/>
      </c>
      <c r="BA1953" s="229">
        <f>MOD(SUM(E1944:E1954),12)</f>
        <v>0</v>
      </c>
    </row>
    <row r="1954" spans="1:53" ht="15.75" thickBot="1" x14ac:dyDescent="0.3">
      <c r="A1954" s="88"/>
      <c r="B1954" s="66" t="s">
        <v>288</v>
      </c>
      <c r="C1954" s="67"/>
      <c r="D1954" s="102"/>
      <c r="E1954" s="32"/>
      <c r="F1954" s="32"/>
      <c r="G1954" s="68" t="s">
        <v>277</v>
      </c>
      <c r="H1954" s="69">
        <f t="shared" si="817"/>
        <v>0</v>
      </c>
      <c r="I1954" s="70">
        <f t="shared" si="818"/>
        <v>0</v>
      </c>
      <c r="J1954" s="73" t="str">
        <f t="shared" si="819"/>
        <v>--</v>
      </c>
      <c r="K1954" s="32"/>
      <c r="L1954" s="233"/>
      <c r="M1954" s="277"/>
      <c r="N1954" s="277"/>
      <c r="O1954" s="277"/>
      <c r="P1954" s="277"/>
      <c r="Q1954" s="277"/>
      <c r="R1954" s="277"/>
      <c r="S1954" s="277"/>
      <c r="T1954" s="277"/>
      <c r="U1954" s="278"/>
      <c r="V1954" s="103"/>
      <c r="W1954" s="84"/>
      <c r="X1954" s="84"/>
      <c r="Y1954" s="72"/>
      <c r="Z1954" s="72"/>
      <c r="AA1954" s="72"/>
      <c r="AB1954" s="72"/>
      <c r="AC1954" s="72">
        <f t="shared" si="808"/>
        <v>1</v>
      </c>
      <c r="AD1954" s="72">
        <f t="shared" si="809"/>
        <v>1</v>
      </c>
      <c r="AE1954" s="109" t="str">
        <f t="shared" si="810"/>
        <v>0-0</v>
      </c>
      <c r="AF1954" s="109" t="str">
        <f t="shared" si="811"/>
        <v>Y</v>
      </c>
      <c r="AG1954" s="109" t="str">
        <f t="shared" si="812"/>
        <v>B</v>
      </c>
      <c r="AM1954" s="109">
        <f t="shared" si="813"/>
        <v>0</v>
      </c>
      <c r="AN1954" s="109">
        <f t="shared" si="814"/>
        <v>0</v>
      </c>
      <c r="AO1954" s="109" t="str">
        <f t="shared" si="815"/>
        <v/>
      </c>
      <c r="AQ1954" s="109" t="str">
        <f t="shared" si="816"/>
        <v/>
      </c>
      <c r="BA1954" s="229">
        <f>MOD(SUM(E1944:E1955),12)</f>
        <v>0</v>
      </c>
    </row>
    <row r="1955" spans="1:53" ht="15.75" thickBot="1" x14ac:dyDescent="0.3">
      <c r="A1955" s="88"/>
      <c r="B1955" s="66" t="s">
        <v>289</v>
      </c>
      <c r="C1955" s="67"/>
      <c r="D1955" s="102"/>
      <c r="E1955" s="32"/>
      <c r="F1955" s="32"/>
      <c r="G1955" s="68" t="s">
        <v>277</v>
      </c>
      <c r="H1955" s="69">
        <f t="shared" si="817"/>
        <v>0</v>
      </c>
      <c r="I1955" s="70">
        <f t="shared" si="818"/>
        <v>0</v>
      </c>
      <c r="J1955" s="73" t="str">
        <f t="shared" si="819"/>
        <v>--</v>
      </c>
      <c r="K1955" s="32"/>
      <c r="L1955" s="233"/>
      <c r="M1955" s="277"/>
      <c r="N1955" s="277"/>
      <c r="O1955" s="277"/>
      <c r="P1955" s="277"/>
      <c r="Q1955" s="277"/>
      <c r="R1955" s="277"/>
      <c r="S1955" s="277"/>
      <c r="T1955" s="277"/>
      <c r="U1955" s="278"/>
      <c r="V1955" s="103"/>
      <c r="W1955" s="84">
        <f>Y1955+1</f>
        <v>1</v>
      </c>
      <c r="X1955" s="84"/>
      <c r="Y1955" s="78">
        <f>SUM(E1944:E1955)</f>
        <v>0</v>
      </c>
      <c r="Z1955" s="72"/>
      <c r="AA1955" s="72"/>
      <c r="AB1955" s="72"/>
      <c r="AC1955" s="72">
        <f t="shared" si="808"/>
        <v>1</v>
      </c>
      <c r="AD1955" s="72">
        <f t="shared" si="809"/>
        <v>1</v>
      </c>
      <c r="AE1955" s="109" t="str">
        <f t="shared" si="810"/>
        <v>0-0</v>
      </c>
      <c r="AF1955" s="109" t="str">
        <f t="shared" si="811"/>
        <v>Y</v>
      </c>
      <c r="AG1955" s="109" t="str">
        <f t="shared" si="812"/>
        <v>B</v>
      </c>
      <c r="AM1955" s="109">
        <f t="shared" si="813"/>
        <v>0</v>
      </c>
      <c r="AN1955" s="109">
        <f t="shared" si="814"/>
        <v>0</v>
      </c>
      <c r="AO1955" s="109" t="str">
        <f t="shared" si="815"/>
        <v/>
      </c>
      <c r="AQ1955" s="109" t="str">
        <f t="shared" si="816"/>
        <v/>
      </c>
      <c r="BA1955" s="229">
        <f>MOD(SUM(E1944:E1956),12)</f>
        <v>0</v>
      </c>
    </row>
    <row r="1956" spans="1:53" ht="15.75" thickBot="1" x14ac:dyDescent="0.3">
      <c r="A1956" s="88"/>
      <c r="B1956" s="66" t="s">
        <v>290</v>
      </c>
      <c r="C1956" s="67"/>
      <c r="D1956" s="102"/>
      <c r="E1956" s="32"/>
      <c r="F1956" s="32"/>
      <c r="G1956" s="68" t="s">
        <v>277</v>
      </c>
      <c r="H1956" s="69">
        <f t="shared" si="817"/>
        <v>0</v>
      </c>
      <c r="I1956" s="70">
        <f t="shared" si="818"/>
        <v>0</v>
      </c>
      <c r="J1956" s="73" t="str">
        <f t="shared" si="819"/>
        <v>--</v>
      </c>
      <c r="K1956" s="32"/>
      <c r="L1956" s="233"/>
      <c r="M1956" s="277"/>
      <c r="N1956" s="277"/>
      <c r="O1956" s="277"/>
      <c r="P1956" s="277"/>
      <c r="Q1956" s="277"/>
      <c r="R1956" s="277"/>
      <c r="S1956" s="277"/>
      <c r="T1956" s="277"/>
      <c r="U1956" s="278"/>
      <c r="V1956" s="103"/>
      <c r="W1956" s="84">
        <f>Y1956+1</f>
        <v>1</v>
      </c>
      <c r="X1956" s="84"/>
      <c r="Y1956" s="78">
        <f>SUM(E1944:E1956)</f>
        <v>0</v>
      </c>
      <c r="Z1956" s="72" t="str">
        <f t="shared" ref="Z1956:Z1968" si="822">IF(OR(AND(E$8=216,C1955="DBL REV",C1956="DBL REV",Y1955&lt;=144,Y1956&gt;144),AND(E$8=216,C1955="TPL REV",C1956="TPL REV",Y1955&lt;=144,Y1956&gt;144),AND(E$8=216,C1955="QD REV",C1956="QD REV",Y1955&lt;=144,Y1956&gt;144)),"ERROR","")</f>
        <v/>
      </c>
      <c r="AA1956" s="72"/>
      <c r="AB1956" s="72"/>
      <c r="AC1956" s="72">
        <f t="shared" si="808"/>
        <v>1</v>
      </c>
      <c r="AD1956" s="72">
        <f t="shared" si="809"/>
        <v>1</v>
      </c>
      <c r="AE1956" s="109" t="str">
        <f t="shared" si="810"/>
        <v>0-0</v>
      </c>
      <c r="AF1956" s="109" t="str">
        <f t="shared" si="811"/>
        <v>Y</v>
      </c>
      <c r="AG1956" s="109" t="str">
        <f t="shared" si="812"/>
        <v>B</v>
      </c>
      <c r="AM1956" s="109">
        <f t="shared" si="813"/>
        <v>0</v>
      </c>
      <c r="AN1956" s="109">
        <f t="shared" si="814"/>
        <v>0</v>
      </c>
      <c r="AO1956" s="109" t="str">
        <f t="shared" si="815"/>
        <v/>
      </c>
      <c r="AQ1956" s="109" t="str">
        <f t="shared" si="816"/>
        <v/>
      </c>
      <c r="BA1956" s="229">
        <f>MOD(SUM(E1944:E1957),12)</f>
        <v>0</v>
      </c>
    </row>
    <row r="1957" spans="1:53" ht="15.75" thickBot="1" x14ac:dyDescent="0.3">
      <c r="A1957" s="88"/>
      <c r="B1957" s="66" t="s">
        <v>291</v>
      </c>
      <c r="C1957" s="67"/>
      <c r="D1957" s="102"/>
      <c r="E1957" s="32"/>
      <c r="F1957" s="32"/>
      <c r="G1957" s="68" t="s">
        <v>277</v>
      </c>
      <c r="H1957" s="69">
        <f t="shared" si="817"/>
        <v>0</v>
      </c>
      <c r="I1957" s="70">
        <f t="shared" si="818"/>
        <v>0</v>
      </c>
      <c r="J1957" s="73" t="str">
        <f t="shared" si="819"/>
        <v>--</v>
      </c>
      <c r="K1957" s="32"/>
      <c r="L1957" s="233"/>
      <c r="M1957" s="277"/>
      <c r="N1957" s="277"/>
      <c r="O1957" s="277"/>
      <c r="P1957" s="277"/>
      <c r="Q1957" s="277"/>
      <c r="R1957" s="277"/>
      <c r="S1957" s="277"/>
      <c r="T1957" s="277"/>
      <c r="U1957" s="278"/>
      <c r="V1957" s="103"/>
      <c r="W1957" s="84">
        <f>Y1957+1</f>
        <v>1</v>
      </c>
      <c r="X1957" s="84"/>
      <c r="Y1957" s="78">
        <f>SUM(E1944:E1957)</f>
        <v>0</v>
      </c>
      <c r="Z1957" s="72" t="str">
        <f t="shared" si="822"/>
        <v/>
      </c>
      <c r="AA1957" s="72"/>
      <c r="AB1957" s="72"/>
      <c r="AC1957" s="72">
        <f t="shared" si="808"/>
        <v>1</v>
      </c>
      <c r="AD1957" s="72">
        <f t="shared" si="809"/>
        <v>1</v>
      </c>
      <c r="AE1957" s="109" t="str">
        <f t="shared" si="810"/>
        <v>0-0</v>
      </c>
      <c r="AF1957" s="109" t="str">
        <f t="shared" si="811"/>
        <v>Y</v>
      </c>
      <c r="AG1957" s="109" t="str">
        <f t="shared" si="812"/>
        <v>B</v>
      </c>
      <c r="AM1957" s="109">
        <f t="shared" si="813"/>
        <v>0</v>
      </c>
      <c r="AN1957" s="109">
        <f t="shared" si="814"/>
        <v>0</v>
      </c>
      <c r="AO1957" s="109" t="str">
        <f t="shared" si="815"/>
        <v/>
      </c>
      <c r="AQ1957" s="109" t="str">
        <f t="shared" si="816"/>
        <v/>
      </c>
      <c r="BA1957" s="229">
        <f>MOD(SUM(E1944:E1958),12)</f>
        <v>0</v>
      </c>
    </row>
    <row r="1958" spans="1:53" ht="15.75" thickBot="1" x14ac:dyDescent="0.3">
      <c r="A1958" s="88"/>
      <c r="B1958" s="66" t="s">
        <v>292</v>
      </c>
      <c r="C1958" s="67"/>
      <c r="D1958" s="102"/>
      <c r="E1958" s="32"/>
      <c r="F1958" s="32"/>
      <c r="G1958" s="68" t="s">
        <v>277</v>
      </c>
      <c r="H1958" s="69">
        <f t="shared" si="817"/>
        <v>0</v>
      </c>
      <c r="I1958" s="70">
        <f t="shared" si="818"/>
        <v>0</v>
      </c>
      <c r="J1958" s="73" t="str">
        <f t="shared" si="819"/>
        <v>--</v>
      </c>
      <c r="K1958" s="32"/>
      <c r="L1958" s="233"/>
      <c r="M1958" s="277"/>
      <c r="N1958" s="277"/>
      <c r="O1958" s="277"/>
      <c r="P1958" s="277"/>
      <c r="Q1958" s="277"/>
      <c r="R1958" s="277"/>
      <c r="S1958" s="277"/>
      <c r="T1958" s="277"/>
      <c r="U1958" s="278"/>
      <c r="V1958" s="103"/>
      <c r="W1958" s="84">
        <f>Y1958+1</f>
        <v>1</v>
      </c>
      <c r="X1958" s="84"/>
      <c r="Y1958" s="78">
        <f>SUM(E1944:E1958)</f>
        <v>0</v>
      </c>
      <c r="Z1958" s="72" t="str">
        <f t="shared" si="822"/>
        <v/>
      </c>
      <c r="AA1958" s="72" t="str">
        <f t="shared" ref="AA1958:AA1970" si="823">IF(AND(C1956&lt;&gt;"Field SPL",W1955&lt;=144,Y1956&gt;144),"ERROR","")</f>
        <v/>
      </c>
      <c r="AB1958" s="72"/>
      <c r="AC1958" s="72">
        <f t="shared" si="808"/>
        <v>1</v>
      </c>
      <c r="AD1958" s="72">
        <f t="shared" si="809"/>
        <v>1</v>
      </c>
      <c r="AE1958" s="109" t="str">
        <f t="shared" si="810"/>
        <v>0-0</v>
      </c>
      <c r="AF1958" s="109" t="str">
        <f t="shared" si="811"/>
        <v>Y</v>
      </c>
      <c r="AG1958" s="109" t="str">
        <f t="shared" si="812"/>
        <v>B</v>
      </c>
      <c r="AM1958" s="109">
        <f t="shared" si="813"/>
        <v>0</v>
      </c>
      <c r="AN1958" s="109">
        <f t="shared" si="814"/>
        <v>0</v>
      </c>
      <c r="AO1958" s="109" t="str">
        <f t="shared" si="815"/>
        <v/>
      </c>
      <c r="AQ1958" s="109" t="str">
        <f t="shared" si="816"/>
        <v/>
      </c>
      <c r="BA1958" s="229">
        <f>MOD(SUM(E1944:E1959),12)</f>
        <v>0</v>
      </c>
    </row>
    <row r="1959" spans="1:53" ht="15.75" thickBot="1" x14ac:dyDescent="0.3">
      <c r="A1959" s="88"/>
      <c r="B1959" s="66" t="s">
        <v>293</v>
      </c>
      <c r="C1959" s="67"/>
      <c r="D1959" s="102"/>
      <c r="E1959" s="32"/>
      <c r="F1959" s="32"/>
      <c r="G1959" s="68" t="s">
        <v>277</v>
      </c>
      <c r="H1959" s="69">
        <f t="shared" si="817"/>
        <v>0</v>
      </c>
      <c r="I1959" s="70">
        <f t="shared" si="818"/>
        <v>0</v>
      </c>
      <c r="J1959" s="73" t="str">
        <f t="shared" si="819"/>
        <v>--</v>
      </c>
      <c r="K1959" s="32"/>
      <c r="L1959" s="233"/>
      <c r="M1959" s="277"/>
      <c r="N1959" s="277"/>
      <c r="O1959" s="277"/>
      <c r="P1959" s="277"/>
      <c r="Q1959" s="277"/>
      <c r="R1959" s="277"/>
      <c r="S1959" s="277"/>
      <c r="T1959" s="277"/>
      <c r="U1959" s="278"/>
      <c r="V1959" s="103"/>
      <c r="W1959" s="84">
        <f t="shared" ref="W1959:W1967" si="824">Y1959+1</f>
        <v>1</v>
      </c>
      <c r="X1959" s="84"/>
      <c r="Y1959" s="78">
        <f>SUM(E1944:E1959)</f>
        <v>0</v>
      </c>
      <c r="Z1959" s="72" t="str">
        <f t="shared" si="822"/>
        <v/>
      </c>
      <c r="AA1959" s="72" t="str">
        <f t="shared" si="823"/>
        <v/>
      </c>
      <c r="AB1959" s="72"/>
      <c r="AC1959" s="72">
        <f t="shared" si="808"/>
        <v>1</v>
      </c>
      <c r="AD1959" s="72">
        <f t="shared" si="809"/>
        <v>1</v>
      </c>
      <c r="AE1959" s="109" t="str">
        <f t="shared" si="810"/>
        <v>0-0</v>
      </c>
      <c r="AF1959" s="109" t="str">
        <f t="shared" si="811"/>
        <v>Y</v>
      </c>
      <c r="AG1959" s="109" t="str">
        <f t="shared" si="812"/>
        <v>B</v>
      </c>
      <c r="AM1959" s="109">
        <f t="shared" si="813"/>
        <v>0</v>
      </c>
      <c r="AN1959" s="109">
        <f t="shared" si="814"/>
        <v>0</v>
      </c>
      <c r="AO1959" s="109" t="str">
        <f t="shared" si="815"/>
        <v/>
      </c>
      <c r="AQ1959" s="109" t="str">
        <f t="shared" si="816"/>
        <v/>
      </c>
      <c r="BA1959" s="229">
        <f>MOD(SUM(E1944:E1960),12)</f>
        <v>0</v>
      </c>
    </row>
    <row r="1960" spans="1:53" ht="15.75" thickBot="1" x14ac:dyDescent="0.3">
      <c r="A1960" s="88"/>
      <c r="B1960" s="66" t="s">
        <v>294</v>
      </c>
      <c r="C1960" s="67"/>
      <c r="D1960" s="102"/>
      <c r="E1960" s="32"/>
      <c r="F1960" s="32"/>
      <c r="G1960" s="68" t="s">
        <v>277</v>
      </c>
      <c r="H1960" s="69">
        <f t="shared" si="817"/>
        <v>0</v>
      </c>
      <c r="I1960" s="70">
        <f t="shared" si="818"/>
        <v>0</v>
      </c>
      <c r="J1960" s="73" t="str">
        <f t="shared" si="819"/>
        <v>--</v>
      </c>
      <c r="K1960" s="32"/>
      <c r="L1960" s="233"/>
      <c r="M1960" s="277"/>
      <c r="N1960" s="277"/>
      <c r="O1960" s="277"/>
      <c r="P1960" s="277"/>
      <c r="Q1960" s="277"/>
      <c r="R1960" s="277"/>
      <c r="S1960" s="277"/>
      <c r="T1960" s="277"/>
      <c r="U1960" s="278"/>
      <c r="V1960" s="103"/>
      <c r="W1960" s="84">
        <f t="shared" si="824"/>
        <v>1</v>
      </c>
      <c r="X1960" s="84"/>
      <c r="Y1960" s="78">
        <f>SUM(E1944:E1960)</f>
        <v>0</v>
      </c>
      <c r="Z1960" s="72" t="str">
        <f t="shared" si="822"/>
        <v/>
      </c>
      <c r="AA1960" s="72" t="str">
        <f t="shared" si="823"/>
        <v/>
      </c>
      <c r="AB1960" s="72"/>
      <c r="AC1960" s="72">
        <f t="shared" si="808"/>
        <v>1</v>
      </c>
      <c r="AD1960" s="72">
        <f t="shared" si="809"/>
        <v>1</v>
      </c>
      <c r="AE1960" s="109" t="str">
        <f t="shared" si="810"/>
        <v>0-0</v>
      </c>
      <c r="AF1960" s="109" t="str">
        <f t="shared" si="811"/>
        <v>Y</v>
      </c>
      <c r="AG1960" s="109" t="str">
        <f t="shared" si="812"/>
        <v>B</v>
      </c>
      <c r="AM1960" s="109">
        <f t="shared" si="813"/>
        <v>0</v>
      </c>
      <c r="AN1960" s="109">
        <f t="shared" si="814"/>
        <v>0</v>
      </c>
      <c r="AO1960" s="109" t="str">
        <f t="shared" si="815"/>
        <v/>
      </c>
      <c r="AQ1960" s="109" t="str">
        <f t="shared" si="816"/>
        <v/>
      </c>
      <c r="BA1960" s="229">
        <f>MOD(SUM(E1944:E1961),12)</f>
        <v>0</v>
      </c>
    </row>
    <row r="1961" spans="1:53" ht="15.75" thickBot="1" x14ac:dyDescent="0.3">
      <c r="A1961" s="88"/>
      <c r="B1961" s="66" t="s">
        <v>295</v>
      </c>
      <c r="C1961" s="67"/>
      <c r="D1961" s="102"/>
      <c r="E1961" s="32"/>
      <c r="F1961" s="32"/>
      <c r="G1961" s="68" t="s">
        <v>277</v>
      </c>
      <c r="H1961" s="69">
        <f t="shared" si="817"/>
        <v>0</v>
      </c>
      <c r="I1961" s="70">
        <f t="shared" si="818"/>
        <v>0</v>
      </c>
      <c r="J1961" s="73" t="str">
        <f t="shared" si="819"/>
        <v>--</v>
      </c>
      <c r="K1961" s="32"/>
      <c r="L1961" s="233"/>
      <c r="M1961" s="277"/>
      <c r="N1961" s="277"/>
      <c r="O1961" s="277"/>
      <c r="P1961" s="277"/>
      <c r="Q1961" s="277"/>
      <c r="R1961" s="277"/>
      <c r="S1961" s="277"/>
      <c r="T1961" s="277"/>
      <c r="U1961" s="278"/>
      <c r="V1961" s="103"/>
      <c r="W1961" s="84">
        <f t="shared" si="824"/>
        <v>1</v>
      </c>
      <c r="X1961" s="84"/>
      <c r="Y1961" s="78">
        <f>SUM(E1944:E1961)</f>
        <v>0</v>
      </c>
      <c r="Z1961" s="72" t="str">
        <f t="shared" si="822"/>
        <v/>
      </c>
      <c r="AA1961" s="72" t="str">
        <f t="shared" si="823"/>
        <v/>
      </c>
      <c r="AB1961" s="72"/>
      <c r="AC1961" s="72">
        <f t="shared" si="808"/>
        <v>1</v>
      </c>
      <c r="AD1961" s="72">
        <f t="shared" si="809"/>
        <v>1</v>
      </c>
      <c r="AE1961" s="109" t="str">
        <f t="shared" si="810"/>
        <v>0-0</v>
      </c>
      <c r="AF1961" s="109" t="str">
        <f t="shared" si="811"/>
        <v>Y</v>
      </c>
      <c r="AG1961" s="109" t="str">
        <f t="shared" si="812"/>
        <v>B</v>
      </c>
      <c r="AM1961" s="109">
        <f t="shared" si="813"/>
        <v>0</v>
      </c>
      <c r="AN1961" s="109">
        <f t="shared" si="814"/>
        <v>0</v>
      </c>
      <c r="AO1961" s="109" t="str">
        <f t="shared" si="815"/>
        <v/>
      </c>
      <c r="AQ1961" s="109" t="str">
        <f t="shared" si="816"/>
        <v/>
      </c>
      <c r="BA1961" s="229">
        <f>MOD(SUM(E1944:E1962),12)</f>
        <v>0</v>
      </c>
    </row>
    <row r="1962" spans="1:53" ht="15.75" thickBot="1" x14ac:dyDescent="0.3">
      <c r="A1962" s="88"/>
      <c r="B1962" s="66" t="s">
        <v>296</v>
      </c>
      <c r="C1962" s="67"/>
      <c r="D1962" s="102"/>
      <c r="E1962" s="32"/>
      <c r="F1962" s="32"/>
      <c r="G1962" s="68" t="s">
        <v>277</v>
      </c>
      <c r="H1962" s="69">
        <f t="shared" si="817"/>
        <v>0</v>
      </c>
      <c r="I1962" s="70">
        <f t="shared" si="818"/>
        <v>0</v>
      </c>
      <c r="J1962" s="73" t="str">
        <f t="shared" si="819"/>
        <v>--</v>
      </c>
      <c r="K1962" s="32"/>
      <c r="L1962" s="233"/>
      <c r="M1962" s="277"/>
      <c r="N1962" s="277"/>
      <c r="O1962" s="277"/>
      <c r="P1962" s="277"/>
      <c r="Q1962" s="277"/>
      <c r="R1962" s="277"/>
      <c r="S1962" s="277"/>
      <c r="T1962" s="277"/>
      <c r="U1962" s="278"/>
      <c r="V1962" s="103"/>
      <c r="W1962" s="84">
        <f t="shared" si="824"/>
        <v>1</v>
      </c>
      <c r="X1962" s="84"/>
      <c r="Y1962" s="78">
        <f>SUM(E1944:E1962)</f>
        <v>0</v>
      </c>
      <c r="Z1962" s="72" t="str">
        <f t="shared" si="822"/>
        <v/>
      </c>
      <c r="AA1962" s="72" t="str">
        <f t="shared" si="823"/>
        <v/>
      </c>
      <c r="AB1962" s="72"/>
      <c r="AC1962" s="72">
        <f t="shared" si="808"/>
        <v>1</v>
      </c>
      <c r="AD1962" s="72">
        <f t="shared" si="809"/>
        <v>1</v>
      </c>
      <c r="AE1962" s="109" t="str">
        <f t="shared" si="810"/>
        <v>0-0</v>
      </c>
      <c r="AF1962" s="109" t="str">
        <f t="shared" si="811"/>
        <v>Y</v>
      </c>
      <c r="AG1962" s="109" t="str">
        <f t="shared" si="812"/>
        <v>B</v>
      </c>
      <c r="AM1962" s="109">
        <f t="shared" si="813"/>
        <v>0</v>
      </c>
      <c r="AN1962" s="109">
        <f t="shared" si="814"/>
        <v>0</v>
      </c>
      <c r="AO1962" s="109" t="str">
        <f t="shared" si="815"/>
        <v/>
      </c>
      <c r="AQ1962" s="109" t="str">
        <f t="shared" si="816"/>
        <v/>
      </c>
      <c r="BA1962" s="229">
        <f>MOD(SUM(E1944:E1963),12)</f>
        <v>0</v>
      </c>
    </row>
    <row r="1963" spans="1:53" ht="15.75" thickBot="1" x14ac:dyDescent="0.3">
      <c r="A1963" s="88"/>
      <c r="B1963" s="66" t="s">
        <v>297</v>
      </c>
      <c r="C1963" s="67"/>
      <c r="D1963" s="102"/>
      <c r="E1963" s="32"/>
      <c r="F1963" s="32"/>
      <c r="G1963" s="68" t="s">
        <v>277</v>
      </c>
      <c r="H1963" s="69">
        <f t="shared" si="817"/>
        <v>0</v>
      </c>
      <c r="I1963" s="70">
        <f t="shared" si="818"/>
        <v>0</v>
      </c>
      <c r="J1963" s="73" t="str">
        <f t="shared" si="819"/>
        <v>--</v>
      </c>
      <c r="K1963" s="32"/>
      <c r="L1963" s="233"/>
      <c r="M1963" s="277"/>
      <c r="N1963" s="277"/>
      <c r="O1963" s="277"/>
      <c r="P1963" s="277"/>
      <c r="Q1963" s="277"/>
      <c r="R1963" s="277"/>
      <c r="S1963" s="277"/>
      <c r="T1963" s="277"/>
      <c r="U1963" s="278"/>
      <c r="V1963" s="103"/>
      <c r="W1963" s="84">
        <f t="shared" si="824"/>
        <v>1</v>
      </c>
      <c r="X1963" s="84"/>
      <c r="Y1963" s="78">
        <f>SUM(E1944:E1963)</f>
        <v>0</v>
      </c>
      <c r="Z1963" s="72" t="str">
        <f t="shared" si="822"/>
        <v/>
      </c>
      <c r="AA1963" s="72" t="str">
        <f t="shared" si="823"/>
        <v/>
      </c>
      <c r="AB1963" s="72"/>
      <c r="AC1963" s="72">
        <f t="shared" si="808"/>
        <v>1</v>
      </c>
      <c r="AD1963" s="72">
        <f t="shared" si="809"/>
        <v>1</v>
      </c>
      <c r="AE1963" s="109" t="str">
        <f t="shared" si="810"/>
        <v>0-0</v>
      </c>
      <c r="AF1963" s="109" t="str">
        <f t="shared" si="811"/>
        <v>Y</v>
      </c>
      <c r="AG1963" s="109" t="str">
        <f t="shared" si="812"/>
        <v>B</v>
      </c>
      <c r="AM1963" s="109">
        <f t="shared" si="813"/>
        <v>0</v>
      </c>
      <c r="AN1963" s="109">
        <f t="shared" si="814"/>
        <v>0</v>
      </c>
      <c r="AO1963" s="109" t="str">
        <f t="shared" si="815"/>
        <v/>
      </c>
      <c r="AQ1963" s="109" t="str">
        <f t="shared" si="816"/>
        <v/>
      </c>
      <c r="BA1963" s="229">
        <f>MOD(SUM(E1944:E1964),12)</f>
        <v>0</v>
      </c>
    </row>
    <row r="1964" spans="1:53" ht="15.75" thickBot="1" x14ac:dyDescent="0.3">
      <c r="A1964" s="88"/>
      <c r="B1964" s="66" t="s">
        <v>298</v>
      </c>
      <c r="C1964" s="67"/>
      <c r="D1964" s="102"/>
      <c r="E1964" s="32"/>
      <c r="F1964" s="32"/>
      <c r="G1964" s="68" t="s">
        <v>277</v>
      </c>
      <c r="H1964" s="69">
        <f t="shared" si="817"/>
        <v>0</v>
      </c>
      <c r="I1964" s="70">
        <f t="shared" si="818"/>
        <v>0</v>
      </c>
      <c r="J1964" s="73" t="str">
        <f t="shared" si="819"/>
        <v>--</v>
      </c>
      <c r="K1964" s="32"/>
      <c r="L1964" s="233"/>
      <c r="M1964" s="277"/>
      <c r="N1964" s="277"/>
      <c r="O1964" s="277"/>
      <c r="P1964" s="277"/>
      <c r="Q1964" s="277"/>
      <c r="R1964" s="277"/>
      <c r="S1964" s="277"/>
      <c r="T1964" s="277"/>
      <c r="U1964" s="278"/>
      <c r="V1964" s="103"/>
      <c r="W1964" s="84">
        <f t="shared" si="824"/>
        <v>1</v>
      </c>
      <c r="X1964" s="84"/>
      <c r="Y1964" s="78">
        <f>SUM(E1944:E1964)</f>
        <v>0</v>
      </c>
      <c r="Z1964" s="72" t="str">
        <f t="shared" si="822"/>
        <v/>
      </c>
      <c r="AA1964" s="72" t="str">
        <f t="shared" si="823"/>
        <v/>
      </c>
      <c r="AB1964" s="72"/>
      <c r="AC1964" s="72">
        <f t="shared" si="808"/>
        <v>1</v>
      </c>
      <c r="AD1964" s="72">
        <f t="shared" si="809"/>
        <v>1</v>
      </c>
      <c r="AE1964" s="109" t="str">
        <f t="shared" si="810"/>
        <v>0-0</v>
      </c>
      <c r="AF1964" s="109" t="str">
        <f t="shared" si="811"/>
        <v>Y</v>
      </c>
      <c r="AG1964" s="109" t="str">
        <f t="shared" si="812"/>
        <v>B</v>
      </c>
      <c r="AM1964" s="109">
        <f t="shared" si="813"/>
        <v>0</v>
      </c>
      <c r="AN1964" s="109">
        <f t="shared" si="814"/>
        <v>0</v>
      </c>
      <c r="AO1964" s="109" t="str">
        <f t="shared" si="815"/>
        <v/>
      </c>
      <c r="AQ1964" s="109" t="str">
        <f t="shared" si="816"/>
        <v/>
      </c>
      <c r="BA1964" s="229">
        <f>MOD(SUM(E1944:E1965),12)</f>
        <v>0</v>
      </c>
    </row>
    <row r="1965" spans="1:53" ht="15.75" thickBot="1" x14ac:dyDescent="0.3">
      <c r="A1965" s="88"/>
      <c r="B1965" s="66" t="s">
        <v>299</v>
      </c>
      <c r="C1965" s="67"/>
      <c r="D1965" s="102"/>
      <c r="E1965" s="32"/>
      <c r="F1965" s="32"/>
      <c r="G1965" s="68" t="s">
        <v>277</v>
      </c>
      <c r="H1965" s="69">
        <f t="shared" si="817"/>
        <v>0</v>
      </c>
      <c r="I1965" s="70">
        <f t="shared" si="818"/>
        <v>0</v>
      </c>
      <c r="J1965" s="73" t="str">
        <f t="shared" si="819"/>
        <v>--</v>
      </c>
      <c r="K1965" s="32"/>
      <c r="L1965" s="233"/>
      <c r="M1965" s="277"/>
      <c r="N1965" s="277"/>
      <c r="O1965" s="277"/>
      <c r="P1965" s="277"/>
      <c r="Q1965" s="277"/>
      <c r="R1965" s="277"/>
      <c r="S1965" s="277"/>
      <c r="T1965" s="277"/>
      <c r="U1965" s="278"/>
      <c r="V1965" s="103"/>
      <c r="W1965" s="84">
        <f t="shared" si="824"/>
        <v>1</v>
      </c>
      <c r="X1965" s="84"/>
      <c r="Y1965" s="78">
        <f>SUM(E1944:E1965)</f>
        <v>0</v>
      </c>
      <c r="Z1965" s="72" t="str">
        <f t="shared" si="822"/>
        <v/>
      </c>
      <c r="AA1965" s="72" t="str">
        <f t="shared" si="823"/>
        <v/>
      </c>
      <c r="AB1965" s="72"/>
      <c r="AC1965" s="72">
        <f t="shared" si="808"/>
        <v>1</v>
      </c>
      <c r="AD1965" s="72">
        <f t="shared" si="809"/>
        <v>1</v>
      </c>
      <c r="AE1965" s="109" t="str">
        <f t="shared" si="810"/>
        <v>0-0</v>
      </c>
      <c r="AF1965" s="109" t="str">
        <f t="shared" si="811"/>
        <v>Y</v>
      </c>
      <c r="AG1965" s="109" t="str">
        <f t="shared" si="812"/>
        <v>B</v>
      </c>
      <c r="AM1965" s="109">
        <f t="shared" si="813"/>
        <v>0</v>
      </c>
      <c r="AN1965" s="109">
        <f t="shared" si="814"/>
        <v>0</v>
      </c>
      <c r="AO1965" s="109" t="str">
        <f t="shared" si="815"/>
        <v/>
      </c>
      <c r="AQ1965" s="109" t="str">
        <f t="shared" si="816"/>
        <v/>
      </c>
      <c r="BA1965" s="229">
        <f>MOD(SUM(E1944:E1966),12)</f>
        <v>0</v>
      </c>
    </row>
    <row r="1966" spans="1:53" ht="15.75" thickBot="1" x14ac:dyDescent="0.3">
      <c r="A1966" s="88"/>
      <c r="B1966" s="66" t="s">
        <v>300</v>
      </c>
      <c r="C1966" s="67"/>
      <c r="D1966" s="102"/>
      <c r="E1966" s="32"/>
      <c r="F1966" s="32"/>
      <c r="G1966" s="68" t="s">
        <v>277</v>
      </c>
      <c r="H1966" s="69">
        <f t="shared" si="817"/>
        <v>0</v>
      </c>
      <c r="I1966" s="70">
        <f t="shared" si="818"/>
        <v>0</v>
      </c>
      <c r="J1966" s="73" t="str">
        <f t="shared" si="819"/>
        <v>--</v>
      </c>
      <c r="K1966" s="32"/>
      <c r="L1966" s="233"/>
      <c r="M1966" s="277"/>
      <c r="N1966" s="277"/>
      <c r="O1966" s="277"/>
      <c r="P1966" s="277"/>
      <c r="Q1966" s="277"/>
      <c r="R1966" s="277"/>
      <c r="S1966" s="277"/>
      <c r="T1966" s="277"/>
      <c r="U1966" s="278"/>
      <c r="V1966" s="103"/>
      <c r="W1966" s="84">
        <f t="shared" si="824"/>
        <v>1</v>
      </c>
      <c r="X1966" s="84"/>
      <c r="Y1966" s="78">
        <f>SUM(E1944:E1966)</f>
        <v>0</v>
      </c>
      <c r="Z1966" s="72" t="str">
        <f t="shared" si="822"/>
        <v/>
      </c>
      <c r="AA1966" s="72" t="str">
        <f t="shared" si="823"/>
        <v/>
      </c>
      <c r="AB1966" s="72"/>
      <c r="AC1966" s="72">
        <f t="shared" si="808"/>
        <v>1</v>
      </c>
      <c r="AD1966" s="72">
        <f t="shared" si="809"/>
        <v>1</v>
      </c>
      <c r="AE1966" s="109" t="str">
        <f t="shared" si="810"/>
        <v>0-0</v>
      </c>
      <c r="AF1966" s="109" t="str">
        <f t="shared" si="811"/>
        <v>Y</v>
      </c>
      <c r="AG1966" s="109" t="str">
        <f t="shared" si="812"/>
        <v>B</v>
      </c>
      <c r="AM1966" s="109">
        <f t="shared" si="813"/>
        <v>0</v>
      </c>
      <c r="AN1966" s="109">
        <f t="shared" si="814"/>
        <v>0</v>
      </c>
      <c r="AO1966" s="109" t="str">
        <f t="shared" si="815"/>
        <v/>
      </c>
      <c r="AQ1966" s="109" t="str">
        <f t="shared" si="816"/>
        <v/>
      </c>
      <c r="BA1966" s="229">
        <f>MOD(SUM(E1944:E1967),12)</f>
        <v>0</v>
      </c>
    </row>
    <row r="1967" spans="1:53" ht="15.75" thickBot="1" x14ac:dyDescent="0.3">
      <c r="A1967" s="88"/>
      <c r="B1967" s="66" t="s">
        <v>301</v>
      </c>
      <c r="C1967" s="67"/>
      <c r="D1967" s="102"/>
      <c r="E1967" s="32"/>
      <c r="F1967" s="32"/>
      <c r="G1967" s="68" t="s">
        <v>277</v>
      </c>
      <c r="H1967" s="69">
        <f t="shared" si="817"/>
        <v>0</v>
      </c>
      <c r="I1967" s="70">
        <f t="shared" si="818"/>
        <v>0</v>
      </c>
      <c r="J1967" s="73" t="str">
        <f t="shared" si="819"/>
        <v>--</v>
      </c>
      <c r="K1967" s="32"/>
      <c r="L1967" s="233"/>
      <c r="M1967" s="277"/>
      <c r="N1967" s="277"/>
      <c r="O1967" s="277"/>
      <c r="P1967" s="277"/>
      <c r="Q1967" s="277"/>
      <c r="R1967" s="277"/>
      <c r="S1967" s="277"/>
      <c r="T1967" s="277"/>
      <c r="U1967" s="278"/>
      <c r="V1967" s="103"/>
      <c r="W1967" s="84">
        <f t="shared" si="824"/>
        <v>1</v>
      </c>
      <c r="X1967" s="84"/>
      <c r="Y1967" s="78">
        <f>SUM(E1944:E1967)</f>
        <v>0</v>
      </c>
      <c r="Z1967" s="72" t="str">
        <f t="shared" si="822"/>
        <v/>
      </c>
      <c r="AA1967" s="72" t="str">
        <f t="shared" si="823"/>
        <v/>
      </c>
      <c r="AB1967" s="72"/>
      <c r="AC1967" s="72">
        <f t="shared" si="808"/>
        <v>1</v>
      </c>
      <c r="AD1967" s="72">
        <f t="shared" si="809"/>
        <v>1</v>
      </c>
      <c r="AE1967" s="109" t="str">
        <f t="shared" si="810"/>
        <v>0-0</v>
      </c>
      <c r="AF1967" s="109" t="str">
        <f t="shared" si="811"/>
        <v>Y</v>
      </c>
      <c r="AG1967" s="109" t="str">
        <f t="shared" si="812"/>
        <v>B</v>
      </c>
      <c r="AM1967" s="109">
        <f t="shared" si="813"/>
        <v>0</v>
      </c>
      <c r="AN1967" s="109">
        <f t="shared" si="814"/>
        <v>0</v>
      </c>
      <c r="AO1967" s="109" t="str">
        <f t="shared" si="815"/>
        <v/>
      </c>
      <c r="AQ1967" s="109" t="str">
        <f t="shared" si="816"/>
        <v/>
      </c>
      <c r="BA1967" s="229">
        <f>MOD(SUM(E1944:E1968),12)</f>
        <v>0</v>
      </c>
    </row>
    <row r="1968" spans="1:53" ht="15.75" thickBot="1" x14ac:dyDescent="0.3">
      <c r="A1968" s="88"/>
      <c r="B1968" s="66" t="s">
        <v>302</v>
      </c>
      <c r="C1968" s="67"/>
      <c r="D1968" s="102"/>
      <c r="E1968" s="32"/>
      <c r="F1968" s="32"/>
      <c r="G1968" s="68" t="s">
        <v>277</v>
      </c>
      <c r="H1968" s="69">
        <f t="shared" si="817"/>
        <v>0</v>
      </c>
      <c r="I1968" s="70">
        <f t="shared" si="818"/>
        <v>0</v>
      </c>
      <c r="J1968" s="73" t="str">
        <f t="shared" si="819"/>
        <v>--</v>
      </c>
      <c r="K1968" s="32"/>
      <c r="L1968" s="234"/>
      <c r="M1968" s="277"/>
      <c r="N1968" s="277"/>
      <c r="O1968" s="277"/>
      <c r="P1968" s="277"/>
      <c r="Q1968" s="277"/>
      <c r="R1968" s="277"/>
      <c r="S1968" s="277"/>
      <c r="T1968" s="277"/>
      <c r="U1968" s="278"/>
      <c r="V1968" s="103"/>
      <c r="W1968" s="72"/>
      <c r="X1968" s="72"/>
      <c r="Y1968" s="78">
        <f>SUM(E1944:E1968)</f>
        <v>0</v>
      </c>
      <c r="Z1968" s="72" t="str">
        <f t="shared" si="822"/>
        <v/>
      </c>
      <c r="AA1968" s="72" t="str">
        <f t="shared" si="823"/>
        <v/>
      </c>
      <c r="AB1968" s="72"/>
      <c r="AC1968" s="72">
        <f t="shared" si="808"/>
        <v>1</v>
      </c>
      <c r="AD1968" s="72">
        <f t="shared" si="809"/>
        <v>1</v>
      </c>
      <c r="AE1968" s="109" t="str">
        <f t="shared" si="810"/>
        <v>0-0</v>
      </c>
      <c r="AF1968" s="109" t="str">
        <f t="shared" si="811"/>
        <v>Y</v>
      </c>
      <c r="AG1968" s="109" t="str">
        <f t="shared" si="812"/>
        <v>B</v>
      </c>
      <c r="AM1968" s="109">
        <f t="shared" si="813"/>
        <v>0</v>
      </c>
      <c r="AN1968" s="109">
        <f t="shared" si="814"/>
        <v>0</v>
      </c>
      <c r="AO1968" s="109" t="str">
        <f t="shared" si="815"/>
        <v/>
      </c>
      <c r="AQ1968" s="109" t="str">
        <f t="shared" si="816"/>
        <v/>
      </c>
      <c r="BA1968" s="228"/>
    </row>
    <row r="1969" spans="1:53" ht="16.5" thickBot="1" x14ac:dyDescent="0.3">
      <c r="A1969" s="88"/>
      <c r="B1969" s="319" t="s">
        <v>399</v>
      </c>
      <c r="C1969" s="320"/>
      <c r="D1969" s="79"/>
      <c r="E1969" s="80"/>
      <c r="F1969" s="80"/>
      <c r="G1969" s="81"/>
      <c r="H1969" s="192"/>
      <c r="I1969" s="192"/>
      <c r="J1969" s="192"/>
      <c r="K1969" s="82"/>
      <c r="L1969" s="319" t="s">
        <v>306</v>
      </c>
      <c r="M1969" s="330"/>
      <c r="N1969" s="330"/>
      <c r="O1969" s="330"/>
      <c r="P1969" s="330"/>
      <c r="Q1969" s="330"/>
      <c r="R1969" s="330"/>
      <c r="S1969" s="330"/>
      <c r="T1969" s="330"/>
      <c r="U1969" s="320"/>
      <c r="V1969" s="104"/>
      <c r="W1969" s="72"/>
      <c r="X1969" s="72"/>
      <c r="Y1969" s="72"/>
      <c r="Z1969" s="72"/>
      <c r="AA1969" s="72" t="str">
        <f t="shared" si="823"/>
        <v/>
      </c>
      <c r="AB1969" s="72"/>
      <c r="AC1969" s="72">
        <f>SUM(AC1944:AC1968)</f>
        <v>25</v>
      </c>
      <c r="AD1969" s="72">
        <f>SUM(AD1944:AD1968)</f>
        <v>25</v>
      </c>
      <c r="AE1969" s="109" t="str">
        <f t="shared" si="810"/>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319" t="s">
        <v>307</v>
      </c>
      <c r="C1970" s="320"/>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23"/>
        <v/>
      </c>
      <c r="AB1970" s="72"/>
      <c r="AC1970" s="72"/>
      <c r="AD1970" s="72"/>
      <c r="AE1970" s="109" t="str">
        <f t="shared" si="810"/>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312" t="s">
        <v>222</v>
      </c>
      <c r="C1974" s="313"/>
      <c r="D1974" s="314" t="s">
        <v>223</v>
      </c>
      <c r="E1974" s="305"/>
      <c r="F1974" s="88"/>
      <c r="G1974" s="315" t="s">
        <v>224</v>
      </c>
      <c r="H1974" s="316"/>
      <c r="I1974" s="28">
        <f>SUM(E1985:E2009)</f>
        <v>0</v>
      </c>
      <c r="J1974" s="317" t="s">
        <v>225</v>
      </c>
      <c r="K1974" s="318"/>
      <c r="L1974" s="305"/>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5" t="s">
        <v>226</v>
      </c>
      <c r="AA1974" s="296"/>
      <c r="AB1974" s="297"/>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4" t="s">
        <v>230</v>
      </c>
      <c r="H1975" s="305"/>
      <c r="I1975" s="33">
        <f>E1976-I1974</f>
        <v>0</v>
      </c>
      <c r="J1975" s="289" t="s">
        <v>231</v>
      </c>
      <c r="K1975" s="290"/>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298" t="s">
        <v>232</v>
      </c>
      <c r="AA1975" s="300" t="s">
        <v>233</v>
      </c>
      <c r="AB1975" s="301"/>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291" t="s">
        <v>237</v>
      </c>
      <c r="H1976" s="292"/>
      <c r="I1976" s="35">
        <f>IF(E1976=0,0,12-(MOD(I1974,12)))</f>
        <v>0</v>
      </c>
      <c r="J1976" s="289" t="s">
        <v>238</v>
      </c>
      <c r="K1976" s="290"/>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299"/>
      <c r="AA1976" s="302"/>
      <c r="AB1976" s="303"/>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321" t="s">
        <v>242</v>
      </c>
      <c r="H1977" s="43" t="s">
        <v>243</v>
      </c>
      <c r="I1977" s="35">
        <f>IF(E1977&lt;&gt;0,1,0)</f>
        <v>0</v>
      </c>
      <c r="J1977" s="291" t="s">
        <v>244</v>
      </c>
      <c r="K1977" s="292"/>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322"/>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321" t="s">
        <v>251</v>
      </c>
      <c r="H1979" s="51" t="s">
        <v>252</v>
      </c>
      <c r="I1979" s="112">
        <f>E1978</f>
        <v>0</v>
      </c>
      <c r="J1979" s="323" t="s">
        <v>253</v>
      </c>
      <c r="K1979" s="324"/>
      <c r="L1979" s="325"/>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322"/>
      <c r="H1980" s="47" t="s">
        <v>257</v>
      </c>
      <c r="I1980" s="35" t="str">
        <f>IF(E1978="","0",IF(AND(E1975="EUC",E1976=432), I1979+(203-E1977),IF(E1978=0,0,(E1978+(E1976-E1977)-1))))</f>
        <v>0</v>
      </c>
      <c r="J1980" s="285" t="str">
        <f>IFERROR(IF(OR(E1975="EUC",E1975="SS"),"---",IF(OR(P1974,S1974),"NO 2F Tethers for RPX!",IF(OR(P1976,S1976),"NO 6F Tethers for RPX!","---"))),"---")</f>
        <v>---</v>
      </c>
      <c r="K1980" s="286"/>
      <c r="L1980" s="287"/>
      <c r="M1980" s="285" t="str">
        <f>IF(E1977&gt;60,"Dead Count &gt;60: Consider Downsize","---")</f>
        <v>---</v>
      </c>
      <c r="N1980" s="286"/>
      <c r="O1980" s="286"/>
      <c r="P1980" s="286"/>
      <c r="Q1980" s="286"/>
      <c r="R1980" s="286"/>
      <c r="S1980" s="286"/>
      <c r="T1980" s="286"/>
      <c r="U1980" s="287"/>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85"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86"/>
      <c r="L1981" s="287"/>
      <c r="M1981" s="285" t="str">
        <f>IF(AND(OR(E1975="SS",E1975="RPX",E1975="EUC",E1975="RPX-T"),(OR(C1985="",C1985="Field SPL"))),"Cannot have FlexNap cables without tethers","---")</f>
        <v>---</v>
      </c>
      <c r="N1981" s="286"/>
      <c r="O1981" s="286"/>
      <c r="P1981" s="286"/>
      <c r="Q1981" s="286"/>
      <c r="R1981" s="286"/>
      <c r="S1981" s="286"/>
      <c r="T1981" s="286"/>
      <c r="U1981" s="287"/>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85" t="str">
        <f>IF(AND(OR(E1975="RPX", E1975="RPX-T", E1975="SS"),E1976=216),"NO 216 For RPX, RPX-T, OR SS CABLE","---")</f>
        <v>---</v>
      </c>
      <c r="K1982" s="286"/>
      <c r="L1982" s="287"/>
      <c r="M1982" s="285" t="str" cm="1">
        <f t="array" ref="M1982">IF(AND(E1975="",OR(C1985:C2009="FST",C1985:C2009="REV T",C1985:C2009="DBL REV",C1985:C2009="TPL REV", C1985:C2009="QD REV")),"Non-FlexNap cables cannot have tethers","---")</f>
        <v>---</v>
      </c>
      <c r="N1982" s="286"/>
      <c r="O1982" s="286"/>
      <c r="P1982" s="286"/>
      <c r="Q1982" s="286"/>
      <c r="R1982" s="286"/>
      <c r="S1982" s="286"/>
      <c r="T1982" s="286"/>
      <c r="U1982" s="287"/>
      <c r="V1982" s="25"/>
      <c r="W1982" s="58"/>
      <c r="X1982" s="58"/>
      <c r="Y1982" s="25"/>
      <c r="Z1982" s="45">
        <v>6</v>
      </c>
      <c r="AA1982" s="65">
        <v>61</v>
      </c>
      <c r="AB1982" s="65">
        <v>72</v>
      </c>
      <c r="AC1982" s="25"/>
      <c r="AD1982" s="25"/>
      <c r="BA1982" s="226"/>
    </row>
    <row r="1983" spans="1:53" ht="15.75" customHeight="1" thickBot="1" x14ac:dyDescent="0.3">
      <c r="A1983" s="88"/>
      <c r="B1983" s="321" t="s">
        <v>260</v>
      </c>
      <c r="C1983" s="293" t="s">
        <v>261</v>
      </c>
      <c r="D1983" s="293" t="s">
        <v>262</v>
      </c>
      <c r="E1983" s="306" t="s">
        <v>263</v>
      </c>
      <c r="F1983" s="293" t="s">
        <v>264</v>
      </c>
      <c r="G1983" s="308" t="s">
        <v>265</v>
      </c>
      <c r="H1983" s="308" t="s">
        <v>266</v>
      </c>
      <c r="I1983" s="308" t="s">
        <v>267</v>
      </c>
      <c r="J1983" s="310" t="s">
        <v>268</v>
      </c>
      <c r="K1983" s="293" t="s">
        <v>269</v>
      </c>
      <c r="L1983" s="279" t="s">
        <v>270</v>
      </c>
      <c r="M1983" s="281" t="s">
        <v>271</v>
      </c>
      <c r="N1983" s="281"/>
      <c r="O1983" s="281"/>
      <c r="P1983" s="281"/>
      <c r="Q1983" s="281"/>
      <c r="R1983" s="281"/>
      <c r="S1983" s="281"/>
      <c r="T1983" s="281"/>
      <c r="U1983" s="282"/>
      <c r="V1983" s="107"/>
      <c r="W1983" s="72"/>
      <c r="X1983" s="72"/>
      <c r="Y1983" s="72"/>
      <c r="Z1983" s="45">
        <v>7</v>
      </c>
      <c r="AA1983" s="65">
        <v>73</v>
      </c>
      <c r="AB1983" s="65">
        <v>84</v>
      </c>
      <c r="AC1983" s="25"/>
      <c r="AD1983" s="25"/>
      <c r="BA1983" s="228"/>
    </row>
    <row r="1984" spans="1:53" ht="15.75" thickBot="1" x14ac:dyDescent="0.3">
      <c r="A1984" s="88"/>
      <c r="B1984" s="322"/>
      <c r="C1984" s="294"/>
      <c r="D1984" s="294"/>
      <c r="E1984" s="307"/>
      <c r="F1984" s="294"/>
      <c r="G1984" s="309"/>
      <c r="H1984" s="309"/>
      <c r="I1984" s="309"/>
      <c r="J1984" s="311"/>
      <c r="K1984" s="294"/>
      <c r="L1984" s="280"/>
      <c r="M1984" s="283"/>
      <c r="N1984" s="283"/>
      <c r="O1984" s="283"/>
      <c r="P1984" s="283"/>
      <c r="Q1984" s="283"/>
      <c r="R1984" s="283"/>
      <c r="S1984" s="283"/>
      <c r="T1984" s="283"/>
      <c r="U1984" s="284"/>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77"/>
      <c r="N1985" s="277"/>
      <c r="O1985" s="277"/>
      <c r="P1985" s="277"/>
      <c r="Q1985" s="277"/>
      <c r="R1985" s="277"/>
      <c r="S1985" s="277"/>
      <c r="T1985" s="277"/>
      <c r="U1985" s="278"/>
      <c r="V1985" s="103"/>
      <c r="W1985" s="72"/>
      <c r="X1985" s="72"/>
      <c r="Y1985" s="72"/>
      <c r="Z1985" s="45">
        <v>9</v>
      </c>
      <c r="AA1985" s="46">
        <v>97</v>
      </c>
      <c r="AB1985" s="46">
        <v>108</v>
      </c>
      <c r="AC1985" s="72">
        <f t="shared" ref="AC1985:AC2009" si="825">IF(B1985&lt;&gt;"FST",1,0)</f>
        <v>1</v>
      </c>
      <c r="AD1985" s="72">
        <f t="shared" ref="AD1985:AD2009" si="826">IF(C1985&lt;&gt;"FST",1,0)</f>
        <v>1</v>
      </c>
      <c r="AE1985" s="109" t="str">
        <f t="shared" ref="AE1985:AE2011" si="827">CONCATENATE(H1985,"-",I1985)</f>
        <v>0-0</v>
      </c>
      <c r="AF1985" s="109" t="str">
        <f t="shared" ref="AF1985:AF2009" si="828">IF(C1985="Field SPL","N","Y")</f>
        <v>Y</v>
      </c>
      <c r="AG1985" s="109" t="str">
        <f t="shared" ref="AG1985:AG2009" si="829">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30">VALUE(IF(C1985="FST","0",IF(C1985="REV T","1",IF(C1985="DBL REV",".5","0"))))</f>
        <v>0</v>
      </c>
      <c r="AN1985" s="109">
        <f t="shared" ref="AN1985:AN2009" si="831">VALUE(IF(C1985="FST","0",IF(C1985="REV T","0",IF(C1985="DBL REV",".5","0"))))</f>
        <v>0</v>
      </c>
      <c r="AO1985" s="109" t="str">
        <f t="shared" ref="AO1985:AO2009" si="832">IF(C1985="TPL REV","Y","")</f>
        <v/>
      </c>
      <c r="AQ1985" s="109" t="str">
        <f t="shared" ref="AQ1985:AQ2009" si="833">IF(C1985="QD REV","Y","")</f>
        <v/>
      </c>
      <c r="BA1985" s="229">
        <f>MOD(E1985,12)</f>
        <v>0</v>
      </c>
    </row>
    <row r="1986" spans="1:53" ht="15.75" thickBot="1" x14ac:dyDescent="0.3">
      <c r="A1986" s="88"/>
      <c r="B1986" s="66" t="s">
        <v>279</v>
      </c>
      <c r="C1986" s="67"/>
      <c r="D1986" s="102"/>
      <c r="E1986" s="32"/>
      <c r="F1986" s="32"/>
      <c r="G1986" s="68" t="s">
        <v>277</v>
      </c>
      <c r="H1986" s="69">
        <f t="shared" ref="H1986:H2009" si="834">IF(E1986=0,0,I1986-(E1986-1))</f>
        <v>0</v>
      </c>
      <c r="I1986" s="70">
        <f t="shared" ref="I1986:I2009" si="835">IF(E1986=0,0,H1985-1)</f>
        <v>0</v>
      </c>
      <c r="J1986" s="73" t="str">
        <f>IF(C1986="","--",IF(AND(C1986&lt;&gt;"FST",C1986&lt;&gt;"TCF",BA1985&lt;&gt;0),BA1985,"--"))</f>
        <v>--</v>
      </c>
      <c r="K1986" s="32"/>
      <c r="L1986" s="233"/>
      <c r="M1986" s="277"/>
      <c r="N1986" s="277"/>
      <c r="O1986" s="277"/>
      <c r="P1986" s="277"/>
      <c r="Q1986" s="277"/>
      <c r="R1986" s="277"/>
      <c r="S1986" s="277"/>
      <c r="T1986" s="277"/>
      <c r="U1986" s="278"/>
      <c r="V1986" s="103"/>
      <c r="W1986" s="72"/>
      <c r="X1986" s="72"/>
      <c r="Y1986" s="72"/>
      <c r="Z1986" s="45">
        <v>10</v>
      </c>
      <c r="AA1986" s="46">
        <v>109</v>
      </c>
      <c r="AB1986" s="46">
        <v>120</v>
      </c>
      <c r="AC1986" s="72">
        <f t="shared" si="825"/>
        <v>1</v>
      </c>
      <c r="AD1986" s="72">
        <f t="shared" si="826"/>
        <v>1</v>
      </c>
      <c r="AE1986" s="109" t="str">
        <f t="shared" si="827"/>
        <v>0-0</v>
      </c>
      <c r="AF1986" s="109" t="str">
        <f t="shared" si="828"/>
        <v>Y</v>
      </c>
      <c r="AG1986" s="109" t="str">
        <f t="shared" si="829"/>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30"/>
        <v>0</v>
      </c>
      <c r="AN1986" s="109">
        <f t="shared" si="831"/>
        <v>0</v>
      </c>
      <c r="AO1986" s="109" t="str">
        <f t="shared" si="832"/>
        <v/>
      </c>
      <c r="AQ1986" s="109" t="str">
        <f t="shared" si="833"/>
        <v/>
      </c>
      <c r="BA1986" s="229">
        <f>MOD(SUM(E1985:E1986),12)</f>
        <v>0</v>
      </c>
    </row>
    <row r="1987" spans="1:53" ht="15.75" thickBot="1" x14ac:dyDescent="0.3">
      <c r="A1987" s="88"/>
      <c r="B1987" s="74" t="s">
        <v>280</v>
      </c>
      <c r="C1987" s="67"/>
      <c r="D1987" s="102"/>
      <c r="E1987" s="32"/>
      <c r="F1987" s="32"/>
      <c r="G1987" s="75" t="s">
        <v>277</v>
      </c>
      <c r="H1987" s="69">
        <f t="shared" si="834"/>
        <v>0</v>
      </c>
      <c r="I1987" s="70">
        <f t="shared" si="835"/>
        <v>0</v>
      </c>
      <c r="J1987" s="73" t="str">
        <f t="shared" ref="J1987:J2009" si="836">IF(C1987="","--",IF(AND(C1987&lt;&gt;"FST",C1987&lt;&gt;"TCF",BA1986&lt;&gt;0),BA1986,"--"))</f>
        <v>--</v>
      </c>
      <c r="K1987" s="32"/>
      <c r="L1987" s="233"/>
      <c r="M1987" s="277"/>
      <c r="N1987" s="277"/>
      <c r="O1987" s="277"/>
      <c r="P1987" s="277"/>
      <c r="Q1987" s="277"/>
      <c r="R1987" s="277"/>
      <c r="S1987" s="277"/>
      <c r="T1987" s="277"/>
      <c r="U1987" s="278"/>
      <c r="V1987" s="103"/>
      <c r="W1987" s="72"/>
      <c r="X1987" s="72"/>
      <c r="Y1987" s="72"/>
      <c r="Z1987" s="45">
        <v>11</v>
      </c>
      <c r="AA1987" s="46">
        <v>121</v>
      </c>
      <c r="AB1987" s="46">
        <v>132</v>
      </c>
      <c r="AC1987" s="72">
        <f t="shared" si="825"/>
        <v>1</v>
      </c>
      <c r="AD1987" s="72">
        <f t="shared" si="826"/>
        <v>1</v>
      </c>
      <c r="AE1987" s="109" t="str">
        <f t="shared" si="827"/>
        <v>0-0</v>
      </c>
      <c r="AF1987" s="109" t="str">
        <f t="shared" si="828"/>
        <v>Y</v>
      </c>
      <c r="AG1987" s="109" t="str">
        <f t="shared" si="829"/>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30"/>
        <v>0</v>
      </c>
      <c r="AN1987" s="109">
        <f t="shared" si="831"/>
        <v>0</v>
      </c>
      <c r="AO1987" s="109" t="str">
        <f t="shared" si="832"/>
        <v/>
      </c>
      <c r="AQ1987" s="109" t="str">
        <f t="shared" si="833"/>
        <v/>
      </c>
      <c r="BA1987" s="229">
        <f>MOD(SUM(E1985:E1988),12)</f>
        <v>0</v>
      </c>
    </row>
    <row r="1988" spans="1:53" ht="15.75" thickBot="1" x14ac:dyDescent="0.3">
      <c r="A1988" s="88"/>
      <c r="B1988" s="66" t="s">
        <v>281</v>
      </c>
      <c r="C1988" s="67"/>
      <c r="D1988" s="102"/>
      <c r="E1988" s="32"/>
      <c r="F1988" s="32"/>
      <c r="G1988" s="68" t="s">
        <v>277</v>
      </c>
      <c r="H1988" s="69">
        <f t="shared" si="834"/>
        <v>0</v>
      </c>
      <c r="I1988" s="70">
        <f t="shared" si="835"/>
        <v>0</v>
      </c>
      <c r="J1988" s="73" t="str">
        <f t="shared" si="836"/>
        <v>--</v>
      </c>
      <c r="K1988" s="32"/>
      <c r="L1988" s="233"/>
      <c r="M1988" s="277"/>
      <c r="N1988" s="277"/>
      <c r="O1988" s="277"/>
      <c r="P1988" s="277"/>
      <c r="Q1988" s="277"/>
      <c r="R1988" s="277"/>
      <c r="S1988" s="277"/>
      <c r="T1988" s="277"/>
      <c r="U1988" s="278"/>
      <c r="V1988" s="103"/>
      <c r="W1988" s="72"/>
      <c r="X1988" s="72"/>
      <c r="Y1988" s="72"/>
      <c r="Z1988" s="45">
        <v>12</v>
      </c>
      <c r="AA1988" s="76">
        <v>133</v>
      </c>
      <c r="AB1988" s="76">
        <v>144</v>
      </c>
      <c r="AC1988" s="72">
        <f t="shared" si="825"/>
        <v>1</v>
      </c>
      <c r="AD1988" s="72">
        <f t="shared" si="826"/>
        <v>1</v>
      </c>
      <c r="AE1988" s="109" t="str">
        <f t="shared" si="827"/>
        <v>0-0</v>
      </c>
      <c r="AF1988" s="109" t="str">
        <f t="shared" si="828"/>
        <v>Y</v>
      </c>
      <c r="AG1988" s="109" t="str">
        <f t="shared" si="829"/>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30"/>
        <v>0</v>
      </c>
      <c r="AN1988" s="109">
        <f t="shared" si="831"/>
        <v>0</v>
      </c>
      <c r="AO1988" s="109" t="str">
        <f t="shared" si="832"/>
        <v/>
      </c>
      <c r="AQ1988" s="109" t="str">
        <f t="shared" si="833"/>
        <v/>
      </c>
      <c r="BA1988" s="229">
        <f>MOD(SUM(E1985:E1989),12)</f>
        <v>0</v>
      </c>
    </row>
    <row r="1989" spans="1:53" ht="15.75" thickBot="1" x14ac:dyDescent="0.3">
      <c r="A1989" s="88"/>
      <c r="B1989" s="66" t="s">
        <v>282</v>
      </c>
      <c r="C1989" s="67"/>
      <c r="D1989" s="102"/>
      <c r="E1989" s="32"/>
      <c r="F1989" s="32"/>
      <c r="G1989" s="68" t="s">
        <v>277</v>
      </c>
      <c r="H1989" s="69">
        <f t="shared" si="834"/>
        <v>0</v>
      </c>
      <c r="I1989" s="70">
        <f t="shared" si="835"/>
        <v>0</v>
      </c>
      <c r="J1989" s="73" t="str">
        <f t="shared" si="836"/>
        <v>--</v>
      </c>
      <c r="K1989" s="32"/>
      <c r="L1989" s="233"/>
      <c r="M1989" s="277"/>
      <c r="N1989" s="277"/>
      <c r="O1989" s="277"/>
      <c r="P1989" s="277"/>
      <c r="Q1989" s="277"/>
      <c r="R1989" s="277"/>
      <c r="S1989" s="277"/>
      <c r="T1989" s="277"/>
      <c r="U1989" s="278"/>
      <c r="V1989" s="103"/>
      <c r="W1989" s="72"/>
      <c r="X1989" s="72"/>
      <c r="Y1989" s="72"/>
      <c r="Z1989" s="45">
        <v>13</v>
      </c>
      <c r="AA1989" s="77">
        <f t="shared" ref="AA1989:AA1994" si="837">AB1988+1</f>
        <v>145</v>
      </c>
      <c r="AB1989" s="77">
        <f t="shared" ref="AB1989:AB1994" si="838">AB1988+12</f>
        <v>156</v>
      </c>
      <c r="AC1989" s="72">
        <f t="shared" si="825"/>
        <v>1</v>
      </c>
      <c r="AD1989" s="72">
        <f t="shared" si="826"/>
        <v>1</v>
      </c>
      <c r="AE1989" s="109" t="str">
        <f t="shared" si="827"/>
        <v>0-0</v>
      </c>
      <c r="AF1989" s="109" t="str">
        <f t="shared" si="828"/>
        <v>Y</v>
      </c>
      <c r="AG1989" s="109" t="str">
        <f t="shared" si="829"/>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30"/>
        <v>0</v>
      </c>
      <c r="AN1989" s="109">
        <f t="shared" si="831"/>
        <v>0</v>
      </c>
      <c r="AO1989" s="109" t="str">
        <f t="shared" si="832"/>
        <v/>
      </c>
      <c r="AQ1989" s="109" t="str">
        <f t="shared" si="833"/>
        <v/>
      </c>
      <c r="BA1989" s="229">
        <f>MOD(SUM(E1985:E1990),12)</f>
        <v>0</v>
      </c>
    </row>
    <row r="1990" spans="1:53" ht="15.75" thickBot="1" x14ac:dyDescent="0.3">
      <c r="A1990" s="88"/>
      <c r="B1990" s="66" t="s">
        <v>283</v>
      </c>
      <c r="C1990" s="67"/>
      <c r="D1990" s="102"/>
      <c r="E1990" s="32"/>
      <c r="F1990" s="32"/>
      <c r="G1990" s="68" t="s">
        <v>277</v>
      </c>
      <c r="H1990" s="69">
        <f t="shared" si="834"/>
        <v>0</v>
      </c>
      <c r="I1990" s="70">
        <f t="shared" si="835"/>
        <v>0</v>
      </c>
      <c r="J1990" s="73" t="str">
        <f t="shared" si="836"/>
        <v>--</v>
      </c>
      <c r="K1990" s="32"/>
      <c r="L1990" s="233"/>
      <c r="M1990" s="277"/>
      <c r="N1990" s="277"/>
      <c r="O1990" s="277"/>
      <c r="P1990" s="277"/>
      <c r="Q1990" s="277"/>
      <c r="R1990" s="277"/>
      <c r="S1990" s="277"/>
      <c r="T1990" s="277"/>
      <c r="U1990" s="278"/>
      <c r="V1990" s="103"/>
      <c r="W1990" s="72"/>
      <c r="X1990" s="72"/>
      <c r="Y1990" s="72"/>
      <c r="Z1990" s="45">
        <v>14</v>
      </c>
      <c r="AA1990" s="77">
        <f t="shared" si="837"/>
        <v>157</v>
      </c>
      <c r="AB1990" s="77">
        <f t="shared" si="838"/>
        <v>168</v>
      </c>
      <c r="AC1990" s="72">
        <f t="shared" si="825"/>
        <v>1</v>
      </c>
      <c r="AD1990" s="72">
        <f t="shared" si="826"/>
        <v>1</v>
      </c>
      <c r="AE1990" s="109" t="str">
        <f t="shared" si="827"/>
        <v>0-0</v>
      </c>
      <c r="AF1990" s="109" t="str">
        <f t="shared" si="828"/>
        <v>Y</v>
      </c>
      <c r="AG1990" s="109" t="str">
        <f t="shared" si="829"/>
        <v>B</v>
      </c>
      <c r="AM1990" s="109">
        <f t="shared" si="830"/>
        <v>0</v>
      </c>
      <c r="AN1990" s="109">
        <f t="shared" si="831"/>
        <v>0</v>
      </c>
      <c r="AO1990" s="109" t="str">
        <f t="shared" si="832"/>
        <v/>
      </c>
      <c r="AQ1990" s="109" t="str">
        <f t="shared" si="833"/>
        <v/>
      </c>
      <c r="BA1990" s="229">
        <f>MOD(SUM(E1985:E1991),12)</f>
        <v>0</v>
      </c>
    </row>
    <row r="1991" spans="1:53" ht="15.75" thickBot="1" x14ac:dyDescent="0.3">
      <c r="A1991" s="88"/>
      <c r="B1991" s="66" t="s">
        <v>284</v>
      </c>
      <c r="C1991" s="67"/>
      <c r="D1991" s="102"/>
      <c r="E1991" s="32"/>
      <c r="F1991" s="32"/>
      <c r="G1991" s="68" t="s">
        <v>277</v>
      </c>
      <c r="H1991" s="69">
        <f t="shared" si="834"/>
        <v>0</v>
      </c>
      <c r="I1991" s="70">
        <f t="shared" si="835"/>
        <v>0</v>
      </c>
      <c r="J1991" s="73" t="str">
        <f t="shared" si="836"/>
        <v>--</v>
      </c>
      <c r="K1991" s="32"/>
      <c r="L1991" s="233"/>
      <c r="M1991" s="277"/>
      <c r="N1991" s="277"/>
      <c r="O1991" s="277"/>
      <c r="P1991" s="277"/>
      <c r="Q1991" s="277"/>
      <c r="R1991" s="277"/>
      <c r="S1991" s="277"/>
      <c r="T1991" s="277"/>
      <c r="U1991" s="278"/>
      <c r="V1991" s="103"/>
      <c r="W1991" s="72"/>
      <c r="X1991" s="72"/>
      <c r="Y1991" s="72"/>
      <c r="Z1991" s="45">
        <v>15</v>
      </c>
      <c r="AA1991" s="77">
        <f t="shared" si="837"/>
        <v>169</v>
      </c>
      <c r="AB1991" s="77">
        <f t="shared" si="838"/>
        <v>180</v>
      </c>
      <c r="AC1991" s="72">
        <f t="shared" si="825"/>
        <v>1</v>
      </c>
      <c r="AD1991" s="72">
        <f t="shared" si="826"/>
        <v>1</v>
      </c>
      <c r="AE1991" s="109" t="str">
        <f t="shared" si="827"/>
        <v>0-0</v>
      </c>
      <c r="AF1991" s="109" t="str">
        <f t="shared" si="828"/>
        <v>Y</v>
      </c>
      <c r="AG1991" s="109" t="str">
        <f t="shared" si="829"/>
        <v>B</v>
      </c>
      <c r="AM1991" s="109">
        <f t="shared" si="830"/>
        <v>0</v>
      </c>
      <c r="AN1991" s="109">
        <f t="shared" si="831"/>
        <v>0</v>
      </c>
      <c r="AO1991" s="109" t="str">
        <f t="shared" si="832"/>
        <v/>
      </c>
      <c r="AQ1991" s="109" t="str">
        <f t="shared" si="833"/>
        <v/>
      </c>
      <c r="BA1991" s="229">
        <f>MOD(SUM(E1985:E1992),12)</f>
        <v>0</v>
      </c>
    </row>
    <row r="1992" spans="1:53" ht="15.75" thickBot="1" x14ac:dyDescent="0.3">
      <c r="A1992" s="88"/>
      <c r="B1992" s="66" t="s">
        <v>285</v>
      </c>
      <c r="C1992" s="67"/>
      <c r="D1992" s="102"/>
      <c r="E1992" s="32"/>
      <c r="F1992" s="32"/>
      <c r="G1992" s="68" t="s">
        <v>277</v>
      </c>
      <c r="H1992" s="69">
        <f t="shared" si="834"/>
        <v>0</v>
      </c>
      <c r="I1992" s="70">
        <f t="shared" si="835"/>
        <v>0</v>
      </c>
      <c r="J1992" s="73" t="str">
        <f t="shared" si="836"/>
        <v>--</v>
      </c>
      <c r="K1992" s="32"/>
      <c r="L1992" s="233"/>
      <c r="M1992" s="277"/>
      <c r="N1992" s="277"/>
      <c r="O1992" s="277"/>
      <c r="P1992" s="277"/>
      <c r="Q1992" s="277"/>
      <c r="R1992" s="277"/>
      <c r="S1992" s="277"/>
      <c r="T1992" s="277"/>
      <c r="U1992" s="278"/>
      <c r="V1992" s="103"/>
      <c r="W1992" s="72"/>
      <c r="X1992" s="72"/>
      <c r="Y1992" s="72"/>
      <c r="Z1992" s="45">
        <f>Z1991+1</f>
        <v>16</v>
      </c>
      <c r="AA1992" s="77">
        <f t="shared" si="837"/>
        <v>181</v>
      </c>
      <c r="AB1992" s="77">
        <f t="shared" si="838"/>
        <v>192</v>
      </c>
      <c r="AC1992" s="72">
        <f t="shared" si="825"/>
        <v>1</v>
      </c>
      <c r="AD1992" s="72">
        <f t="shared" si="826"/>
        <v>1</v>
      </c>
      <c r="AE1992" s="109" t="str">
        <f t="shared" si="827"/>
        <v>0-0</v>
      </c>
      <c r="AF1992" s="109" t="str">
        <f t="shared" si="828"/>
        <v>Y</v>
      </c>
      <c r="AG1992" s="109" t="str">
        <f t="shared" si="829"/>
        <v>B</v>
      </c>
      <c r="AM1992" s="109">
        <f t="shared" si="830"/>
        <v>0</v>
      </c>
      <c r="AN1992" s="109">
        <f t="shared" si="831"/>
        <v>0</v>
      </c>
      <c r="AO1992" s="109" t="str">
        <f t="shared" si="832"/>
        <v/>
      </c>
      <c r="AQ1992" s="109" t="str">
        <f t="shared" si="833"/>
        <v/>
      </c>
      <c r="BA1992" s="229">
        <f>MOD(SUM(E1985:E1993),12)</f>
        <v>0</v>
      </c>
    </row>
    <row r="1993" spans="1:53" ht="15.75" thickBot="1" x14ac:dyDescent="0.3">
      <c r="A1993" s="88"/>
      <c r="B1993" s="66" t="s">
        <v>286</v>
      </c>
      <c r="C1993" s="67"/>
      <c r="D1993" s="102"/>
      <c r="E1993" s="32"/>
      <c r="F1993" s="32"/>
      <c r="G1993" s="68" t="s">
        <v>277</v>
      </c>
      <c r="H1993" s="69">
        <f t="shared" si="834"/>
        <v>0</v>
      </c>
      <c r="I1993" s="70">
        <f t="shared" si="835"/>
        <v>0</v>
      </c>
      <c r="J1993" s="73" t="str">
        <f t="shared" si="836"/>
        <v>--</v>
      </c>
      <c r="K1993" s="32"/>
      <c r="L1993" s="233"/>
      <c r="M1993" s="277"/>
      <c r="N1993" s="277"/>
      <c r="O1993" s="277"/>
      <c r="P1993" s="277"/>
      <c r="Q1993" s="277"/>
      <c r="R1993" s="277"/>
      <c r="S1993" s="277"/>
      <c r="T1993" s="277"/>
      <c r="U1993" s="278"/>
      <c r="V1993" s="103"/>
      <c r="W1993" s="72"/>
      <c r="X1993" s="72"/>
      <c r="Y1993" s="72"/>
      <c r="Z1993" s="45">
        <f>Z1992+1</f>
        <v>17</v>
      </c>
      <c r="AA1993" s="77">
        <f t="shared" si="837"/>
        <v>193</v>
      </c>
      <c r="AB1993" s="77">
        <f t="shared" si="838"/>
        <v>204</v>
      </c>
      <c r="AC1993" s="72">
        <f t="shared" si="825"/>
        <v>1</v>
      </c>
      <c r="AD1993" s="72">
        <f t="shared" si="826"/>
        <v>1</v>
      </c>
      <c r="AE1993" s="109" t="str">
        <f t="shared" si="827"/>
        <v>0-0</v>
      </c>
      <c r="AF1993" s="109" t="str">
        <f t="shared" si="828"/>
        <v>Y</v>
      </c>
      <c r="AG1993" s="109" t="str">
        <f t="shared" si="829"/>
        <v>B</v>
      </c>
      <c r="AM1993" s="109">
        <f t="shared" si="830"/>
        <v>0</v>
      </c>
      <c r="AN1993" s="109">
        <f t="shared" si="831"/>
        <v>0</v>
      </c>
      <c r="AO1993" s="109" t="str">
        <f t="shared" si="832"/>
        <v/>
      </c>
      <c r="AQ1993" s="109" t="str">
        <f t="shared" si="833"/>
        <v/>
      </c>
      <c r="BA1993" s="229">
        <f>MOD(SUM(E1985:E1994),12)</f>
        <v>0</v>
      </c>
    </row>
    <row r="1994" spans="1:53" ht="15.75" thickBot="1" x14ac:dyDescent="0.3">
      <c r="A1994" s="88"/>
      <c r="B1994" s="66" t="s">
        <v>287</v>
      </c>
      <c r="C1994" s="67"/>
      <c r="D1994" s="102"/>
      <c r="E1994" s="32"/>
      <c r="F1994" s="32"/>
      <c r="G1994" s="68" t="s">
        <v>277</v>
      </c>
      <c r="H1994" s="69">
        <f t="shared" si="834"/>
        <v>0</v>
      </c>
      <c r="I1994" s="70">
        <f t="shared" si="835"/>
        <v>0</v>
      </c>
      <c r="J1994" s="73" t="str">
        <f t="shared" si="836"/>
        <v>--</v>
      </c>
      <c r="K1994" s="32"/>
      <c r="L1994" s="233"/>
      <c r="M1994" s="277"/>
      <c r="N1994" s="277"/>
      <c r="O1994" s="277"/>
      <c r="P1994" s="277"/>
      <c r="Q1994" s="277"/>
      <c r="R1994" s="277"/>
      <c r="S1994" s="277"/>
      <c r="T1994" s="277"/>
      <c r="U1994" s="278"/>
      <c r="V1994" s="103"/>
      <c r="W1994" s="72"/>
      <c r="X1994" s="72"/>
      <c r="Y1994" s="72"/>
      <c r="Z1994" s="45">
        <f>Z1993+1</f>
        <v>18</v>
      </c>
      <c r="AA1994" s="77">
        <f t="shared" si="837"/>
        <v>205</v>
      </c>
      <c r="AB1994" s="77">
        <f t="shared" si="838"/>
        <v>216</v>
      </c>
      <c r="AC1994" s="72">
        <f t="shared" si="825"/>
        <v>1</v>
      </c>
      <c r="AD1994" s="72">
        <f t="shared" si="826"/>
        <v>1</v>
      </c>
      <c r="AE1994" s="109" t="str">
        <f t="shared" si="827"/>
        <v>0-0</v>
      </c>
      <c r="AF1994" s="109" t="str">
        <f t="shared" si="828"/>
        <v>Y</v>
      </c>
      <c r="AG1994" s="109" t="str">
        <f t="shared" si="829"/>
        <v>B</v>
      </c>
      <c r="AM1994" s="109">
        <f t="shared" si="830"/>
        <v>0</v>
      </c>
      <c r="AN1994" s="109">
        <f t="shared" si="831"/>
        <v>0</v>
      </c>
      <c r="AO1994" s="109" t="str">
        <f t="shared" si="832"/>
        <v/>
      </c>
      <c r="AQ1994" s="109" t="str">
        <f t="shared" si="833"/>
        <v/>
      </c>
      <c r="BA1994" s="229">
        <f>MOD(SUM(E1985:E1995),12)</f>
        <v>0</v>
      </c>
    </row>
    <row r="1995" spans="1:53" ht="15.75" thickBot="1" x14ac:dyDescent="0.3">
      <c r="A1995" s="88"/>
      <c r="B1995" s="66" t="s">
        <v>288</v>
      </c>
      <c r="C1995" s="67"/>
      <c r="D1995" s="102"/>
      <c r="E1995" s="32"/>
      <c r="F1995" s="32"/>
      <c r="G1995" s="68" t="s">
        <v>277</v>
      </c>
      <c r="H1995" s="69">
        <f t="shared" si="834"/>
        <v>0</v>
      </c>
      <c r="I1995" s="70">
        <f t="shared" si="835"/>
        <v>0</v>
      </c>
      <c r="J1995" s="73" t="str">
        <f t="shared" si="836"/>
        <v>--</v>
      </c>
      <c r="K1995" s="32"/>
      <c r="L1995" s="233"/>
      <c r="M1995" s="277"/>
      <c r="N1995" s="277"/>
      <c r="O1995" s="277"/>
      <c r="P1995" s="277"/>
      <c r="Q1995" s="277"/>
      <c r="R1995" s="277"/>
      <c r="S1995" s="277"/>
      <c r="T1995" s="277"/>
      <c r="U1995" s="278"/>
      <c r="V1995" s="103"/>
      <c r="W1995" s="84"/>
      <c r="X1995" s="84"/>
      <c r="Y1995" s="72"/>
      <c r="Z1995" s="72"/>
      <c r="AA1995" s="72"/>
      <c r="AB1995" s="72"/>
      <c r="AC1995" s="72">
        <f t="shared" si="825"/>
        <v>1</v>
      </c>
      <c r="AD1995" s="72">
        <f t="shared" si="826"/>
        <v>1</v>
      </c>
      <c r="AE1995" s="109" t="str">
        <f t="shared" si="827"/>
        <v>0-0</v>
      </c>
      <c r="AF1995" s="109" t="str">
        <f t="shared" si="828"/>
        <v>Y</v>
      </c>
      <c r="AG1995" s="109" t="str">
        <f t="shared" si="829"/>
        <v>B</v>
      </c>
      <c r="AM1995" s="109">
        <f t="shared" si="830"/>
        <v>0</v>
      </c>
      <c r="AN1995" s="109">
        <f t="shared" si="831"/>
        <v>0</v>
      </c>
      <c r="AO1995" s="109" t="str">
        <f t="shared" si="832"/>
        <v/>
      </c>
      <c r="AQ1995" s="109" t="str">
        <f t="shared" si="833"/>
        <v/>
      </c>
      <c r="BA1995" s="229">
        <f>MOD(SUM(E1985:E1996),12)</f>
        <v>0</v>
      </c>
    </row>
    <row r="1996" spans="1:53" ht="15.75" thickBot="1" x14ac:dyDescent="0.3">
      <c r="A1996" s="88"/>
      <c r="B1996" s="66" t="s">
        <v>289</v>
      </c>
      <c r="C1996" s="67"/>
      <c r="D1996" s="102"/>
      <c r="E1996" s="32"/>
      <c r="F1996" s="32"/>
      <c r="G1996" s="68" t="s">
        <v>277</v>
      </c>
      <c r="H1996" s="69">
        <f t="shared" si="834"/>
        <v>0</v>
      </c>
      <c r="I1996" s="70">
        <f t="shared" si="835"/>
        <v>0</v>
      </c>
      <c r="J1996" s="73" t="str">
        <f t="shared" si="836"/>
        <v>--</v>
      </c>
      <c r="K1996" s="32"/>
      <c r="L1996" s="233"/>
      <c r="M1996" s="277"/>
      <c r="N1996" s="277"/>
      <c r="O1996" s="277"/>
      <c r="P1996" s="277"/>
      <c r="Q1996" s="277"/>
      <c r="R1996" s="277"/>
      <c r="S1996" s="277"/>
      <c r="T1996" s="277"/>
      <c r="U1996" s="278"/>
      <c r="V1996" s="103"/>
      <c r="W1996" s="84">
        <f>Y1996+1</f>
        <v>1</v>
      </c>
      <c r="X1996" s="84"/>
      <c r="Y1996" s="78">
        <f>SUM(E1985:E1996)</f>
        <v>0</v>
      </c>
      <c r="Z1996" s="72"/>
      <c r="AA1996" s="72"/>
      <c r="AB1996" s="72"/>
      <c r="AC1996" s="72">
        <f t="shared" si="825"/>
        <v>1</v>
      </c>
      <c r="AD1996" s="72">
        <f t="shared" si="826"/>
        <v>1</v>
      </c>
      <c r="AE1996" s="109" t="str">
        <f t="shared" si="827"/>
        <v>0-0</v>
      </c>
      <c r="AF1996" s="109" t="str">
        <f t="shared" si="828"/>
        <v>Y</v>
      </c>
      <c r="AG1996" s="109" t="str">
        <f t="shared" si="829"/>
        <v>B</v>
      </c>
      <c r="AM1996" s="109">
        <f t="shared" si="830"/>
        <v>0</v>
      </c>
      <c r="AN1996" s="109">
        <f t="shared" si="831"/>
        <v>0</v>
      </c>
      <c r="AO1996" s="109" t="str">
        <f t="shared" si="832"/>
        <v/>
      </c>
      <c r="AQ1996" s="109" t="str">
        <f t="shared" si="833"/>
        <v/>
      </c>
      <c r="BA1996" s="229">
        <f>MOD(SUM(E1985:E1997),12)</f>
        <v>0</v>
      </c>
    </row>
    <row r="1997" spans="1:53" ht="15.75" thickBot="1" x14ac:dyDescent="0.3">
      <c r="A1997" s="88"/>
      <c r="B1997" s="66" t="s">
        <v>290</v>
      </c>
      <c r="C1997" s="67"/>
      <c r="D1997" s="102"/>
      <c r="E1997" s="32"/>
      <c r="F1997" s="32"/>
      <c r="G1997" s="68" t="s">
        <v>277</v>
      </c>
      <c r="H1997" s="69">
        <f t="shared" si="834"/>
        <v>0</v>
      </c>
      <c r="I1997" s="70">
        <f t="shared" si="835"/>
        <v>0</v>
      </c>
      <c r="J1997" s="73" t="str">
        <f t="shared" si="836"/>
        <v>--</v>
      </c>
      <c r="K1997" s="32"/>
      <c r="L1997" s="233"/>
      <c r="M1997" s="277"/>
      <c r="N1997" s="277"/>
      <c r="O1997" s="277"/>
      <c r="P1997" s="277"/>
      <c r="Q1997" s="277"/>
      <c r="R1997" s="277"/>
      <c r="S1997" s="277"/>
      <c r="T1997" s="277"/>
      <c r="U1997" s="278"/>
      <c r="V1997" s="103"/>
      <c r="W1997" s="84">
        <f>Y1997+1</f>
        <v>1</v>
      </c>
      <c r="X1997" s="84"/>
      <c r="Y1997" s="78">
        <f>SUM(E1985:E1997)</f>
        <v>0</v>
      </c>
      <c r="Z1997" s="72" t="str">
        <f t="shared" ref="Z1997:Z2009" si="839">IF(OR(AND(E$8=216,C1996="DBL REV",C1997="DBL REV",Y1996&lt;=144,Y1997&gt;144),AND(E$8=216,C1996="TPL REV",C1997="TPL REV",Y1996&lt;=144,Y1997&gt;144),AND(E$8=216,C1996="QD REV",C1997="QD REV",Y1996&lt;=144,Y1997&gt;144)),"ERROR","")</f>
        <v/>
      </c>
      <c r="AA1997" s="72"/>
      <c r="AB1997" s="72"/>
      <c r="AC1997" s="72">
        <f t="shared" si="825"/>
        <v>1</v>
      </c>
      <c r="AD1997" s="72">
        <f t="shared" si="826"/>
        <v>1</v>
      </c>
      <c r="AE1997" s="109" t="str">
        <f t="shared" si="827"/>
        <v>0-0</v>
      </c>
      <c r="AF1997" s="109" t="str">
        <f t="shared" si="828"/>
        <v>Y</v>
      </c>
      <c r="AG1997" s="109" t="str">
        <f t="shared" si="829"/>
        <v>B</v>
      </c>
      <c r="AM1997" s="109">
        <f t="shared" si="830"/>
        <v>0</v>
      </c>
      <c r="AN1997" s="109">
        <f t="shared" si="831"/>
        <v>0</v>
      </c>
      <c r="AO1997" s="109" t="str">
        <f t="shared" si="832"/>
        <v/>
      </c>
      <c r="AQ1997" s="109" t="str">
        <f t="shared" si="833"/>
        <v/>
      </c>
      <c r="BA1997" s="229">
        <f>MOD(SUM(E1985:E1998),12)</f>
        <v>0</v>
      </c>
    </row>
    <row r="1998" spans="1:53" ht="15.75" thickBot="1" x14ac:dyDescent="0.3">
      <c r="A1998" s="88"/>
      <c r="B1998" s="66" t="s">
        <v>291</v>
      </c>
      <c r="C1998" s="67"/>
      <c r="D1998" s="102"/>
      <c r="E1998" s="32"/>
      <c r="F1998" s="32"/>
      <c r="G1998" s="68" t="s">
        <v>277</v>
      </c>
      <c r="H1998" s="69">
        <f t="shared" si="834"/>
        <v>0</v>
      </c>
      <c r="I1998" s="70">
        <f t="shared" si="835"/>
        <v>0</v>
      </c>
      <c r="J1998" s="73" t="str">
        <f t="shared" si="836"/>
        <v>--</v>
      </c>
      <c r="K1998" s="32"/>
      <c r="L1998" s="233"/>
      <c r="M1998" s="277"/>
      <c r="N1998" s="277"/>
      <c r="O1998" s="277"/>
      <c r="P1998" s="277"/>
      <c r="Q1998" s="277"/>
      <c r="R1998" s="277"/>
      <c r="S1998" s="277"/>
      <c r="T1998" s="277"/>
      <c r="U1998" s="278"/>
      <c r="V1998" s="103"/>
      <c r="W1998" s="84">
        <f>Y1998+1</f>
        <v>1</v>
      </c>
      <c r="X1998" s="84"/>
      <c r="Y1998" s="78">
        <f>SUM(E1985:E1998)</f>
        <v>0</v>
      </c>
      <c r="Z1998" s="72" t="str">
        <f t="shared" si="839"/>
        <v/>
      </c>
      <c r="AA1998" s="72"/>
      <c r="AB1998" s="72"/>
      <c r="AC1998" s="72">
        <f t="shared" si="825"/>
        <v>1</v>
      </c>
      <c r="AD1998" s="72">
        <f t="shared" si="826"/>
        <v>1</v>
      </c>
      <c r="AE1998" s="109" t="str">
        <f t="shared" si="827"/>
        <v>0-0</v>
      </c>
      <c r="AF1998" s="109" t="str">
        <f t="shared" si="828"/>
        <v>Y</v>
      </c>
      <c r="AG1998" s="109" t="str">
        <f t="shared" si="829"/>
        <v>B</v>
      </c>
      <c r="AM1998" s="109">
        <f t="shared" si="830"/>
        <v>0</v>
      </c>
      <c r="AN1998" s="109">
        <f t="shared" si="831"/>
        <v>0</v>
      </c>
      <c r="AO1998" s="109" t="str">
        <f t="shared" si="832"/>
        <v/>
      </c>
      <c r="AQ1998" s="109" t="str">
        <f t="shared" si="833"/>
        <v/>
      </c>
      <c r="BA1998" s="229">
        <f>MOD(SUM(E1985:E1999),12)</f>
        <v>0</v>
      </c>
    </row>
    <row r="1999" spans="1:53" ht="15.75" thickBot="1" x14ac:dyDescent="0.3">
      <c r="A1999" s="88"/>
      <c r="B1999" s="66" t="s">
        <v>292</v>
      </c>
      <c r="C1999" s="67"/>
      <c r="D1999" s="102"/>
      <c r="E1999" s="32"/>
      <c r="F1999" s="32"/>
      <c r="G1999" s="68" t="s">
        <v>277</v>
      </c>
      <c r="H1999" s="69">
        <f t="shared" si="834"/>
        <v>0</v>
      </c>
      <c r="I1999" s="70">
        <f t="shared" si="835"/>
        <v>0</v>
      </c>
      <c r="J1999" s="73" t="str">
        <f t="shared" si="836"/>
        <v>--</v>
      </c>
      <c r="K1999" s="32"/>
      <c r="L1999" s="233"/>
      <c r="M1999" s="277"/>
      <c r="N1999" s="277"/>
      <c r="O1999" s="277"/>
      <c r="P1999" s="277"/>
      <c r="Q1999" s="277"/>
      <c r="R1999" s="277"/>
      <c r="S1999" s="277"/>
      <c r="T1999" s="277"/>
      <c r="U1999" s="278"/>
      <c r="V1999" s="103"/>
      <c r="W1999" s="84">
        <f>Y1999+1</f>
        <v>1</v>
      </c>
      <c r="X1999" s="84"/>
      <c r="Y1999" s="78">
        <f>SUM(E1985:E1999)</f>
        <v>0</v>
      </c>
      <c r="Z1999" s="72" t="str">
        <f t="shared" si="839"/>
        <v/>
      </c>
      <c r="AA1999" s="72" t="str">
        <f t="shared" ref="AA1999:AA2011" si="840">IF(AND(C1997&lt;&gt;"Field SPL",W1996&lt;=144,Y1997&gt;144),"ERROR","")</f>
        <v/>
      </c>
      <c r="AB1999" s="72"/>
      <c r="AC1999" s="72">
        <f t="shared" si="825"/>
        <v>1</v>
      </c>
      <c r="AD1999" s="72">
        <f t="shared" si="826"/>
        <v>1</v>
      </c>
      <c r="AE1999" s="109" t="str">
        <f t="shared" si="827"/>
        <v>0-0</v>
      </c>
      <c r="AF1999" s="109" t="str">
        <f t="shared" si="828"/>
        <v>Y</v>
      </c>
      <c r="AG1999" s="109" t="str">
        <f t="shared" si="829"/>
        <v>B</v>
      </c>
      <c r="AM1999" s="109">
        <f t="shared" si="830"/>
        <v>0</v>
      </c>
      <c r="AN1999" s="109">
        <f t="shared" si="831"/>
        <v>0</v>
      </c>
      <c r="AO1999" s="109" t="str">
        <f t="shared" si="832"/>
        <v/>
      </c>
      <c r="AQ1999" s="109" t="str">
        <f t="shared" si="833"/>
        <v/>
      </c>
      <c r="BA1999" s="229">
        <f>MOD(SUM(E1985:E2000),12)</f>
        <v>0</v>
      </c>
    </row>
    <row r="2000" spans="1:53" ht="15.75" thickBot="1" x14ac:dyDescent="0.3">
      <c r="A2000" s="88"/>
      <c r="B2000" s="66" t="s">
        <v>293</v>
      </c>
      <c r="C2000" s="67"/>
      <c r="D2000" s="102"/>
      <c r="E2000" s="32"/>
      <c r="F2000" s="32"/>
      <c r="G2000" s="68" t="s">
        <v>277</v>
      </c>
      <c r="H2000" s="69">
        <f t="shared" si="834"/>
        <v>0</v>
      </c>
      <c r="I2000" s="70">
        <f t="shared" si="835"/>
        <v>0</v>
      </c>
      <c r="J2000" s="73" t="str">
        <f t="shared" si="836"/>
        <v>--</v>
      </c>
      <c r="K2000" s="32"/>
      <c r="L2000" s="233"/>
      <c r="M2000" s="277"/>
      <c r="N2000" s="277"/>
      <c r="O2000" s="277"/>
      <c r="P2000" s="277"/>
      <c r="Q2000" s="277"/>
      <c r="R2000" s="277"/>
      <c r="S2000" s="277"/>
      <c r="T2000" s="277"/>
      <c r="U2000" s="278"/>
      <c r="V2000" s="103"/>
      <c r="W2000" s="84">
        <f t="shared" ref="W2000:W2008" si="841">Y2000+1</f>
        <v>1</v>
      </c>
      <c r="X2000" s="84"/>
      <c r="Y2000" s="78">
        <f>SUM(E1985:E2000)</f>
        <v>0</v>
      </c>
      <c r="Z2000" s="72" t="str">
        <f t="shared" si="839"/>
        <v/>
      </c>
      <c r="AA2000" s="72" t="str">
        <f t="shared" si="840"/>
        <v/>
      </c>
      <c r="AB2000" s="72"/>
      <c r="AC2000" s="72">
        <f t="shared" si="825"/>
        <v>1</v>
      </c>
      <c r="AD2000" s="72">
        <f t="shared" si="826"/>
        <v>1</v>
      </c>
      <c r="AE2000" s="109" t="str">
        <f t="shared" si="827"/>
        <v>0-0</v>
      </c>
      <c r="AF2000" s="109" t="str">
        <f t="shared" si="828"/>
        <v>Y</v>
      </c>
      <c r="AG2000" s="109" t="str">
        <f t="shared" si="829"/>
        <v>B</v>
      </c>
      <c r="AM2000" s="109">
        <f t="shared" si="830"/>
        <v>0</v>
      </c>
      <c r="AN2000" s="109">
        <f t="shared" si="831"/>
        <v>0</v>
      </c>
      <c r="AO2000" s="109" t="str">
        <f t="shared" si="832"/>
        <v/>
      </c>
      <c r="AQ2000" s="109" t="str">
        <f t="shared" si="833"/>
        <v/>
      </c>
      <c r="BA2000" s="229">
        <f>MOD(SUM(E1985:E2001),12)</f>
        <v>0</v>
      </c>
    </row>
    <row r="2001" spans="1:53" ht="15.75" thickBot="1" x14ac:dyDescent="0.3">
      <c r="A2001" s="88"/>
      <c r="B2001" s="66" t="s">
        <v>294</v>
      </c>
      <c r="C2001" s="67"/>
      <c r="D2001" s="102"/>
      <c r="E2001" s="32"/>
      <c r="F2001" s="32"/>
      <c r="G2001" s="68" t="s">
        <v>277</v>
      </c>
      <c r="H2001" s="69">
        <f t="shared" si="834"/>
        <v>0</v>
      </c>
      <c r="I2001" s="70">
        <f t="shared" si="835"/>
        <v>0</v>
      </c>
      <c r="J2001" s="73" t="str">
        <f t="shared" si="836"/>
        <v>--</v>
      </c>
      <c r="K2001" s="32"/>
      <c r="L2001" s="233"/>
      <c r="M2001" s="277"/>
      <c r="N2001" s="277"/>
      <c r="O2001" s="277"/>
      <c r="P2001" s="277"/>
      <c r="Q2001" s="277"/>
      <c r="R2001" s="277"/>
      <c r="S2001" s="277"/>
      <c r="T2001" s="277"/>
      <c r="U2001" s="278"/>
      <c r="V2001" s="103"/>
      <c r="W2001" s="84">
        <f t="shared" si="841"/>
        <v>1</v>
      </c>
      <c r="X2001" s="84"/>
      <c r="Y2001" s="78">
        <f>SUM(E1985:E2001)</f>
        <v>0</v>
      </c>
      <c r="Z2001" s="72" t="str">
        <f t="shared" si="839"/>
        <v/>
      </c>
      <c r="AA2001" s="72" t="str">
        <f t="shared" si="840"/>
        <v/>
      </c>
      <c r="AB2001" s="72"/>
      <c r="AC2001" s="72">
        <f t="shared" si="825"/>
        <v>1</v>
      </c>
      <c r="AD2001" s="72">
        <f t="shared" si="826"/>
        <v>1</v>
      </c>
      <c r="AE2001" s="109" t="str">
        <f t="shared" si="827"/>
        <v>0-0</v>
      </c>
      <c r="AF2001" s="109" t="str">
        <f t="shared" si="828"/>
        <v>Y</v>
      </c>
      <c r="AG2001" s="109" t="str">
        <f t="shared" si="829"/>
        <v>B</v>
      </c>
      <c r="AM2001" s="109">
        <f t="shared" si="830"/>
        <v>0</v>
      </c>
      <c r="AN2001" s="109">
        <f t="shared" si="831"/>
        <v>0</v>
      </c>
      <c r="AO2001" s="109" t="str">
        <f t="shared" si="832"/>
        <v/>
      </c>
      <c r="AQ2001" s="109" t="str">
        <f t="shared" si="833"/>
        <v/>
      </c>
      <c r="BA2001" s="229">
        <f>MOD(SUM(E1985:E2002),12)</f>
        <v>0</v>
      </c>
    </row>
    <row r="2002" spans="1:53" ht="15.75" thickBot="1" x14ac:dyDescent="0.3">
      <c r="A2002" s="88"/>
      <c r="B2002" s="66" t="s">
        <v>295</v>
      </c>
      <c r="C2002" s="67"/>
      <c r="D2002" s="102"/>
      <c r="E2002" s="32"/>
      <c r="F2002" s="32"/>
      <c r="G2002" s="68" t="s">
        <v>277</v>
      </c>
      <c r="H2002" s="69">
        <f t="shared" si="834"/>
        <v>0</v>
      </c>
      <c r="I2002" s="70">
        <f t="shared" si="835"/>
        <v>0</v>
      </c>
      <c r="J2002" s="73" t="str">
        <f t="shared" si="836"/>
        <v>--</v>
      </c>
      <c r="K2002" s="32"/>
      <c r="L2002" s="233"/>
      <c r="M2002" s="277"/>
      <c r="N2002" s="277"/>
      <c r="O2002" s="277"/>
      <c r="P2002" s="277"/>
      <c r="Q2002" s="277"/>
      <c r="R2002" s="277"/>
      <c r="S2002" s="277"/>
      <c r="T2002" s="277"/>
      <c r="U2002" s="278"/>
      <c r="V2002" s="103"/>
      <c r="W2002" s="84">
        <f t="shared" si="841"/>
        <v>1</v>
      </c>
      <c r="X2002" s="84"/>
      <c r="Y2002" s="78">
        <f>SUM(E1985:E2002)</f>
        <v>0</v>
      </c>
      <c r="Z2002" s="72" t="str">
        <f t="shared" si="839"/>
        <v/>
      </c>
      <c r="AA2002" s="72" t="str">
        <f t="shared" si="840"/>
        <v/>
      </c>
      <c r="AB2002" s="72"/>
      <c r="AC2002" s="72">
        <f t="shared" si="825"/>
        <v>1</v>
      </c>
      <c r="AD2002" s="72">
        <f t="shared" si="826"/>
        <v>1</v>
      </c>
      <c r="AE2002" s="109" t="str">
        <f t="shared" si="827"/>
        <v>0-0</v>
      </c>
      <c r="AF2002" s="109" t="str">
        <f t="shared" si="828"/>
        <v>Y</v>
      </c>
      <c r="AG2002" s="109" t="str">
        <f t="shared" si="829"/>
        <v>B</v>
      </c>
      <c r="AM2002" s="109">
        <f t="shared" si="830"/>
        <v>0</v>
      </c>
      <c r="AN2002" s="109">
        <f t="shared" si="831"/>
        <v>0</v>
      </c>
      <c r="AO2002" s="109" t="str">
        <f t="shared" si="832"/>
        <v/>
      </c>
      <c r="AQ2002" s="109" t="str">
        <f t="shared" si="833"/>
        <v/>
      </c>
      <c r="BA2002" s="229">
        <f>MOD(SUM(E1985:E2003),12)</f>
        <v>0</v>
      </c>
    </row>
    <row r="2003" spans="1:53" ht="15.75" thickBot="1" x14ac:dyDescent="0.3">
      <c r="A2003" s="88"/>
      <c r="B2003" s="66" t="s">
        <v>296</v>
      </c>
      <c r="C2003" s="67"/>
      <c r="D2003" s="102"/>
      <c r="E2003" s="32"/>
      <c r="F2003" s="32"/>
      <c r="G2003" s="68" t="s">
        <v>277</v>
      </c>
      <c r="H2003" s="69">
        <f t="shared" si="834"/>
        <v>0</v>
      </c>
      <c r="I2003" s="70">
        <f t="shared" si="835"/>
        <v>0</v>
      </c>
      <c r="J2003" s="73" t="str">
        <f t="shared" si="836"/>
        <v>--</v>
      </c>
      <c r="K2003" s="32"/>
      <c r="L2003" s="233"/>
      <c r="M2003" s="277"/>
      <c r="N2003" s="277"/>
      <c r="O2003" s="277"/>
      <c r="P2003" s="277"/>
      <c r="Q2003" s="277"/>
      <c r="R2003" s="277"/>
      <c r="S2003" s="277"/>
      <c r="T2003" s="277"/>
      <c r="U2003" s="278"/>
      <c r="V2003" s="103"/>
      <c r="W2003" s="84">
        <f t="shared" si="841"/>
        <v>1</v>
      </c>
      <c r="X2003" s="84"/>
      <c r="Y2003" s="78">
        <f>SUM(E1985:E2003)</f>
        <v>0</v>
      </c>
      <c r="Z2003" s="72" t="str">
        <f t="shared" si="839"/>
        <v/>
      </c>
      <c r="AA2003" s="72" t="str">
        <f t="shared" si="840"/>
        <v/>
      </c>
      <c r="AB2003" s="72"/>
      <c r="AC2003" s="72">
        <f t="shared" si="825"/>
        <v>1</v>
      </c>
      <c r="AD2003" s="72">
        <f t="shared" si="826"/>
        <v>1</v>
      </c>
      <c r="AE2003" s="109" t="str">
        <f t="shared" si="827"/>
        <v>0-0</v>
      </c>
      <c r="AF2003" s="109" t="str">
        <f t="shared" si="828"/>
        <v>Y</v>
      </c>
      <c r="AG2003" s="109" t="str">
        <f t="shared" si="829"/>
        <v>B</v>
      </c>
      <c r="AM2003" s="109">
        <f t="shared" si="830"/>
        <v>0</v>
      </c>
      <c r="AN2003" s="109">
        <f t="shared" si="831"/>
        <v>0</v>
      </c>
      <c r="AO2003" s="109" t="str">
        <f t="shared" si="832"/>
        <v/>
      </c>
      <c r="AQ2003" s="109" t="str">
        <f t="shared" si="833"/>
        <v/>
      </c>
      <c r="BA2003" s="229">
        <f>MOD(SUM(E1985:E2004),12)</f>
        <v>0</v>
      </c>
    </row>
    <row r="2004" spans="1:53" ht="15.75" thickBot="1" x14ac:dyDescent="0.3">
      <c r="A2004" s="88"/>
      <c r="B2004" s="66" t="s">
        <v>297</v>
      </c>
      <c r="C2004" s="67"/>
      <c r="D2004" s="102"/>
      <c r="E2004" s="32"/>
      <c r="F2004" s="32"/>
      <c r="G2004" s="68" t="s">
        <v>277</v>
      </c>
      <c r="H2004" s="69">
        <f t="shared" si="834"/>
        <v>0</v>
      </c>
      <c r="I2004" s="70">
        <f t="shared" si="835"/>
        <v>0</v>
      </c>
      <c r="J2004" s="73" t="str">
        <f t="shared" si="836"/>
        <v>--</v>
      </c>
      <c r="K2004" s="32"/>
      <c r="L2004" s="233"/>
      <c r="M2004" s="277"/>
      <c r="N2004" s="277"/>
      <c r="O2004" s="277"/>
      <c r="P2004" s="277"/>
      <c r="Q2004" s="277"/>
      <c r="R2004" s="277"/>
      <c r="S2004" s="277"/>
      <c r="T2004" s="277"/>
      <c r="U2004" s="278"/>
      <c r="V2004" s="103"/>
      <c r="W2004" s="84">
        <f t="shared" si="841"/>
        <v>1</v>
      </c>
      <c r="X2004" s="84"/>
      <c r="Y2004" s="78">
        <f>SUM(E1985:E2004)</f>
        <v>0</v>
      </c>
      <c r="Z2004" s="72" t="str">
        <f t="shared" si="839"/>
        <v/>
      </c>
      <c r="AA2004" s="72" t="str">
        <f t="shared" si="840"/>
        <v/>
      </c>
      <c r="AB2004" s="72"/>
      <c r="AC2004" s="72">
        <f t="shared" si="825"/>
        <v>1</v>
      </c>
      <c r="AD2004" s="72">
        <f t="shared" si="826"/>
        <v>1</v>
      </c>
      <c r="AE2004" s="109" t="str">
        <f t="shared" si="827"/>
        <v>0-0</v>
      </c>
      <c r="AF2004" s="109" t="str">
        <f t="shared" si="828"/>
        <v>Y</v>
      </c>
      <c r="AG2004" s="109" t="str">
        <f t="shared" si="829"/>
        <v>B</v>
      </c>
      <c r="AM2004" s="109">
        <f t="shared" si="830"/>
        <v>0</v>
      </c>
      <c r="AN2004" s="109">
        <f t="shared" si="831"/>
        <v>0</v>
      </c>
      <c r="AO2004" s="109" t="str">
        <f t="shared" si="832"/>
        <v/>
      </c>
      <c r="AQ2004" s="109" t="str">
        <f t="shared" si="833"/>
        <v/>
      </c>
      <c r="BA2004" s="229">
        <f>MOD(SUM(E1985:E2005),12)</f>
        <v>0</v>
      </c>
    </row>
    <row r="2005" spans="1:53" ht="15.75" thickBot="1" x14ac:dyDescent="0.3">
      <c r="A2005" s="88"/>
      <c r="B2005" s="66" t="s">
        <v>298</v>
      </c>
      <c r="C2005" s="67"/>
      <c r="D2005" s="102"/>
      <c r="E2005" s="32"/>
      <c r="F2005" s="32"/>
      <c r="G2005" s="68" t="s">
        <v>277</v>
      </c>
      <c r="H2005" s="69">
        <f t="shared" si="834"/>
        <v>0</v>
      </c>
      <c r="I2005" s="70">
        <f t="shared" si="835"/>
        <v>0</v>
      </c>
      <c r="J2005" s="73" t="str">
        <f t="shared" si="836"/>
        <v>--</v>
      </c>
      <c r="K2005" s="32"/>
      <c r="L2005" s="233"/>
      <c r="M2005" s="277"/>
      <c r="N2005" s="277"/>
      <c r="O2005" s="277"/>
      <c r="P2005" s="277"/>
      <c r="Q2005" s="277"/>
      <c r="R2005" s="277"/>
      <c r="S2005" s="277"/>
      <c r="T2005" s="277"/>
      <c r="U2005" s="278"/>
      <c r="V2005" s="103"/>
      <c r="W2005" s="84">
        <f t="shared" si="841"/>
        <v>1</v>
      </c>
      <c r="X2005" s="84"/>
      <c r="Y2005" s="78">
        <f>SUM(E1985:E2005)</f>
        <v>0</v>
      </c>
      <c r="Z2005" s="72" t="str">
        <f t="shared" si="839"/>
        <v/>
      </c>
      <c r="AA2005" s="72" t="str">
        <f t="shared" si="840"/>
        <v/>
      </c>
      <c r="AB2005" s="72"/>
      <c r="AC2005" s="72">
        <f t="shared" si="825"/>
        <v>1</v>
      </c>
      <c r="AD2005" s="72">
        <f t="shared" si="826"/>
        <v>1</v>
      </c>
      <c r="AE2005" s="109" t="str">
        <f t="shared" si="827"/>
        <v>0-0</v>
      </c>
      <c r="AF2005" s="109" t="str">
        <f t="shared" si="828"/>
        <v>Y</v>
      </c>
      <c r="AG2005" s="109" t="str">
        <f t="shared" si="829"/>
        <v>B</v>
      </c>
      <c r="AM2005" s="109">
        <f t="shared" si="830"/>
        <v>0</v>
      </c>
      <c r="AN2005" s="109">
        <f t="shared" si="831"/>
        <v>0</v>
      </c>
      <c r="AO2005" s="109" t="str">
        <f t="shared" si="832"/>
        <v/>
      </c>
      <c r="AQ2005" s="109" t="str">
        <f t="shared" si="833"/>
        <v/>
      </c>
      <c r="BA2005" s="229">
        <f>MOD(SUM(E1985:E2006),12)</f>
        <v>0</v>
      </c>
    </row>
    <row r="2006" spans="1:53" ht="15.75" thickBot="1" x14ac:dyDescent="0.3">
      <c r="A2006" s="88"/>
      <c r="B2006" s="66" t="s">
        <v>299</v>
      </c>
      <c r="C2006" s="67"/>
      <c r="D2006" s="102"/>
      <c r="E2006" s="32"/>
      <c r="F2006" s="32"/>
      <c r="G2006" s="68" t="s">
        <v>277</v>
      </c>
      <c r="H2006" s="69">
        <f t="shared" si="834"/>
        <v>0</v>
      </c>
      <c r="I2006" s="70">
        <f t="shared" si="835"/>
        <v>0</v>
      </c>
      <c r="J2006" s="73" t="str">
        <f t="shared" si="836"/>
        <v>--</v>
      </c>
      <c r="K2006" s="32"/>
      <c r="L2006" s="233"/>
      <c r="M2006" s="277"/>
      <c r="N2006" s="277"/>
      <c r="O2006" s="277"/>
      <c r="P2006" s="277"/>
      <c r="Q2006" s="277"/>
      <c r="R2006" s="277"/>
      <c r="S2006" s="277"/>
      <c r="T2006" s="277"/>
      <c r="U2006" s="278"/>
      <c r="V2006" s="103"/>
      <c r="W2006" s="84">
        <f t="shared" si="841"/>
        <v>1</v>
      </c>
      <c r="X2006" s="84"/>
      <c r="Y2006" s="78">
        <f>SUM(E1985:E2006)</f>
        <v>0</v>
      </c>
      <c r="Z2006" s="72" t="str">
        <f t="shared" si="839"/>
        <v/>
      </c>
      <c r="AA2006" s="72" t="str">
        <f t="shared" si="840"/>
        <v/>
      </c>
      <c r="AB2006" s="72"/>
      <c r="AC2006" s="72">
        <f t="shared" si="825"/>
        <v>1</v>
      </c>
      <c r="AD2006" s="72">
        <f t="shared" si="826"/>
        <v>1</v>
      </c>
      <c r="AE2006" s="109" t="str">
        <f t="shared" si="827"/>
        <v>0-0</v>
      </c>
      <c r="AF2006" s="109" t="str">
        <f t="shared" si="828"/>
        <v>Y</v>
      </c>
      <c r="AG2006" s="109" t="str">
        <f t="shared" si="829"/>
        <v>B</v>
      </c>
      <c r="AM2006" s="109">
        <f t="shared" si="830"/>
        <v>0</v>
      </c>
      <c r="AN2006" s="109">
        <f t="shared" si="831"/>
        <v>0</v>
      </c>
      <c r="AO2006" s="109" t="str">
        <f t="shared" si="832"/>
        <v/>
      </c>
      <c r="AQ2006" s="109" t="str">
        <f t="shared" si="833"/>
        <v/>
      </c>
      <c r="BA2006" s="229">
        <f>MOD(SUM(E1985:E2007),12)</f>
        <v>0</v>
      </c>
    </row>
    <row r="2007" spans="1:53" ht="15.75" thickBot="1" x14ac:dyDescent="0.3">
      <c r="A2007" s="88"/>
      <c r="B2007" s="66" t="s">
        <v>300</v>
      </c>
      <c r="C2007" s="67"/>
      <c r="D2007" s="102"/>
      <c r="E2007" s="32"/>
      <c r="F2007" s="32"/>
      <c r="G2007" s="68" t="s">
        <v>277</v>
      </c>
      <c r="H2007" s="69">
        <f t="shared" si="834"/>
        <v>0</v>
      </c>
      <c r="I2007" s="70">
        <f t="shared" si="835"/>
        <v>0</v>
      </c>
      <c r="J2007" s="73" t="str">
        <f t="shared" si="836"/>
        <v>--</v>
      </c>
      <c r="K2007" s="32"/>
      <c r="L2007" s="233"/>
      <c r="M2007" s="277"/>
      <c r="N2007" s="277"/>
      <c r="O2007" s="277"/>
      <c r="P2007" s="277"/>
      <c r="Q2007" s="277"/>
      <c r="R2007" s="277"/>
      <c r="S2007" s="277"/>
      <c r="T2007" s="277"/>
      <c r="U2007" s="278"/>
      <c r="V2007" s="103"/>
      <c r="W2007" s="84">
        <f t="shared" si="841"/>
        <v>1</v>
      </c>
      <c r="X2007" s="84"/>
      <c r="Y2007" s="78">
        <f>SUM(E1985:E2007)</f>
        <v>0</v>
      </c>
      <c r="Z2007" s="72" t="str">
        <f t="shared" si="839"/>
        <v/>
      </c>
      <c r="AA2007" s="72" t="str">
        <f t="shared" si="840"/>
        <v/>
      </c>
      <c r="AB2007" s="72"/>
      <c r="AC2007" s="72">
        <f t="shared" si="825"/>
        <v>1</v>
      </c>
      <c r="AD2007" s="72">
        <f t="shared" si="826"/>
        <v>1</v>
      </c>
      <c r="AE2007" s="109" t="str">
        <f t="shared" si="827"/>
        <v>0-0</v>
      </c>
      <c r="AF2007" s="109" t="str">
        <f t="shared" si="828"/>
        <v>Y</v>
      </c>
      <c r="AG2007" s="109" t="str">
        <f t="shared" si="829"/>
        <v>B</v>
      </c>
      <c r="AM2007" s="109">
        <f t="shared" si="830"/>
        <v>0</v>
      </c>
      <c r="AN2007" s="109">
        <f t="shared" si="831"/>
        <v>0</v>
      </c>
      <c r="AO2007" s="109" t="str">
        <f t="shared" si="832"/>
        <v/>
      </c>
      <c r="AQ2007" s="109" t="str">
        <f t="shared" si="833"/>
        <v/>
      </c>
      <c r="BA2007" s="229">
        <f>MOD(SUM(E1985:E2008),12)</f>
        <v>0</v>
      </c>
    </row>
    <row r="2008" spans="1:53" ht="15.75" thickBot="1" x14ac:dyDescent="0.3">
      <c r="A2008" s="88"/>
      <c r="B2008" s="66" t="s">
        <v>301</v>
      </c>
      <c r="C2008" s="67"/>
      <c r="D2008" s="102"/>
      <c r="E2008" s="32"/>
      <c r="F2008" s="32"/>
      <c r="G2008" s="68" t="s">
        <v>277</v>
      </c>
      <c r="H2008" s="69">
        <f t="shared" si="834"/>
        <v>0</v>
      </c>
      <c r="I2008" s="70">
        <f t="shared" si="835"/>
        <v>0</v>
      </c>
      <c r="J2008" s="73" t="str">
        <f t="shared" si="836"/>
        <v>--</v>
      </c>
      <c r="K2008" s="32"/>
      <c r="L2008" s="233"/>
      <c r="M2008" s="277"/>
      <c r="N2008" s="277"/>
      <c r="O2008" s="277"/>
      <c r="P2008" s="277"/>
      <c r="Q2008" s="277"/>
      <c r="R2008" s="277"/>
      <c r="S2008" s="277"/>
      <c r="T2008" s="277"/>
      <c r="U2008" s="278"/>
      <c r="V2008" s="103"/>
      <c r="W2008" s="84">
        <f t="shared" si="841"/>
        <v>1</v>
      </c>
      <c r="X2008" s="84"/>
      <c r="Y2008" s="78">
        <f>SUM(E1985:E2008)</f>
        <v>0</v>
      </c>
      <c r="Z2008" s="72" t="str">
        <f t="shared" si="839"/>
        <v/>
      </c>
      <c r="AA2008" s="72" t="str">
        <f t="shared" si="840"/>
        <v/>
      </c>
      <c r="AB2008" s="72"/>
      <c r="AC2008" s="72">
        <f t="shared" si="825"/>
        <v>1</v>
      </c>
      <c r="AD2008" s="72">
        <f t="shared" si="826"/>
        <v>1</v>
      </c>
      <c r="AE2008" s="109" t="str">
        <f t="shared" si="827"/>
        <v>0-0</v>
      </c>
      <c r="AF2008" s="109" t="str">
        <f t="shared" si="828"/>
        <v>Y</v>
      </c>
      <c r="AG2008" s="109" t="str">
        <f t="shared" si="829"/>
        <v>B</v>
      </c>
      <c r="AM2008" s="109">
        <f t="shared" si="830"/>
        <v>0</v>
      </c>
      <c r="AN2008" s="109">
        <f t="shared" si="831"/>
        <v>0</v>
      </c>
      <c r="AO2008" s="109" t="str">
        <f t="shared" si="832"/>
        <v/>
      </c>
      <c r="AQ2008" s="109" t="str">
        <f t="shared" si="833"/>
        <v/>
      </c>
      <c r="BA2008" s="229">
        <f>MOD(SUM(E1985:E2009),12)</f>
        <v>0</v>
      </c>
    </row>
    <row r="2009" spans="1:53" ht="15.75" thickBot="1" x14ac:dyDescent="0.3">
      <c r="A2009" s="88"/>
      <c r="B2009" s="66" t="s">
        <v>302</v>
      </c>
      <c r="C2009" s="67"/>
      <c r="D2009" s="102"/>
      <c r="E2009" s="32"/>
      <c r="F2009" s="32"/>
      <c r="G2009" s="68" t="s">
        <v>277</v>
      </c>
      <c r="H2009" s="69">
        <f t="shared" si="834"/>
        <v>0</v>
      </c>
      <c r="I2009" s="70">
        <f t="shared" si="835"/>
        <v>0</v>
      </c>
      <c r="J2009" s="73" t="str">
        <f t="shared" si="836"/>
        <v>--</v>
      </c>
      <c r="K2009" s="32"/>
      <c r="L2009" s="234"/>
      <c r="M2009" s="277"/>
      <c r="N2009" s="277"/>
      <c r="O2009" s="277"/>
      <c r="P2009" s="277"/>
      <c r="Q2009" s="277"/>
      <c r="R2009" s="277"/>
      <c r="S2009" s="277"/>
      <c r="T2009" s="277"/>
      <c r="U2009" s="278"/>
      <c r="V2009" s="103"/>
      <c r="W2009" s="72"/>
      <c r="X2009" s="72"/>
      <c r="Y2009" s="78">
        <f>SUM(E1985:E2009)</f>
        <v>0</v>
      </c>
      <c r="Z2009" s="72" t="str">
        <f t="shared" si="839"/>
        <v/>
      </c>
      <c r="AA2009" s="72" t="str">
        <f t="shared" si="840"/>
        <v/>
      </c>
      <c r="AB2009" s="72"/>
      <c r="AC2009" s="72">
        <f t="shared" si="825"/>
        <v>1</v>
      </c>
      <c r="AD2009" s="72">
        <f t="shared" si="826"/>
        <v>1</v>
      </c>
      <c r="AE2009" s="109" t="str">
        <f t="shared" si="827"/>
        <v>0-0</v>
      </c>
      <c r="AF2009" s="109" t="str">
        <f t="shared" si="828"/>
        <v>Y</v>
      </c>
      <c r="AG2009" s="109" t="str">
        <f t="shared" si="829"/>
        <v>B</v>
      </c>
      <c r="AM2009" s="109">
        <f t="shared" si="830"/>
        <v>0</v>
      </c>
      <c r="AN2009" s="109">
        <f t="shared" si="831"/>
        <v>0</v>
      </c>
      <c r="AO2009" s="109" t="str">
        <f t="shared" si="832"/>
        <v/>
      </c>
      <c r="AQ2009" s="109" t="str">
        <f t="shared" si="833"/>
        <v/>
      </c>
      <c r="BA2009" s="228"/>
    </row>
    <row r="2010" spans="1:53" ht="16.5" thickBot="1" x14ac:dyDescent="0.3">
      <c r="A2010" s="88"/>
      <c r="B2010" s="319" t="s">
        <v>401</v>
      </c>
      <c r="C2010" s="320"/>
      <c r="D2010" s="79"/>
      <c r="E2010" s="80"/>
      <c r="F2010" s="80"/>
      <c r="G2010" s="81"/>
      <c r="H2010" s="192"/>
      <c r="I2010" s="192"/>
      <c r="J2010" s="192"/>
      <c r="K2010" s="82"/>
      <c r="L2010" s="319" t="s">
        <v>306</v>
      </c>
      <c r="M2010" s="330"/>
      <c r="N2010" s="330"/>
      <c r="O2010" s="330"/>
      <c r="P2010" s="330"/>
      <c r="Q2010" s="330"/>
      <c r="R2010" s="330"/>
      <c r="S2010" s="330"/>
      <c r="T2010" s="330"/>
      <c r="U2010" s="320"/>
      <c r="V2010" s="104"/>
      <c r="W2010" s="72"/>
      <c r="X2010" s="72"/>
      <c r="Y2010" s="72"/>
      <c r="Z2010" s="72"/>
      <c r="AA2010" s="72" t="str">
        <f t="shared" si="840"/>
        <v/>
      </c>
      <c r="AB2010" s="72"/>
      <c r="AC2010" s="72">
        <f>SUM(AC1985:AC2009)</f>
        <v>25</v>
      </c>
      <c r="AD2010" s="72">
        <f>SUM(AD1985:AD2009)</f>
        <v>25</v>
      </c>
      <c r="AE2010" s="109" t="str">
        <f t="shared" si="827"/>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319" t="s">
        <v>307</v>
      </c>
      <c r="C2011" s="320"/>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40"/>
        <v/>
      </c>
      <c r="AB2011" s="72"/>
      <c r="AC2011" s="72"/>
      <c r="AD2011" s="72"/>
      <c r="AE2011" s="109" t="str">
        <f t="shared" si="827"/>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312" t="s">
        <v>222</v>
      </c>
      <c r="C2015" s="313"/>
      <c r="D2015" s="314" t="s">
        <v>223</v>
      </c>
      <c r="E2015" s="305"/>
      <c r="F2015" s="88"/>
      <c r="G2015" s="315" t="s">
        <v>224</v>
      </c>
      <c r="H2015" s="316"/>
      <c r="I2015" s="28">
        <f>SUM(E2026:E2050)</f>
        <v>0</v>
      </c>
      <c r="J2015" s="317" t="s">
        <v>225</v>
      </c>
      <c r="K2015" s="318"/>
      <c r="L2015" s="305"/>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5" t="s">
        <v>226</v>
      </c>
      <c r="AA2015" s="296"/>
      <c r="AB2015" s="297"/>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4" t="s">
        <v>230</v>
      </c>
      <c r="H2016" s="305"/>
      <c r="I2016" s="33">
        <f>E2017-I2015</f>
        <v>0</v>
      </c>
      <c r="J2016" s="289" t="s">
        <v>231</v>
      </c>
      <c r="K2016" s="290"/>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298" t="s">
        <v>232</v>
      </c>
      <c r="AA2016" s="300" t="s">
        <v>233</v>
      </c>
      <c r="AB2016" s="301"/>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291" t="s">
        <v>237</v>
      </c>
      <c r="H2017" s="292"/>
      <c r="I2017" s="35">
        <f>IF(E2017=0,0,12-(MOD(I2015,12)))</f>
        <v>0</v>
      </c>
      <c r="J2017" s="289" t="s">
        <v>238</v>
      </c>
      <c r="K2017" s="290"/>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299"/>
      <c r="AA2017" s="302"/>
      <c r="AB2017" s="303"/>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321" t="s">
        <v>242</v>
      </c>
      <c r="H2018" s="43" t="s">
        <v>243</v>
      </c>
      <c r="I2018" s="35">
        <f>IF(E2018&lt;&gt;0,1,0)</f>
        <v>0</v>
      </c>
      <c r="J2018" s="291" t="s">
        <v>244</v>
      </c>
      <c r="K2018" s="292"/>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322"/>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321" t="s">
        <v>251</v>
      </c>
      <c r="H2020" s="51" t="s">
        <v>252</v>
      </c>
      <c r="I2020" s="112">
        <f>E2019</f>
        <v>0</v>
      </c>
      <c r="J2020" s="323" t="s">
        <v>253</v>
      </c>
      <c r="K2020" s="324"/>
      <c r="L2020" s="325"/>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322"/>
      <c r="H2021" s="47" t="s">
        <v>257</v>
      </c>
      <c r="I2021" s="35" t="str">
        <f>IF(E2019="","0",IF(AND(E2016="EUC",E2017=432), I2020+(203-E2018),IF(E2019=0,0,(E2019+(E2017-E2018)-1))))</f>
        <v>0</v>
      </c>
      <c r="J2021" s="285" t="str">
        <f>IFERROR(IF(OR(E2016="EUC",E2016="SS"),"---",IF(OR(P2015,S2015),"NO 2F Tethers for RPX!",IF(OR(P2017,S2017),"NO 6F Tethers for RPX!","---"))),"---")</f>
        <v>---</v>
      </c>
      <c r="K2021" s="286"/>
      <c r="L2021" s="287"/>
      <c r="M2021" s="285" t="str">
        <f>IF(E2018&gt;60,"Dead Count &gt;60: Consider Downsize","---")</f>
        <v>---</v>
      </c>
      <c r="N2021" s="286"/>
      <c r="O2021" s="286"/>
      <c r="P2021" s="286"/>
      <c r="Q2021" s="286"/>
      <c r="R2021" s="286"/>
      <c r="S2021" s="286"/>
      <c r="T2021" s="286"/>
      <c r="U2021" s="287"/>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85"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86"/>
      <c r="L2022" s="287"/>
      <c r="M2022" s="285" t="str">
        <f>IF(AND(OR(E2016="SS",E2016="RPX",E2016="EUC",E2016="RPX-T"),(OR(C2026="",C2026="Field SPL"))),"Cannot have FlexNap cables without tethers","---")</f>
        <v>---</v>
      </c>
      <c r="N2022" s="286"/>
      <c r="O2022" s="286"/>
      <c r="P2022" s="286"/>
      <c r="Q2022" s="286"/>
      <c r="R2022" s="286"/>
      <c r="S2022" s="286"/>
      <c r="T2022" s="286"/>
      <c r="U2022" s="287"/>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85" t="str">
        <f>IF(AND(OR(E2016="RPX", E2016="RPX-T", E2016="SS"),E2017=216),"NO 216 For RPX, RPX-T, OR SS CABLE","---")</f>
        <v>---</v>
      </c>
      <c r="K2023" s="286"/>
      <c r="L2023" s="287"/>
      <c r="M2023" s="285" t="str" cm="1">
        <f t="array" ref="M2023">IF(AND(E2016="",OR(C2026:C2050="FST",C2026:C2050="REV T",C2026:C2050="DBL REV",C2026:C2050="TPL REV", C2026:C2050="QD REV")),"Non-FlexNap cables cannot have tethers","---")</f>
        <v>---</v>
      </c>
      <c r="N2023" s="286"/>
      <c r="O2023" s="286"/>
      <c r="P2023" s="286"/>
      <c r="Q2023" s="286"/>
      <c r="R2023" s="286"/>
      <c r="S2023" s="286"/>
      <c r="T2023" s="286"/>
      <c r="U2023" s="287"/>
      <c r="V2023" s="25"/>
      <c r="W2023" s="58"/>
      <c r="X2023" s="58"/>
      <c r="Y2023" s="25"/>
      <c r="Z2023" s="45">
        <v>6</v>
      </c>
      <c r="AA2023" s="65">
        <v>61</v>
      </c>
      <c r="AB2023" s="65">
        <v>72</v>
      </c>
      <c r="AC2023" s="25"/>
      <c r="AD2023" s="25"/>
      <c r="BA2023" s="226"/>
    </row>
    <row r="2024" spans="1:53" ht="15.75" customHeight="1" thickBot="1" x14ac:dyDescent="0.3">
      <c r="A2024" s="88"/>
      <c r="B2024" s="321" t="s">
        <v>260</v>
      </c>
      <c r="C2024" s="293" t="s">
        <v>261</v>
      </c>
      <c r="D2024" s="293" t="s">
        <v>262</v>
      </c>
      <c r="E2024" s="306" t="s">
        <v>263</v>
      </c>
      <c r="F2024" s="293" t="s">
        <v>264</v>
      </c>
      <c r="G2024" s="308" t="s">
        <v>265</v>
      </c>
      <c r="H2024" s="308" t="s">
        <v>266</v>
      </c>
      <c r="I2024" s="308" t="s">
        <v>267</v>
      </c>
      <c r="J2024" s="310" t="s">
        <v>268</v>
      </c>
      <c r="K2024" s="293" t="s">
        <v>269</v>
      </c>
      <c r="L2024" s="279" t="s">
        <v>270</v>
      </c>
      <c r="M2024" s="281" t="s">
        <v>271</v>
      </c>
      <c r="N2024" s="281"/>
      <c r="O2024" s="281"/>
      <c r="P2024" s="281"/>
      <c r="Q2024" s="281"/>
      <c r="R2024" s="281"/>
      <c r="S2024" s="281"/>
      <c r="T2024" s="281"/>
      <c r="U2024" s="282"/>
      <c r="V2024" s="107"/>
      <c r="W2024" s="72"/>
      <c r="X2024" s="72"/>
      <c r="Y2024" s="72"/>
      <c r="Z2024" s="45">
        <v>7</v>
      </c>
      <c r="AA2024" s="65">
        <v>73</v>
      </c>
      <c r="AB2024" s="65">
        <v>84</v>
      </c>
      <c r="AC2024" s="25"/>
      <c r="AD2024" s="25"/>
      <c r="BA2024" s="228"/>
    </row>
    <row r="2025" spans="1:53" ht="15.75" thickBot="1" x14ac:dyDescent="0.3">
      <c r="A2025" s="88"/>
      <c r="B2025" s="322"/>
      <c r="C2025" s="294"/>
      <c r="D2025" s="294"/>
      <c r="E2025" s="307"/>
      <c r="F2025" s="294"/>
      <c r="G2025" s="309"/>
      <c r="H2025" s="309"/>
      <c r="I2025" s="309"/>
      <c r="J2025" s="311"/>
      <c r="K2025" s="294"/>
      <c r="L2025" s="280"/>
      <c r="M2025" s="283"/>
      <c r="N2025" s="283"/>
      <c r="O2025" s="283"/>
      <c r="P2025" s="283"/>
      <c r="Q2025" s="283"/>
      <c r="R2025" s="283"/>
      <c r="S2025" s="283"/>
      <c r="T2025" s="283"/>
      <c r="U2025" s="284"/>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77"/>
      <c r="N2026" s="277"/>
      <c r="O2026" s="277"/>
      <c r="P2026" s="277"/>
      <c r="Q2026" s="277"/>
      <c r="R2026" s="277"/>
      <c r="S2026" s="277"/>
      <c r="T2026" s="277"/>
      <c r="U2026" s="278"/>
      <c r="V2026" s="103"/>
      <c r="W2026" s="72"/>
      <c r="X2026" s="72"/>
      <c r="Y2026" s="72"/>
      <c r="Z2026" s="45">
        <v>9</v>
      </c>
      <c r="AA2026" s="46">
        <v>97</v>
      </c>
      <c r="AB2026" s="46">
        <v>108</v>
      </c>
      <c r="AC2026" s="72">
        <f t="shared" ref="AC2026:AC2050" si="842">IF(B2026&lt;&gt;"FST",1,0)</f>
        <v>1</v>
      </c>
      <c r="AD2026" s="72">
        <f t="shared" ref="AD2026:AD2050" si="843">IF(C2026&lt;&gt;"FST",1,0)</f>
        <v>1</v>
      </c>
      <c r="AE2026" s="109" t="str">
        <f t="shared" ref="AE2026:AE2052" si="844">CONCATENATE(H2026,"-",I2026)</f>
        <v>0-0</v>
      </c>
      <c r="AF2026" s="109" t="str">
        <f t="shared" ref="AF2026:AF2050" si="845">IF(C2026="Field SPL","N","Y")</f>
        <v>Y</v>
      </c>
      <c r="AG2026" s="109" t="str">
        <f t="shared" ref="AG2026:AG2050" si="846">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47">VALUE(IF(C2026="FST","0",IF(C2026="REV T","1",IF(C2026="DBL REV",".5","0"))))</f>
        <v>0</v>
      </c>
      <c r="AN2026" s="109">
        <f t="shared" ref="AN2026:AN2050" si="848">VALUE(IF(C2026="FST","0",IF(C2026="REV T","0",IF(C2026="DBL REV",".5","0"))))</f>
        <v>0</v>
      </c>
      <c r="AO2026" s="109" t="str">
        <f t="shared" ref="AO2026:AO2050" si="849">IF(C2026="TPL REV","Y","")</f>
        <v/>
      </c>
      <c r="AQ2026" s="109" t="str">
        <f t="shared" ref="AQ2026:AQ2050" si="850">IF(C2026="QD REV","Y","")</f>
        <v/>
      </c>
      <c r="BA2026" s="229">
        <f>MOD(E2026,12)</f>
        <v>0</v>
      </c>
    </row>
    <row r="2027" spans="1:53" ht="15.75" thickBot="1" x14ac:dyDescent="0.3">
      <c r="A2027" s="88"/>
      <c r="B2027" s="66" t="s">
        <v>279</v>
      </c>
      <c r="C2027" s="67"/>
      <c r="D2027" s="102"/>
      <c r="E2027" s="32"/>
      <c r="F2027" s="32"/>
      <c r="G2027" s="68" t="s">
        <v>277</v>
      </c>
      <c r="H2027" s="69">
        <f t="shared" ref="H2027:H2050" si="851">IF(E2027=0,0,I2027-(E2027-1))</f>
        <v>0</v>
      </c>
      <c r="I2027" s="70">
        <f t="shared" ref="I2027:I2050" si="852">IF(E2027=0,0,H2026-1)</f>
        <v>0</v>
      </c>
      <c r="J2027" s="73" t="str">
        <f>IF(C2027="","--",IF(AND(C2027&lt;&gt;"FST",C2027&lt;&gt;"TCF",BA2026&lt;&gt;0),BA2026,"--"))</f>
        <v>--</v>
      </c>
      <c r="K2027" s="32"/>
      <c r="L2027" s="233"/>
      <c r="M2027" s="277"/>
      <c r="N2027" s="277"/>
      <c r="O2027" s="277"/>
      <c r="P2027" s="277"/>
      <c r="Q2027" s="277"/>
      <c r="R2027" s="277"/>
      <c r="S2027" s="277"/>
      <c r="T2027" s="277"/>
      <c r="U2027" s="278"/>
      <c r="V2027" s="103"/>
      <c r="W2027" s="72"/>
      <c r="X2027" s="72"/>
      <c r="Y2027" s="72"/>
      <c r="Z2027" s="45">
        <v>10</v>
      </c>
      <c r="AA2027" s="46">
        <v>109</v>
      </c>
      <c r="AB2027" s="46">
        <v>120</v>
      </c>
      <c r="AC2027" s="72">
        <f t="shared" si="842"/>
        <v>1</v>
      </c>
      <c r="AD2027" s="72">
        <f t="shared" si="843"/>
        <v>1</v>
      </c>
      <c r="AE2027" s="109" t="str">
        <f t="shared" si="844"/>
        <v>0-0</v>
      </c>
      <c r="AF2027" s="109" t="str">
        <f t="shared" si="845"/>
        <v>Y</v>
      </c>
      <c r="AG2027" s="109" t="str">
        <f t="shared" si="846"/>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47"/>
        <v>0</v>
      </c>
      <c r="AN2027" s="109">
        <f t="shared" si="848"/>
        <v>0</v>
      </c>
      <c r="AO2027" s="109" t="str">
        <f t="shared" si="849"/>
        <v/>
      </c>
      <c r="AQ2027" s="109" t="str">
        <f t="shared" si="850"/>
        <v/>
      </c>
      <c r="BA2027" s="229">
        <f>MOD(SUM(E2026:E2027),12)</f>
        <v>0</v>
      </c>
    </row>
    <row r="2028" spans="1:53" ht="15.75" thickBot="1" x14ac:dyDescent="0.3">
      <c r="A2028" s="88"/>
      <c r="B2028" s="74" t="s">
        <v>280</v>
      </c>
      <c r="C2028" s="67"/>
      <c r="D2028" s="102"/>
      <c r="E2028" s="32"/>
      <c r="F2028" s="32"/>
      <c r="G2028" s="75" t="s">
        <v>277</v>
      </c>
      <c r="H2028" s="69">
        <f t="shared" si="851"/>
        <v>0</v>
      </c>
      <c r="I2028" s="70">
        <f t="shared" si="852"/>
        <v>0</v>
      </c>
      <c r="J2028" s="73" t="str">
        <f t="shared" ref="J2028:J2050" si="853">IF(C2028="","--",IF(AND(C2028&lt;&gt;"FST",C2028&lt;&gt;"TCF",BA2027&lt;&gt;0),BA2027,"--"))</f>
        <v>--</v>
      </c>
      <c r="K2028" s="32"/>
      <c r="L2028" s="233"/>
      <c r="M2028" s="277"/>
      <c r="N2028" s="277"/>
      <c r="O2028" s="277"/>
      <c r="P2028" s="277"/>
      <c r="Q2028" s="277"/>
      <c r="R2028" s="277"/>
      <c r="S2028" s="277"/>
      <c r="T2028" s="277"/>
      <c r="U2028" s="278"/>
      <c r="V2028" s="103"/>
      <c r="W2028" s="72"/>
      <c r="X2028" s="72"/>
      <c r="Y2028" s="72"/>
      <c r="Z2028" s="45">
        <v>11</v>
      </c>
      <c r="AA2028" s="46">
        <v>121</v>
      </c>
      <c r="AB2028" s="46">
        <v>132</v>
      </c>
      <c r="AC2028" s="72">
        <f t="shared" si="842"/>
        <v>1</v>
      </c>
      <c r="AD2028" s="72">
        <f t="shared" si="843"/>
        <v>1</v>
      </c>
      <c r="AE2028" s="109" t="str">
        <f t="shared" si="844"/>
        <v>0-0</v>
      </c>
      <c r="AF2028" s="109" t="str">
        <f t="shared" si="845"/>
        <v>Y</v>
      </c>
      <c r="AG2028" s="109" t="str">
        <f t="shared" si="846"/>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47"/>
        <v>0</v>
      </c>
      <c r="AN2028" s="109">
        <f t="shared" si="848"/>
        <v>0</v>
      </c>
      <c r="AO2028" s="109" t="str">
        <f t="shared" si="849"/>
        <v/>
      </c>
      <c r="AQ2028" s="109" t="str">
        <f t="shared" si="850"/>
        <v/>
      </c>
      <c r="BA2028" s="229">
        <f>MOD(SUM(E2026:E2029),12)</f>
        <v>0</v>
      </c>
    </row>
    <row r="2029" spans="1:53" ht="15.75" thickBot="1" x14ac:dyDescent="0.3">
      <c r="A2029" s="88"/>
      <c r="B2029" s="66" t="s">
        <v>281</v>
      </c>
      <c r="C2029" s="67"/>
      <c r="D2029" s="102"/>
      <c r="E2029" s="32"/>
      <c r="F2029" s="32"/>
      <c r="G2029" s="68" t="s">
        <v>277</v>
      </c>
      <c r="H2029" s="69">
        <f t="shared" si="851"/>
        <v>0</v>
      </c>
      <c r="I2029" s="70">
        <f t="shared" si="852"/>
        <v>0</v>
      </c>
      <c r="J2029" s="73" t="str">
        <f t="shared" si="853"/>
        <v>--</v>
      </c>
      <c r="K2029" s="32"/>
      <c r="L2029" s="233"/>
      <c r="M2029" s="277"/>
      <c r="N2029" s="277"/>
      <c r="O2029" s="277"/>
      <c r="P2029" s="277"/>
      <c r="Q2029" s="277"/>
      <c r="R2029" s="277"/>
      <c r="S2029" s="277"/>
      <c r="T2029" s="277"/>
      <c r="U2029" s="278"/>
      <c r="V2029" s="103"/>
      <c r="W2029" s="72"/>
      <c r="X2029" s="72"/>
      <c r="Y2029" s="72"/>
      <c r="Z2029" s="45">
        <v>12</v>
      </c>
      <c r="AA2029" s="76">
        <v>133</v>
      </c>
      <c r="AB2029" s="76">
        <v>144</v>
      </c>
      <c r="AC2029" s="72">
        <f t="shared" si="842"/>
        <v>1</v>
      </c>
      <c r="AD2029" s="72">
        <f t="shared" si="843"/>
        <v>1</v>
      </c>
      <c r="AE2029" s="109" t="str">
        <f t="shared" si="844"/>
        <v>0-0</v>
      </c>
      <c r="AF2029" s="109" t="str">
        <f t="shared" si="845"/>
        <v>Y</v>
      </c>
      <c r="AG2029" s="109" t="str">
        <f t="shared" si="846"/>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47"/>
        <v>0</v>
      </c>
      <c r="AN2029" s="109">
        <f t="shared" si="848"/>
        <v>0</v>
      </c>
      <c r="AO2029" s="109" t="str">
        <f t="shared" si="849"/>
        <v/>
      </c>
      <c r="AQ2029" s="109" t="str">
        <f t="shared" si="850"/>
        <v/>
      </c>
      <c r="BA2029" s="229">
        <f>MOD(SUM(E2026:E2030),12)</f>
        <v>0</v>
      </c>
    </row>
    <row r="2030" spans="1:53" ht="15.75" thickBot="1" x14ac:dyDescent="0.3">
      <c r="A2030" s="88"/>
      <c r="B2030" s="66" t="s">
        <v>282</v>
      </c>
      <c r="C2030" s="67"/>
      <c r="D2030" s="102"/>
      <c r="E2030" s="32"/>
      <c r="F2030" s="32"/>
      <c r="G2030" s="68" t="s">
        <v>277</v>
      </c>
      <c r="H2030" s="69">
        <f t="shared" si="851"/>
        <v>0</v>
      </c>
      <c r="I2030" s="70">
        <f t="shared" si="852"/>
        <v>0</v>
      </c>
      <c r="J2030" s="73" t="str">
        <f t="shared" si="853"/>
        <v>--</v>
      </c>
      <c r="K2030" s="32"/>
      <c r="L2030" s="233"/>
      <c r="M2030" s="277"/>
      <c r="N2030" s="277"/>
      <c r="O2030" s="277"/>
      <c r="P2030" s="277"/>
      <c r="Q2030" s="277"/>
      <c r="R2030" s="277"/>
      <c r="S2030" s="277"/>
      <c r="T2030" s="277"/>
      <c r="U2030" s="278"/>
      <c r="V2030" s="103"/>
      <c r="W2030" s="72"/>
      <c r="X2030" s="72"/>
      <c r="Y2030" s="72"/>
      <c r="Z2030" s="45">
        <v>13</v>
      </c>
      <c r="AA2030" s="77">
        <f t="shared" ref="AA2030:AA2035" si="854">AB2029+1</f>
        <v>145</v>
      </c>
      <c r="AB2030" s="77">
        <f t="shared" ref="AB2030:AB2035" si="855">AB2029+12</f>
        <v>156</v>
      </c>
      <c r="AC2030" s="72">
        <f t="shared" si="842"/>
        <v>1</v>
      </c>
      <c r="AD2030" s="72">
        <f t="shared" si="843"/>
        <v>1</v>
      </c>
      <c r="AE2030" s="109" t="str">
        <f t="shared" si="844"/>
        <v>0-0</v>
      </c>
      <c r="AF2030" s="109" t="str">
        <f t="shared" si="845"/>
        <v>Y</v>
      </c>
      <c r="AG2030" s="109" t="str">
        <f t="shared" si="846"/>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47"/>
        <v>0</v>
      </c>
      <c r="AN2030" s="109">
        <f t="shared" si="848"/>
        <v>0</v>
      </c>
      <c r="AO2030" s="109" t="str">
        <f t="shared" si="849"/>
        <v/>
      </c>
      <c r="AQ2030" s="109" t="str">
        <f t="shared" si="850"/>
        <v/>
      </c>
      <c r="BA2030" s="229">
        <f>MOD(SUM(E2026:E2031),12)</f>
        <v>0</v>
      </c>
    </row>
    <row r="2031" spans="1:53" ht="15.75" thickBot="1" x14ac:dyDescent="0.3">
      <c r="A2031" s="88"/>
      <c r="B2031" s="66" t="s">
        <v>283</v>
      </c>
      <c r="C2031" s="67"/>
      <c r="D2031" s="102"/>
      <c r="E2031" s="32"/>
      <c r="F2031" s="32"/>
      <c r="G2031" s="68" t="s">
        <v>277</v>
      </c>
      <c r="H2031" s="69">
        <f t="shared" si="851"/>
        <v>0</v>
      </c>
      <c r="I2031" s="70">
        <f t="shared" si="852"/>
        <v>0</v>
      </c>
      <c r="J2031" s="73" t="str">
        <f t="shared" si="853"/>
        <v>--</v>
      </c>
      <c r="K2031" s="32"/>
      <c r="L2031" s="233"/>
      <c r="M2031" s="277"/>
      <c r="N2031" s="277"/>
      <c r="O2031" s="277"/>
      <c r="P2031" s="277"/>
      <c r="Q2031" s="277"/>
      <c r="R2031" s="277"/>
      <c r="S2031" s="277"/>
      <c r="T2031" s="277"/>
      <c r="U2031" s="278"/>
      <c r="V2031" s="103"/>
      <c r="W2031" s="72"/>
      <c r="X2031" s="72"/>
      <c r="Y2031" s="72"/>
      <c r="Z2031" s="45">
        <v>14</v>
      </c>
      <c r="AA2031" s="77">
        <f t="shared" si="854"/>
        <v>157</v>
      </c>
      <c r="AB2031" s="77">
        <f t="shared" si="855"/>
        <v>168</v>
      </c>
      <c r="AC2031" s="72">
        <f t="shared" si="842"/>
        <v>1</v>
      </c>
      <c r="AD2031" s="72">
        <f t="shared" si="843"/>
        <v>1</v>
      </c>
      <c r="AE2031" s="109" t="str">
        <f t="shared" si="844"/>
        <v>0-0</v>
      </c>
      <c r="AF2031" s="109" t="str">
        <f t="shared" si="845"/>
        <v>Y</v>
      </c>
      <c r="AG2031" s="109" t="str">
        <f t="shared" si="846"/>
        <v>B</v>
      </c>
      <c r="AM2031" s="109">
        <f t="shared" si="847"/>
        <v>0</v>
      </c>
      <c r="AN2031" s="109">
        <f t="shared" si="848"/>
        <v>0</v>
      </c>
      <c r="AO2031" s="109" t="str">
        <f t="shared" si="849"/>
        <v/>
      </c>
      <c r="AQ2031" s="109" t="str">
        <f t="shared" si="850"/>
        <v/>
      </c>
      <c r="BA2031" s="229">
        <f>MOD(SUM(E2026:E2032),12)</f>
        <v>0</v>
      </c>
    </row>
    <row r="2032" spans="1:53" ht="15.75" thickBot="1" x14ac:dyDescent="0.3">
      <c r="A2032" s="88"/>
      <c r="B2032" s="66" t="s">
        <v>284</v>
      </c>
      <c r="C2032" s="67"/>
      <c r="D2032" s="102"/>
      <c r="E2032" s="32"/>
      <c r="F2032" s="32"/>
      <c r="G2032" s="68" t="s">
        <v>277</v>
      </c>
      <c r="H2032" s="69">
        <f t="shared" si="851"/>
        <v>0</v>
      </c>
      <c r="I2032" s="70">
        <f t="shared" si="852"/>
        <v>0</v>
      </c>
      <c r="J2032" s="73" t="str">
        <f t="shared" si="853"/>
        <v>--</v>
      </c>
      <c r="K2032" s="32"/>
      <c r="L2032" s="233"/>
      <c r="M2032" s="277"/>
      <c r="N2032" s="277"/>
      <c r="O2032" s="277"/>
      <c r="P2032" s="277"/>
      <c r="Q2032" s="277"/>
      <c r="R2032" s="277"/>
      <c r="S2032" s="277"/>
      <c r="T2032" s="277"/>
      <c r="U2032" s="278"/>
      <c r="V2032" s="103"/>
      <c r="W2032" s="72"/>
      <c r="X2032" s="72"/>
      <c r="Y2032" s="72"/>
      <c r="Z2032" s="45">
        <v>15</v>
      </c>
      <c r="AA2032" s="77">
        <f t="shared" si="854"/>
        <v>169</v>
      </c>
      <c r="AB2032" s="77">
        <f t="shared" si="855"/>
        <v>180</v>
      </c>
      <c r="AC2032" s="72">
        <f t="shared" si="842"/>
        <v>1</v>
      </c>
      <c r="AD2032" s="72">
        <f t="shared" si="843"/>
        <v>1</v>
      </c>
      <c r="AE2032" s="109" t="str">
        <f t="shared" si="844"/>
        <v>0-0</v>
      </c>
      <c r="AF2032" s="109" t="str">
        <f t="shared" si="845"/>
        <v>Y</v>
      </c>
      <c r="AG2032" s="109" t="str">
        <f t="shared" si="846"/>
        <v>B</v>
      </c>
      <c r="AM2032" s="109">
        <f t="shared" si="847"/>
        <v>0</v>
      </c>
      <c r="AN2032" s="109">
        <f t="shared" si="848"/>
        <v>0</v>
      </c>
      <c r="AO2032" s="109" t="str">
        <f t="shared" si="849"/>
        <v/>
      </c>
      <c r="AQ2032" s="109" t="str">
        <f t="shared" si="850"/>
        <v/>
      </c>
      <c r="BA2032" s="229">
        <f>MOD(SUM(E2026:E2033),12)</f>
        <v>0</v>
      </c>
    </row>
    <row r="2033" spans="1:53" ht="15.75" thickBot="1" x14ac:dyDescent="0.3">
      <c r="A2033" s="88"/>
      <c r="B2033" s="66" t="s">
        <v>285</v>
      </c>
      <c r="C2033" s="67"/>
      <c r="D2033" s="102"/>
      <c r="E2033" s="32"/>
      <c r="F2033" s="32"/>
      <c r="G2033" s="68" t="s">
        <v>277</v>
      </c>
      <c r="H2033" s="69">
        <f t="shared" si="851"/>
        <v>0</v>
      </c>
      <c r="I2033" s="70">
        <f t="shared" si="852"/>
        <v>0</v>
      </c>
      <c r="J2033" s="73" t="str">
        <f t="shared" si="853"/>
        <v>--</v>
      </c>
      <c r="K2033" s="32"/>
      <c r="L2033" s="233"/>
      <c r="M2033" s="277"/>
      <c r="N2033" s="277"/>
      <c r="O2033" s="277"/>
      <c r="P2033" s="277"/>
      <c r="Q2033" s="277"/>
      <c r="R2033" s="277"/>
      <c r="S2033" s="277"/>
      <c r="T2033" s="277"/>
      <c r="U2033" s="278"/>
      <c r="V2033" s="103"/>
      <c r="W2033" s="72"/>
      <c r="X2033" s="72"/>
      <c r="Y2033" s="72"/>
      <c r="Z2033" s="45">
        <f>Z2032+1</f>
        <v>16</v>
      </c>
      <c r="AA2033" s="77">
        <f t="shared" si="854"/>
        <v>181</v>
      </c>
      <c r="AB2033" s="77">
        <f t="shared" si="855"/>
        <v>192</v>
      </c>
      <c r="AC2033" s="72">
        <f t="shared" si="842"/>
        <v>1</v>
      </c>
      <c r="AD2033" s="72">
        <f t="shared" si="843"/>
        <v>1</v>
      </c>
      <c r="AE2033" s="109" t="str">
        <f t="shared" si="844"/>
        <v>0-0</v>
      </c>
      <c r="AF2033" s="109" t="str">
        <f t="shared" si="845"/>
        <v>Y</v>
      </c>
      <c r="AG2033" s="109" t="str">
        <f t="shared" si="846"/>
        <v>B</v>
      </c>
      <c r="AM2033" s="109">
        <f t="shared" si="847"/>
        <v>0</v>
      </c>
      <c r="AN2033" s="109">
        <f t="shared" si="848"/>
        <v>0</v>
      </c>
      <c r="AO2033" s="109" t="str">
        <f t="shared" si="849"/>
        <v/>
      </c>
      <c r="AQ2033" s="109" t="str">
        <f t="shared" si="850"/>
        <v/>
      </c>
      <c r="BA2033" s="229">
        <f>MOD(SUM(E2026:E2034),12)</f>
        <v>0</v>
      </c>
    </row>
    <row r="2034" spans="1:53" ht="15.75" thickBot="1" x14ac:dyDescent="0.3">
      <c r="A2034" s="88"/>
      <c r="B2034" s="66" t="s">
        <v>286</v>
      </c>
      <c r="C2034" s="67"/>
      <c r="D2034" s="102"/>
      <c r="E2034" s="32"/>
      <c r="F2034" s="32"/>
      <c r="G2034" s="68" t="s">
        <v>277</v>
      </c>
      <c r="H2034" s="69">
        <f t="shared" si="851"/>
        <v>0</v>
      </c>
      <c r="I2034" s="70">
        <f t="shared" si="852"/>
        <v>0</v>
      </c>
      <c r="J2034" s="73" t="str">
        <f t="shared" si="853"/>
        <v>--</v>
      </c>
      <c r="K2034" s="32"/>
      <c r="L2034" s="233"/>
      <c r="M2034" s="277"/>
      <c r="N2034" s="277"/>
      <c r="O2034" s="277"/>
      <c r="P2034" s="277"/>
      <c r="Q2034" s="277"/>
      <c r="R2034" s="277"/>
      <c r="S2034" s="277"/>
      <c r="T2034" s="277"/>
      <c r="U2034" s="278"/>
      <c r="V2034" s="103"/>
      <c r="W2034" s="72"/>
      <c r="X2034" s="72"/>
      <c r="Y2034" s="72"/>
      <c r="Z2034" s="45">
        <f>Z2033+1</f>
        <v>17</v>
      </c>
      <c r="AA2034" s="77">
        <f t="shared" si="854"/>
        <v>193</v>
      </c>
      <c r="AB2034" s="77">
        <f t="shared" si="855"/>
        <v>204</v>
      </c>
      <c r="AC2034" s="72">
        <f t="shared" si="842"/>
        <v>1</v>
      </c>
      <c r="AD2034" s="72">
        <f t="shared" si="843"/>
        <v>1</v>
      </c>
      <c r="AE2034" s="109" t="str">
        <f t="shared" si="844"/>
        <v>0-0</v>
      </c>
      <c r="AF2034" s="109" t="str">
        <f t="shared" si="845"/>
        <v>Y</v>
      </c>
      <c r="AG2034" s="109" t="str">
        <f t="shared" si="846"/>
        <v>B</v>
      </c>
      <c r="AM2034" s="109">
        <f t="shared" si="847"/>
        <v>0</v>
      </c>
      <c r="AN2034" s="109">
        <f t="shared" si="848"/>
        <v>0</v>
      </c>
      <c r="AO2034" s="109" t="str">
        <f t="shared" si="849"/>
        <v/>
      </c>
      <c r="AQ2034" s="109" t="str">
        <f t="shared" si="850"/>
        <v/>
      </c>
      <c r="BA2034" s="229">
        <f>MOD(SUM(E2026:E2035),12)</f>
        <v>0</v>
      </c>
    </row>
    <row r="2035" spans="1:53" ht="15.75" thickBot="1" x14ac:dyDescent="0.3">
      <c r="A2035" s="88"/>
      <c r="B2035" s="66" t="s">
        <v>287</v>
      </c>
      <c r="C2035" s="67"/>
      <c r="D2035" s="102"/>
      <c r="E2035" s="32"/>
      <c r="F2035" s="32"/>
      <c r="G2035" s="68" t="s">
        <v>277</v>
      </c>
      <c r="H2035" s="69">
        <f t="shared" si="851"/>
        <v>0</v>
      </c>
      <c r="I2035" s="70">
        <f t="shared" si="852"/>
        <v>0</v>
      </c>
      <c r="J2035" s="73" t="str">
        <f t="shared" si="853"/>
        <v>--</v>
      </c>
      <c r="K2035" s="32"/>
      <c r="L2035" s="233"/>
      <c r="M2035" s="277"/>
      <c r="N2035" s="277"/>
      <c r="O2035" s="277"/>
      <c r="P2035" s="277"/>
      <c r="Q2035" s="277"/>
      <c r="R2035" s="277"/>
      <c r="S2035" s="277"/>
      <c r="T2035" s="277"/>
      <c r="U2035" s="278"/>
      <c r="V2035" s="103"/>
      <c r="W2035" s="72"/>
      <c r="X2035" s="72"/>
      <c r="Y2035" s="72"/>
      <c r="Z2035" s="45">
        <f>Z2034+1</f>
        <v>18</v>
      </c>
      <c r="AA2035" s="77">
        <f t="shared" si="854"/>
        <v>205</v>
      </c>
      <c r="AB2035" s="77">
        <f t="shared" si="855"/>
        <v>216</v>
      </c>
      <c r="AC2035" s="72">
        <f t="shared" si="842"/>
        <v>1</v>
      </c>
      <c r="AD2035" s="72">
        <f t="shared" si="843"/>
        <v>1</v>
      </c>
      <c r="AE2035" s="109" t="str">
        <f t="shared" si="844"/>
        <v>0-0</v>
      </c>
      <c r="AF2035" s="109" t="str">
        <f t="shared" si="845"/>
        <v>Y</v>
      </c>
      <c r="AG2035" s="109" t="str">
        <f t="shared" si="846"/>
        <v>B</v>
      </c>
      <c r="AM2035" s="109">
        <f t="shared" si="847"/>
        <v>0</v>
      </c>
      <c r="AN2035" s="109">
        <f t="shared" si="848"/>
        <v>0</v>
      </c>
      <c r="AO2035" s="109" t="str">
        <f t="shared" si="849"/>
        <v/>
      </c>
      <c r="AQ2035" s="109" t="str">
        <f t="shared" si="850"/>
        <v/>
      </c>
      <c r="BA2035" s="229">
        <f>MOD(SUM(E2026:E2036),12)</f>
        <v>0</v>
      </c>
    </row>
    <row r="2036" spans="1:53" ht="15.75" thickBot="1" x14ac:dyDescent="0.3">
      <c r="A2036" s="88"/>
      <c r="B2036" s="66" t="s">
        <v>288</v>
      </c>
      <c r="C2036" s="67"/>
      <c r="D2036" s="102"/>
      <c r="E2036" s="32"/>
      <c r="F2036" s="32"/>
      <c r="G2036" s="68" t="s">
        <v>277</v>
      </c>
      <c r="H2036" s="69">
        <f t="shared" si="851"/>
        <v>0</v>
      </c>
      <c r="I2036" s="70">
        <f t="shared" si="852"/>
        <v>0</v>
      </c>
      <c r="J2036" s="73" t="str">
        <f t="shared" si="853"/>
        <v>--</v>
      </c>
      <c r="K2036" s="32"/>
      <c r="L2036" s="233"/>
      <c r="M2036" s="277"/>
      <c r="N2036" s="277"/>
      <c r="O2036" s="277"/>
      <c r="P2036" s="277"/>
      <c r="Q2036" s="277"/>
      <c r="R2036" s="277"/>
      <c r="S2036" s="277"/>
      <c r="T2036" s="277"/>
      <c r="U2036" s="278"/>
      <c r="V2036" s="103"/>
      <c r="W2036" s="84"/>
      <c r="X2036" s="84"/>
      <c r="Y2036" s="72"/>
      <c r="Z2036" s="72"/>
      <c r="AA2036" s="72"/>
      <c r="AB2036" s="72"/>
      <c r="AC2036" s="72">
        <f t="shared" si="842"/>
        <v>1</v>
      </c>
      <c r="AD2036" s="72">
        <f t="shared" si="843"/>
        <v>1</v>
      </c>
      <c r="AE2036" s="109" t="str">
        <f t="shared" si="844"/>
        <v>0-0</v>
      </c>
      <c r="AF2036" s="109" t="str">
        <f t="shared" si="845"/>
        <v>Y</v>
      </c>
      <c r="AG2036" s="109" t="str">
        <f t="shared" si="846"/>
        <v>B</v>
      </c>
      <c r="AM2036" s="109">
        <f t="shared" si="847"/>
        <v>0</v>
      </c>
      <c r="AN2036" s="109">
        <f t="shared" si="848"/>
        <v>0</v>
      </c>
      <c r="AO2036" s="109" t="str">
        <f t="shared" si="849"/>
        <v/>
      </c>
      <c r="AQ2036" s="109" t="str">
        <f t="shared" si="850"/>
        <v/>
      </c>
      <c r="BA2036" s="229">
        <f>MOD(SUM(E2026:E2037),12)</f>
        <v>0</v>
      </c>
    </row>
    <row r="2037" spans="1:53" ht="15.75" thickBot="1" x14ac:dyDescent="0.3">
      <c r="A2037" s="88"/>
      <c r="B2037" s="66" t="s">
        <v>289</v>
      </c>
      <c r="C2037" s="67"/>
      <c r="D2037" s="102"/>
      <c r="E2037" s="32"/>
      <c r="F2037" s="32"/>
      <c r="G2037" s="68" t="s">
        <v>277</v>
      </c>
      <c r="H2037" s="69">
        <f t="shared" si="851"/>
        <v>0</v>
      </c>
      <c r="I2037" s="70">
        <f t="shared" si="852"/>
        <v>0</v>
      </c>
      <c r="J2037" s="73" t="str">
        <f t="shared" si="853"/>
        <v>--</v>
      </c>
      <c r="K2037" s="32"/>
      <c r="L2037" s="233"/>
      <c r="M2037" s="277"/>
      <c r="N2037" s="277"/>
      <c r="O2037" s="277"/>
      <c r="P2037" s="277"/>
      <c r="Q2037" s="277"/>
      <c r="R2037" s="277"/>
      <c r="S2037" s="277"/>
      <c r="T2037" s="277"/>
      <c r="U2037" s="278"/>
      <c r="V2037" s="103"/>
      <c r="W2037" s="84">
        <f>Y2037+1</f>
        <v>1</v>
      </c>
      <c r="X2037" s="84"/>
      <c r="Y2037" s="78">
        <f>SUM(E2026:E2037)</f>
        <v>0</v>
      </c>
      <c r="Z2037" s="72"/>
      <c r="AA2037" s="72"/>
      <c r="AB2037" s="72"/>
      <c r="AC2037" s="72">
        <f t="shared" si="842"/>
        <v>1</v>
      </c>
      <c r="AD2037" s="72">
        <f t="shared" si="843"/>
        <v>1</v>
      </c>
      <c r="AE2037" s="109" t="str">
        <f t="shared" si="844"/>
        <v>0-0</v>
      </c>
      <c r="AF2037" s="109" t="str">
        <f t="shared" si="845"/>
        <v>Y</v>
      </c>
      <c r="AG2037" s="109" t="str">
        <f t="shared" si="846"/>
        <v>B</v>
      </c>
      <c r="AM2037" s="109">
        <f t="shared" si="847"/>
        <v>0</v>
      </c>
      <c r="AN2037" s="109">
        <f t="shared" si="848"/>
        <v>0</v>
      </c>
      <c r="AO2037" s="109" t="str">
        <f t="shared" si="849"/>
        <v/>
      </c>
      <c r="AQ2037" s="109" t="str">
        <f t="shared" si="850"/>
        <v/>
      </c>
      <c r="BA2037" s="229">
        <f>MOD(SUM(E2026:E2038),12)</f>
        <v>0</v>
      </c>
    </row>
    <row r="2038" spans="1:53" ht="15.75" thickBot="1" x14ac:dyDescent="0.3">
      <c r="A2038" s="88"/>
      <c r="B2038" s="66" t="s">
        <v>290</v>
      </c>
      <c r="C2038" s="67"/>
      <c r="D2038" s="102"/>
      <c r="E2038" s="32"/>
      <c r="F2038" s="32"/>
      <c r="G2038" s="68" t="s">
        <v>277</v>
      </c>
      <c r="H2038" s="69">
        <f t="shared" si="851"/>
        <v>0</v>
      </c>
      <c r="I2038" s="70">
        <f t="shared" si="852"/>
        <v>0</v>
      </c>
      <c r="J2038" s="73" t="str">
        <f t="shared" si="853"/>
        <v>--</v>
      </c>
      <c r="K2038" s="32"/>
      <c r="L2038" s="233"/>
      <c r="M2038" s="277"/>
      <c r="N2038" s="277"/>
      <c r="O2038" s="277"/>
      <c r="P2038" s="277"/>
      <c r="Q2038" s="277"/>
      <c r="R2038" s="277"/>
      <c r="S2038" s="277"/>
      <c r="T2038" s="277"/>
      <c r="U2038" s="278"/>
      <c r="V2038" s="103"/>
      <c r="W2038" s="84">
        <f>Y2038+1</f>
        <v>1</v>
      </c>
      <c r="X2038" s="84"/>
      <c r="Y2038" s="78">
        <f>SUM(E2026:E2038)</f>
        <v>0</v>
      </c>
      <c r="Z2038" s="72" t="str">
        <f t="shared" ref="Z2038:Z2050" si="856">IF(OR(AND(E$8=216,C2037="DBL REV",C2038="DBL REV",Y2037&lt;=144,Y2038&gt;144),AND(E$8=216,C2037="TPL REV",C2038="TPL REV",Y2037&lt;=144,Y2038&gt;144),AND(E$8=216,C2037="QD REV",C2038="QD REV",Y2037&lt;=144,Y2038&gt;144)),"ERROR","")</f>
        <v/>
      </c>
      <c r="AA2038" s="72"/>
      <c r="AB2038" s="72"/>
      <c r="AC2038" s="72">
        <f t="shared" si="842"/>
        <v>1</v>
      </c>
      <c r="AD2038" s="72">
        <f t="shared" si="843"/>
        <v>1</v>
      </c>
      <c r="AE2038" s="109" t="str">
        <f t="shared" si="844"/>
        <v>0-0</v>
      </c>
      <c r="AF2038" s="109" t="str">
        <f t="shared" si="845"/>
        <v>Y</v>
      </c>
      <c r="AG2038" s="109" t="str">
        <f t="shared" si="846"/>
        <v>B</v>
      </c>
      <c r="AM2038" s="109">
        <f t="shared" si="847"/>
        <v>0</v>
      </c>
      <c r="AN2038" s="109">
        <f t="shared" si="848"/>
        <v>0</v>
      </c>
      <c r="AO2038" s="109" t="str">
        <f t="shared" si="849"/>
        <v/>
      </c>
      <c r="AQ2038" s="109" t="str">
        <f t="shared" si="850"/>
        <v/>
      </c>
      <c r="BA2038" s="229">
        <f>MOD(SUM(E2026:E2039),12)</f>
        <v>0</v>
      </c>
    </row>
    <row r="2039" spans="1:53" ht="15.75" thickBot="1" x14ac:dyDescent="0.3">
      <c r="A2039" s="88"/>
      <c r="B2039" s="66" t="s">
        <v>291</v>
      </c>
      <c r="C2039" s="67"/>
      <c r="D2039" s="102"/>
      <c r="E2039" s="32"/>
      <c r="F2039" s="32"/>
      <c r="G2039" s="68" t="s">
        <v>277</v>
      </c>
      <c r="H2039" s="69">
        <f t="shared" si="851"/>
        <v>0</v>
      </c>
      <c r="I2039" s="70">
        <f t="shared" si="852"/>
        <v>0</v>
      </c>
      <c r="J2039" s="73" t="str">
        <f t="shared" si="853"/>
        <v>--</v>
      </c>
      <c r="K2039" s="32"/>
      <c r="L2039" s="233"/>
      <c r="M2039" s="277"/>
      <c r="N2039" s="277"/>
      <c r="O2039" s="277"/>
      <c r="P2039" s="277"/>
      <c r="Q2039" s="277"/>
      <c r="R2039" s="277"/>
      <c r="S2039" s="277"/>
      <c r="T2039" s="277"/>
      <c r="U2039" s="278"/>
      <c r="V2039" s="103"/>
      <c r="W2039" s="84">
        <f>Y2039+1</f>
        <v>1</v>
      </c>
      <c r="X2039" s="84"/>
      <c r="Y2039" s="78">
        <f>SUM(E2026:E2039)</f>
        <v>0</v>
      </c>
      <c r="Z2039" s="72" t="str">
        <f t="shared" si="856"/>
        <v/>
      </c>
      <c r="AA2039" s="72"/>
      <c r="AB2039" s="72"/>
      <c r="AC2039" s="72">
        <f t="shared" si="842"/>
        <v>1</v>
      </c>
      <c r="AD2039" s="72">
        <f t="shared" si="843"/>
        <v>1</v>
      </c>
      <c r="AE2039" s="109" t="str">
        <f t="shared" si="844"/>
        <v>0-0</v>
      </c>
      <c r="AF2039" s="109" t="str">
        <f t="shared" si="845"/>
        <v>Y</v>
      </c>
      <c r="AG2039" s="109" t="str">
        <f t="shared" si="846"/>
        <v>B</v>
      </c>
      <c r="AM2039" s="109">
        <f t="shared" si="847"/>
        <v>0</v>
      </c>
      <c r="AN2039" s="109">
        <f t="shared" si="848"/>
        <v>0</v>
      </c>
      <c r="AO2039" s="109" t="str">
        <f t="shared" si="849"/>
        <v/>
      </c>
      <c r="AQ2039" s="109" t="str">
        <f t="shared" si="850"/>
        <v/>
      </c>
      <c r="BA2039" s="229">
        <f>MOD(SUM(E2026:E2040),12)</f>
        <v>0</v>
      </c>
    </row>
    <row r="2040" spans="1:53" ht="15.75" thickBot="1" x14ac:dyDescent="0.3">
      <c r="A2040" s="88"/>
      <c r="B2040" s="66" t="s">
        <v>292</v>
      </c>
      <c r="C2040" s="67"/>
      <c r="D2040" s="102"/>
      <c r="E2040" s="32"/>
      <c r="F2040" s="32"/>
      <c r="G2040" s="68" t="s">
        <v>277</v>
      </c>
      <c r="H2040" s="69">
        <f t="shared" si="851"/>
        <v>0</v>
      </c>
      <c r="I2040" s="70">
        <f t="shared" si="852"/>
        <v>0</v>
      </c>
      <c r="J2040" s="73" t="str">
        <f t="shared" si="853"/>
        <v>--</v>
      </c>
      <c r="K2040" s="32"/>
      <c r="L2040" s="233"/>
      <c r="M2040" s="277"/>
      <c r="N2040" s="277"/>
      <c r="O2040" s="277"/>
      <c r="P2040" s="277"/>
      <c r="Q2040" s="277"/>
      <c r="R2040" s="277"/>
      <c r="S2040" s="277"/>
      <c r="T2040" s="277"/>
      <c r="U2040" s="278"/>
      <c r="V2040" s="103"/>
      <c r="W2040" s="84">
        <f>Y2040+1</f>
        <v>1</v>
      </c>
      <c r="X2040" s="84"/>
      <c r="Y2040" s="78">
        <f>SUM(E2026:E2040)</f>
        <v>0</v>
      </c>
      <c r="Z2040" s="72" t="str">
        <f t="shared" si="856"/>
        <v/>
      </c>
      <c r="AA2040" s="72" t="str">
        <f t="shared" ref="AA2040:AA2052" si="857">IF(AND(C2038&lt;&gt;"Field SPL",W2037&lt;=144,Y2038&gt;144),"ERROR","")</f>
        <v/>
      </c>
      <c r="AB2040" s="72"/>
      <c r="AC2040" s="72">
        <f t="shared" si="842"/>
        <v>1</v>
      </c>
      <c r="AD2040" s="72">
        <f t="shared" si="843"/>
        <v>1</v>
      </c>
      <c r="AE2040" s="109" t="str">
        <f t="shared" si="844"/>
        <v>0-0</v>
      </c>
      <c r="AF2040" s="109" t="str">
        <f t="shared" si="845"/>
        <v>Y</v>
      </c>
      <c r="AG2040" s="109" t="str">
        <f t="shared" si="846"/>
        <v>B</v>
      </c>
      <c r="AM2040" s="109">
        <f t="shared" si="847"/>
        <v>0</v>
      </c>
      <c r="AN2040" s="109">
        <f t="shared" si="848"/>
        <v>0</v>
      </c>
      <c r="AO2040" s="109" t="str">
        <f t="shared" si="849"/>
        <v/>
      </c>
      <c r="AQ2040" s="109" t="str">
        <f t="shared" si="850"/>
        <v/>
      </c>
      <c r="BA2040" s="229">
        <f>MOD(SUM(E2026:E2041),12)</f>
        <v>0</v>
      </c>
    </row>
    <row r="2041" spans="1:53" ht="15.75" thickBot="1" x14ac:dyDescent="0.3">
      <c r="A2041" s="88"/>
      <c r="B2041" s="66" t="s">
        <v>293</v>
      </c>
      <c r="C2041" s="67"/>
      <c r="D2041" s="102"/>
      <c r="E2041" s="32"/>
      <c r="F2041" s="32"/>
      <c r="G2041" s="68" t="s">
        <v>277</v>
      </c>
      <c r="H2041" s="69">
        <f t="shared" si="851"/>
        <v>0</v>
      </c>
      <c r="I2041" s="70">
        <f t="shared" si="852"/>
        <v>0</v>
      </c>
      <c r="J2041" s="73" t="str">
        <f t="shared" si="853"/>
        <v>--</v>
      </c>
      <c r="K2041" s="32"/>
      <c r="L2041" s="233"/>
      <c r="M2041" s="277"/>
      <c r="N2041" s="277"/>
      <c r="O2041" s="277"/>
      <c r="P2041" s="277"/>
      <c r="Q2041" s="277"/>
      <c r="R2041" s="277"/>
      <c r="S2041" s="277"/>
      <c r="T2041" s="277"/>
      <c r="U2041" s="278"/>
      <c r="V2041" s="103"/>
      <c r="W2041" s="84">
        <f t="shared" ref="W2041:W2049" si="858">Y2041+1</f>
        <v>1</v>
      </c>
      <c r="X2041" s="84"/>
      <c r="Y2041" s="78">
        <f>SUM(E2026:E2041)</f>
        <v>0</v>
      </c>
      <c r="Z2041" s="72" t="str">
        <f t="shared" si="856"/>
        <v/>
      </c>
      <c r="AA2041" s="72" t="str">
        <f t="shared" si="857"/>
        <v/>
      </c>
      <c r="AB2041" s="72"/>
      <c r="AC2041" s="72">
        <f t="shared" si="842"/>
        <v>1</v>
      </c>
      <c r="AD2041" s="72">
        <f t="shared" si="843"/>
        <v>1</v>
      </c>
      <c r="AE2041" s="109" t="str">
        <f t="shared" si="844"/>
        <v>0-0</v>
      </c>
      <c r="AF2041" s="109" t="str">
        <f t="shared" si="845"/>
        <v>Y</v>
      </c>
      <c r="AG2041" s="109" t="str">
        <f t="shared" si="846"/>
        <v>B</v>
      </c>
      <c r="AM2041" s="109">
        <f t="shared" si="847"/>
        <v>0</v>
      </c>
      <c r="AN2041" s="109">
        <f t="shared" si="848"/>
        <v>0</v>
      </c>
      <c r="AO2041" s="109" t="str">
        <f t="shared" si="849"/>
        <v/>
      </c>
      <c r="AQ2041" s="109" t="str">
        <f t="shared" si="850"/>
        <v/>
      </c>
      <c r="BA2041" s="229">
        <f>MOD(SUM(E2026:E2042),12)</f>
        <v>0</v>
      </c>
    </row>
    <row r="2042" spans="1:53" ht="15.75" thickBot="1" x14ac:dyDescent="0.3">
      <c r="A2042" s="88"/>
      <c r="B2042" s="66" t="s">
        <v>294</v>
      </c>
      <c r="C2042" s="67"/>
      <c r="D2042" s="102"/>
      <c r="E2042" s="32"/>
      <c r="F2042" s="32"/>
      <c r="G2042" s="68" t="s">
        <v>277</v>
      </c>
      <c r="H2042" s="69">
        <f t="shared" si="851"/>
        <v>0</v>
      </c>
      <c r="I2042" s="70">
        <f t="shared" si="852"/>
        <v>0</v>
      </c>
      <c r="J2042" s="73" t="str">
        <f t="shared" si="853"/>
        <v>--</v>
      </c>
      <c r="K2042" s="32"/>
      <c r="L2042" s="233"/>
      <c r="M2042" s="277"/>
      <c r="N2042" s="277"/>
      <c r="O2042" s="277"/>
      <c r="P2042" s="277"/>
      <c r="Q2042" s="277"/>
      <c r="R2042" s="277"/>
      <c r="S2042" s="277"/>
      <c r="T2042" s="277"/>
      <c r="U2042" s="278"/>
      <c r="V2042" s="103"/>
      <c r="W2042" s="84">
        <f t="shared" si="858"/>
        <v>1</v>
      </c>
      <c r="X2042" s="84"/>
      <c r="Y2042" s="78">
        <f>SUM(E2026:E2042)</f>
        <v>0</v>
      </c>
      <c r="Z2042" s="72" t="str">
        <f t="shared" si="856"/>
        <v/>
      </c>
      <c r="AA2042" s="72" t="str">
        <f t="shared" si="857"/>
        <v/>
      </c>
      <c r="AB2042" s="72"/>
      <c r="AC2042" s="72">
        <f t="shared" si="842"/>
        <v>1</v>
      </c>
      <c r="AD2042" s="72">
        <f t="shared" si="843"/>
        <v>1</v>
      </c>
      <c r="AE2042" s="109" t="str">
        <f t="shared" si="844"/>
        <v>0-0</v>
      </c>
      <c r="AF2042" s="109" t="str">
        <f t="shared" si="845"/>
        <v>Y</v>
      </c>
      <c r="AG2042" s="109" t="str">
        <f t="shared" si="846"/>
        <v>B</v>
      </c>
      <c r="AM2042" s="109">
        <f t="shared" si="847"/>
        <v>0</v>
      </c>
      <c r="AN2042" s="109">
        <f t="shared" si="848"/>
        <v>0</v>
      </c>
      <c r="AO2042" s="109" t="str">
        <f t="shared" si="849"/>
        <v/>
      </c>
      <c r="AQ2042" s="109" t="str">
        <f t="shared" si="850"/>
        <v/>
      </c>
      <c r="BA2042" s="229">
        <f>MOD(SUM(E2026:E2043),12)</f>
        <v>0</v>
      </c>
    </row>
    <row r="2043" spans="1:53" ht="15.75" thickBot="1" x14ac:dyDescent="0.3">
      <c r="A2043" s="88"/>
      <c r="B2043" s="66" t="s">
        <v>295</v>
      </c>
      <c r="C2043" s="67"/>
      <c r="D2043" s="102"/>
      <c r="E2043" s="32"/>
      <c r="F2043" s="32"/>
      <c r="G2043" s="68" t="s">
        <v>277</v>
      </c>
      <c r="H2043" s="69">
        <f t="shared" si="851"/>
        <v>0</v>
      </c>
      <c r="I2043" s="70">
        <f t="shared" si="852"/>
        <v>0</v>
      </c>
      <c r="J2043" s="73" t="str">
        <f t="shared" si="853"/>
        <v>--</v>
      </c>
      <c r="K2043" s="32"/>
      <c r="L2043" s="233"/>
      <c r="M2043" s="277"/>
      <c r="N2043" s="277"/>
      <c r="O2043" s="277"/>
      <c r="P2043" s="277"/>
      <c r="Q2043" s="277"/>
      <c r="R2043" s="277"/>
      <c r="S2043" s="277"/>
      <c r="T2043" s="277"/>
      <c r="U2043" s="278"/>
      <c r="V2043" s="103"/>
      <c r="W2043" s="84">
        <f t="shared" si="858"/>
        <v>1</v>
      </c>
      <c r="X2043" s="84"/>
      <c r="Y2043" s="78">
        <f>SUM(E2026:E2043)</f>
        <v>0</v>
      </c>
      <c r="Z2043" s="72" t="str">
        <f t="shared" si="856"/>
        <v/>
      </c>
      <c r="AA2043" s="72" t="str">
        <f t="shared" si="857"/>
        <v/>
      </c>
      <c r="AB2043" s="72"/>
      <c r="AC2043" s="72">
        <f t="shared" si="842"/>
        <v>1</v>
      </c>
      <c r="AD2043" s="72">
        <f t="shared" si="843"/>
        <v>1</v>
      </c>
      <c r="AE2043" s="109" t="str">
        <f t="shared" si="844"/>
        <v>0-0</v>
      </c>
      <c r="AF2043" s="109" t="str">
        <f t="shared" si="845"/>
        <v>Y</v>
      </c>
      <c r="AG2043" s="109" t="str">
        <f t="shared" si="846"/>
        <v>B</v>
      </c>
      <c r="AM2043" s="109">
        <f t="shared" si="847"/>
        <v>0</v>
      </c>
      <c r="AN2043" s="109">
        <f t="shared" si="848"/>
        <v>0</v>
      </c>
      <c r="AO2043" s="109" t="str">
        <f t="shared" si="849"/>
        <v/>
      </c>
      <c r="AQ2043" s="109" t="str">
        <f t="shared" si="850"/>
        <v/>
      </c>
      <c r="BA2043" s="229">
        <f>MOD(SUM(E2026:E2044),12)</f>
        <v>0</v>
      </c>
    </row>
    <row r="2044" spans="1:53" ht="15.75" thickBot="1" x14ac:dyDescent="0.3">
      <c r="A2044" s="88"/>
      <c r="B2044" s="66" t="s">
        <v>296</v>
      </c>
      <c r="C2044" s="67"/>
      <c r="D2044" s="102"/>
      <c r="E2044" s="32"/>
      <c r="F2044" s="32"/>
      <c r="G2044" s="68" t="s">
        <v>277</v>
      </c>
      <c r="H2044" s="69">
        <f t="shared" si="851"/>
        <v>0</v>
      </c>
      <c r="I2044" s="70">
        <f t="shared" si="852"/>
        <v>0</v>
      </c>
      <c r="J2044" s="73" t="str">
        <f t="shared" si="853"/>
        <v>--</v>
      </c>
      <c r="K2044" s="32"/>
      <c r="L2044" s="233"/>
      <c r="M2044" s="277"/>
      <c r="N2044" s="277"/>
      <c r="O2044" s="277"/>
      <c r="P2044" s="277"/>
      <c r="Q2044" s="277"/>
      <c r="R2044" s="277"/>
      <c r="S2044" s="277"/>
      <c r="T2044" s="277"/>
      <c r="U2044" s="278"/>
      <c r="V2044" s="103"/>
      <c r="W2044" s="84">
        <f t="shared" si="858"/>
        <v>1</v>
      </c>
      <c r="X2044" s="84"/>
      <c r="Y2044" s="78">
        <f>SUM(E2026:E2044)</f>
        <v>0</v>
      </c>
      <c r="Z2044" s="72" t="str">
        <f t="shared" si="856"/>
        <v/>
      </c>
      <c r="AA2044" s="72" t="str">
        <f t="shared" si="857"/>
        <v/>
      </c>
      <c r="AB2044" s="72"/>
      <c r="AC2044" s="72">
        <f t="shared" si="842"/>
        <v>1</v>
      </c>
      <c r="AD2044" s="72">
        <f t="shared" si="843"/>
        <v>1</v>
      </c>
      <c r="AE2044" s="109" t="str">
        <f t="shared" si="844"/>
        <v>0-0</v>
      </c>
      <c r="AF2044" s="109" t="str">
        <f t="shared" si="845"/>
        <v>Y</v>
      </c>
      <c r="AG2044" s="109" t="str">
        <f t="shared" si="846"/>
        <v>B</v>
      </c>
      <c r="AM2044" s="109">
        <f t="shared" si="847"/>
        <v>0</v>
      </c>
      <c r="AN2044" s="109">
        <f t="shared" si="848"/>
        <v>0</v>
      </c>
      <c r="AO2044" s="109" t="str">
        <f t="shared" si="849"/>
        <v/>
      </c>
      <c r="AQ2044" s="109" t="str">
        <f t="shared" si="850"/>
        <v/>
      </c>
      <c r="BA2044" s="229">
        <f>MOD(SUM(E2026:E2045),12)</f>
        <v>0</v>
      </c>
    </row>
    <row r="2045" spans="1:53" ht="15.75" thickBot="1" x14ac:dyDescent="0.3">
      <c r="A2045" s="88"/>
      <c r="B2045" s="66" t="s">
        <v>297</v>
      </c>
      <c r="C2045" s="67"/>
      <c r="D2045" s="102"/>
      <c r="E2045" s="32"/>
      <c r="F2045" s="32"/>
      <c r="G2045" s="68" t="s">
        <v>277</v>
      </c>
      <c r="H2045" s="69">
        <f t="shared" si="851"/>
        <v>0</v>
      </c>
      <c r="I2045" s="70">
        <f t="shared" si="852"/>
        <v>0</v>
      </c>
      <c r="J2045" s="73" t="str">
        <f t="shared" si="853"/>
        <v>--</v>
      </c>
      <c r="K2045" s="32"/>
      <c r="L2045" s="233"/>
      <c r="M2045" s="277"/>
      <c r="N2045" s="277"/>
      <c r="O2045" s="277"/>
      <c r="P2045" s="277"/>
      <c r="Q2045" s="277"/>
      <c r="R2045" s="277"/>
      <c r="S2045" s="277"/>
      <c r="T2045" s="277"/>
      <c r="U2045" s="278"/>
      <c r="V2045" s="103"/>
      <c r="W2045" s="84">
        <f t="shared" si="858"/>
        <v>1</v>
      </c>
      <c r="X2045" s="84"/>
      <c r="Y2045" s="78">
        <f>SUM(E2026:E2045)</f>
        <v>0</v>
      </c>
      <c r="Z2045" s="72" t="str">
        <f t="shared" si="856"/>
        <v/>
      </c>
      <c r="AA2045" s="72" t="str">
        <f t="shared" si="857"/>
        <v/>
      </c>
      <c r="AB2045" s="72"/>
      <c r="AC2045" s="72">
        <f t="shared" si="842"/>
        <v>1</v>
      </c>
      <c r="AD2045" s="72">
        <f t="shared" si="843"/>
        <v>1</v>
      </c>
      <c r="AE2045" s="109" t="str">
        <f t="shared" si="844"/>
        <v>0-0</v>
      </c>
      <c r="AF2045" s="109" t="str">
        <f t="shared" si="845"/>
        <v>Y</v>
      </c>
      <c r="AG2045" s="109" t="str">
        <f t="shared" si="846"/>
        <v>B</v>
      </c>
      <c r="AM2045" s="109">
        <f t="shared" si="847"/>
        <v>0</v>
      </c>
      <c r="AN2045" s="109">
        <f t="shared" si="848"/>
        <v>0</v>
      </c>
      <c r="AO2045" s="109" t="str">
        <f t="shared" si="849"/>
        <v/>
      </c>
      <c r="AQ2045" s="109" t="str">
        <f t="shared" si="850"/>
        <v/>
      </c>
      <c r="BA2045" s="229">
        <f>MOD(SUM(E2026:E2046),12)</f>
        <v>0</v>
      </c>
    </row>
    <row r="2046" spans="1:53" ht="15.75" thickBot="1" x14ac:dyDescent="0.3">
      <c r="A2046" s="88"/>
      <c r="B2046" s="66" t="s">
        <v>298</v>
      </c>
      <c r="C2046" s="67"/>
      <c r="D2046" s="102"/>
      <c r="E2046" s="32"/>
      <c r="F2046" s="32"/>
      <c r="G2046" s="68" t="s">
        <v>277</v>
      </c>
      <c r="H2046" s="69">
        <f t="shared" si="851"/>
        <v>0</v>
      </c>
      <c r="I2046" s="70">
        <f t="shared" si="852"/>
        <v>0</v>
      </c>
      <c r="J2046" s="73" t="str">
        <f t="shared" si="853"/>
        <v>--</v>
      </c>
      <c r="K2046" s="32"/>
      <c r="L2046" s="233"/>
      <c r="M2046" s="277"/>
      <c r="N2046" s="277"/>
      <c r="O2046" s="277"/>
      <c r="P2046" s="277"/>
      <c r="Q2046" s="277"/>
      <c r="R2046" s="277"/>
      <c r="S2046" s="277"/>
      <c r="T2046" s="277"/>
      <c r="U2046" s="278"/>
      <c r="V2046" s="103"/>
      <c r="W2046" s="84">
        <f t="shared" si="858"/>
        <v>1</v>
      </c>
      <c r="X2046" s="84"/>
      <c r="Y2046" s="78">
        <f>SUM(E2026:E2046)</f>
        <v>0</v>
      </c>
      <c r="Z2046" s="72" t="str">
        <f t="shared" si="856"/>
        <v/>
      </c>
      <c r="AA2046" s="72" t="str">
        <f t="shared" si="857"/>
        <v/>
      </c>
      <c r="AB2046" s="72"/>
      <c r="AC2046" s="72">
        <f t="shared" si="842"/>
        <v>1</v>
      </c>
      <c r="AD2046" s="72">
        <f t="shared" si="843"/>
        <v>1</v>
      </c>
      <c r="AE2046" s="109" t="str">
        <f t="shared" si="844"/>
        <v>0-0</v>
      </c>
      <c r="AF2046" s="109" t="str">
        <f t="shared" si="845"/>
        <v>Y</v>
      </c>
      <c r="AG2046" s="109" t="str">
        <f t="shared" si="846"/>
        <v>B</v>
      </c>
      <c r="AM2046" s="109">
        <f t="shared" si="847"/>
        <v>0</v>
      </c>
      <c r="AN2046" s="109">
        <f t="shared" si="848"/>
        <v>0</v>
      </c>
      <c r="AO2046" s="109" t="str">
        <f t="shared" si="849"/>
        <v/>
      </c>
      <c r="AQ2046" s="109" t="str">
        <f t="shared" si="850"/>
        <v/>
      </c>
      <c r="BA2046" s="229">
        <f>MOD(SUM(E2026:E2047),12)</f>
        <v>0</v>
      </c>
    </row>
    <row r="2047" spans="1:53" ht="15.75" thickBot="1" x14ac:dyDescent="0.3">
      <c r="A2047" s="88"/>
      <c r="B2047" s="66" t="s">
        <v>299</v>
      </c>
      <c r="C2047" s="67"/>
      <c r="D2047" s="102"/>
      <c r="E2047" s="32"/>
      <c r="F2047" s="32"/>
      <c r="G2047" s="68" t="s">
        <v>277</v>
      </c>
      <c r="H2047" s="69">
        <f t="shared" si="851"/>
        <v>0</v>
      </c>
      <c r="I2047" s="70">
        <f t="shared" si="852"/>
        <v>0</v>
      </c>
      <c r="J2047" s="73" t="str">
        <f t="shared" si="853"/>
        <v>--</v>
      </c>
      <c r="K2047" s="32"/>
      <c r="L2047" s="233"/>
      <c r="M2047" s="277"/>
      <c r="N2047" s="277"/>
      <c r="O2047" s="277"/>
      <c r="P2047" s="277"/>
      <c r="Q2047" s="277"/>
      <c r="R2047" s="277"/>
      <c r="S2047" s="277"/>
      <c r="T2047" s="277"/>
      <c r="U2047" s="278"/>
      <c r="V2047" s="103"/>
      <c r="W2047" s="84">
        <f t="shared" si="858"/>
        <v>1</v>
      </c>
      <c r="X2047" s="84"/>
      <c r="Y2047" s="78">
        <f>SUM(E2026:E2047)</f>
        <v>0</v>
      </c>
      <c r="Z2047" s="72" t="str">
        <f t="shared" si="856"/>
        <v/>
      </c>
      <c r="AA2047" s="72" t="str">
        <f t="shared" si="857"/>
        <v/>
      </c>
      <c r="AB2047" s="72"/>
      <c r="AC2047" s="72">
        <f t="shared" si="842"/>
        <v>1</v>
      </c>
      <c r="AD2047" s="72">
        <f t="shared" si="843"/>
        <v>1</v>
      </c>
      <c r="AE2047" s="109" t="str">
        <f t="shared" si="844"/>
        <v>0-0</v>
      </c>
      <c r="AF2047" s="109" t="str">
        <f t="shared" si="845"/>
        <v>Y</v>
      </c>
      <c r="AG2047" s="109" t="str">
        <f t="shared" si="846"/>
        <v>B</v>
      </c>
      <c r="AM2047" s="109">
        <f t="shared" si="847"/>
        <v>0</v>
      </c>
      <c r="AN2047" s="109">
        <f t="shared" si="848"/>
        <v>0</v>
      </c>
      <c r="AO2047" s="109" t="str">
        <f t="shared" si="849"/>
        <v/>
      </c>
      <c r="AQ2047" s="109" t="str">
        <f t="shared" si="850"/>
        <v/>
      </c>
      <c r="BA2047" s="229">
        <f>MOD(SUM(E2026:E2048),12)</f>
        <v>0</v>
      </c>
    </row>
    <row r="2048" spans="1:53" ht="15.75" thickBot="1" x14ac:dyDescent="0.3">
      <c r="A2048" s="88"/>
      <c r="B2048" s="66" t="s">
        <v>300</v>
      </c>
      <c r="C2048" s="67"/>
      <c r="D2048" s="102"/>
      <c r="E2048" s="32"/>
      <c r="F2048" s="32"/>
      <c r="G2048" s="68" t="s">
        <v>277</v>
      </c>
      <c r="H2048" s="69">
        <f t="shared" si="851"/>
        <v>0</v>
      </c>
      <c r="I2048" s="70">
        <f t="shared" si="852"/>
        <v>0</v>
      </c>
      <c r="J2048" s="73" t="str">
        <f t="shared" si="853"/>
        <v>--</v>
      </c>
      <c r="K2048" s="32"/>
      <c r="L2048" s="233"/>
      <c r="M2048" s="277"/>
      <c r="N2048" s="277"/>
      <c r="O2048" s="277"/>
      <c r="P2048" s="277"/>
      <c r="Q2048" s="277"/>
      <c r="R2048" s="277"/>
      <c r="S2048" s="277"/>
      <c r="T2048" s="277"/>
      <c r="U2048" s="278"/>
      <c r="V2048" s="103"/>
      <c r="W2048" s="84">
        <f t="shared" si="858"/>
        <v>1</v>
      </c>
      <c r="X2048" s="84"/>
      <c r="Y2048" s="78">
        <f>SUM(E2026:E2048)</f>
        <v>0</v>
      </c>
      <c r="Z2048" s="72" t="str">
        <f t="shared" si="856"/>
        <v/>
      </c>
      <c r="AA2048" s="72" t="str">
        <f t="shared" si="857"/>
        <v/>
      </c>
      <c r="AB2048" s="72"/>
      <c r="AC2048" s="72">
        <f t="shared" si="842"/>
        <v>1</v>
      </c>
      <c r="AD2048" s="72">
        <f t="shared" si="843"/>
        <v>1</v>
      </c>
      <c r="AE2048" s="109" t="str">
        <f t="shared" si="844"/>
        <v>0-0</v>
      </c>
      <c r="AF2048" s="109" t="str">
        <f t="shared" si="845"/>
        <v>Y</v>
      </c>
      <c r="AG2048" s="109" t="str">
        <f t="shared" si="846"/>
        <v>B</v>
      </c>
      <c r="AM2048" s="109">
        <f t="shared" si="847"/>
        <v>0</v>
      </c>
      <c r="AN2048" s="109">
        <f t="shared" si="848"/>
        <v>0</v>
      </c>
      <c r="AO2048" s="109" t="str">
        <f t="shared" si="849"/>
        <v/>
      </c>
      <c r="AQ2048" s="109" t="str">
        <f t="shared" si="850"/>
        <v/>
      </c>
      <c r="BA2048" s="229">
        <f>MOD(SUM(E2026:E2049),12)</f>
        <v>0</v>
      </c>
    </row>
    <row r="2049" spans="1:53" ht="15.75" thickBot="1" x14ac:dyDescent="0.3">
      <c r="A2049" s="88"/>
      <c r="B2049" s="66" t="s">
        <v>301</v>
      </c>
      <c r="C2049" s="67"/>
      <c r="D2049" s="102"/>
      <c r="E2049" s="32"/>
      <c r="F2049" s="32"/>
      <c r="G2049" s="68" t="s">
        <v>277</v>
      </c>
      <c r="H2049" s="69">
        <f t="shared" si="851"/>
        <v>0</v>
      </c>
      <c r="I2049" s="70">
        <f t="shared" si="852"/>
        <v>0</v>
      </c>
      <c r="J2049" s="73" t="str">
        <f t="shared" si="853"/>
        <v>--</v>
      </c>
      <c r="K2049" s="32"/>
      <c r="L2049" s="233"/>
      <c r="M2049" s="277"/>
      <c r="N2049" s="277"/>
      <c r="O2049" s="277"/>
      <c r="P2049" s="277"/>
      <c r="Q2049" s="277"/>
      <c r="R2049" s="277"/>
      <c r="S2049" s="277"/>
      <c r="T2049" s="277"/>
      <c r="U2049" s="278"/>
      <c r="V2049" s="103"/>
      <c r="W2049" s="84">
        <f t="shared" si="858"/>
        <v>1</v>
      </c>
      <c r="X2049" s="84"/>
      <c r="Y2049" s="78">
        <f>SUM(E2026:E2049)</f>
        <v>0</v>
      </c>
      <c r="Z2049" s="72" t="str">
        <f t="shared" si="856"/>
        <v/>
      </c>
      <c r="AA2049" s="72" t="str">
        <f t="shared" si="857"/>
        <v/>
      </c>
      <c r="AB2049" s="72"/>
      <c r="AC2049" s="72">
        <f t="shared" si="842"/>
        <v>1</v>
      </c>
      <c r="AD2049" s="72">
        <f t="shared" si="843"/>
        <v>1</v>
      </c>
      <c r="AE2049" s="109" t="str">
        <f t="shared" si="844"/>
        <v>0-0</v>
      </c>
      <c r="AF2049" s="109" t="str">
        <f t="shared" si="845"/>
        <v>Y</v>
      </c>
      <c r="AG2049" s="109" t="str">
        <f t="shared" si="846"/>
        <v>B</v>
      </c>
      <c r="AM2049" s="109">
        <f t="shared" si="847"/>
        <v>0</v>
      </c>
      <c r="AN2049" s="109">
        <f t="shared" si="848"/>
        <v>0</v>
      </c>
      <c r="AO2049" s="109" t="str">
        <f t="shared" si="849"/>
        <v/>
      </c>
      <c r="AQ2049" s="109" t="str">
        <f t="shared" si="850"/>
        <v/>
      </c>
      <c r="BA2049" s="229">
        <f>MOD(SUM(E2026:E2050),12)</f>
        <v>0</v>
      </c>
    </row>
    <row r="2050" spans="1:53" ht="15.75" thickBot="1" x14ac:dyDescent="0.3">
      <c r="A2050" s="88"/>
      <c r="B2050" s="66" t="s">
        <v>302</v>
      </c>
      <c r="C2050" s="67"/>
      <c r="D2050" s="102"/>
      <c r="E2050" s="32"/>
      <c r="F2050" s="32"/>
      <c r="G2050" s="68" t="s">
        <v>277</v>
      </c>
      <c r="H2050" s="69">
        <f t="shared" si="851"/>
        <v>0</v>
      </c>
      <c r="I2050" s="70">
        <f t="shared" si="852"/>
        <v>0</v>
      </c>
      <c r="J2050" s="73" t="str">
        <f t="shared" si="853"/>
        <v>--</v>
      </c>
      <c r="K2050" s="32"/>
      <c r="L2050" s="234"/>
      <c r="M2050" s="277"/>
      <c r="N2050" s="277"/>
      <c r="O2050" s="277"/>
      <c r="P2050" s="277"/>
      <c r="Q2050" s="277"/>
      <c r="R2050" s="277"/>
      <c r="S2050" s="277"/>
      <c r="T2050" s="277"/>
      <c r="U2050" s="278"/>
      <c r="V2050" s="103"/>
      <c r="W2050" s="72"/>
      <c r="X2050" s="72"/>
      <c r="Y2050" s="78">
        <f>SUM(E2026:E2050)</f>
        <v>0</v>
      </c>
      <c r="Z2050" s="72" t="str">
        <f t="shared" si="856"/>
        <v/>
      </c>
      <c r="AA2050" s="72" t="str">
        <f t="shared" si="857"/>
        <v/>
      </c>
      <c r="AB2050" s="72"/>
      <c r="AC2050" s="72">
        <f t="shared" si="842"/>
        <v>1</v>
      </c>
      <c r="AD2050" s="72">
        <f t="shared" si="843"/>
        <v>1</v>
      </c>
      <c r="AE2050" s="109" t="str">
        <f t="shared" si="844"/>
        <v>0-0</v>
      </c>
      <c r="AF2050" s="109" t="str">
        <f t="shared" si="845"/>
        <v>Y</v>
      </c>
      <c r="AG2050" s="109" t="str">
        <f t="shared" si="846"/>
        <v>B</v>
      </c>
      <c r="AM2050" s="109">
        <f t="shared" si="847"/>
        <v>0</v>
      </c>
      <c r="AN2050" s="109">
        <f t="shared" si="848"/>
        <v>0</v>
      </c>
      <c r="AO2050" s="109" t="str">
        <f t="shared" si="849"/>
        <v/>
      </c>
      <c r="AQ2050" s="109" t="str">
        <f t="shared" si="850"/>
        <v/>
      </c>
      <c r="BA2050" s="228"/>
    </row>
    <row r="2051" spans="1:53" ht="16.5" thickBot="1" x14ac:dyDescent="0.3">
      <c r="A2051" s="88"/>
      <c r="B2051" s="319" t="s">
        <v>307</v>
      </c>
      <c r="C2051" s="320"/>
      <c r="D2051" s="79"/>
      <c r="E2051" s="80"/>
      <c r="F2051" s="80"/>
      <c r="G2051" s="81"/>
      <c r="H2051" s="192"/>
      <c r="I2051" s="192"/>
      <c r="J2051" s="192"/>
      <c r="K2051" s="82"/>
      <c r="L2051" s="319" t="s">
        <v>306</v>
      </c>
      <c r="M2051" s="330"/>
      <c r="N2051" s="330"/>
      <c r="O2051" s="330"/>
      <c r="P2051" s="330"/>
      <c r="Q2051" s="330"/>
      <c r="R2051" s="330"/>
      <c r="S2051" s="330"/>
      <c r="T2051" s="330"/>
      <c r="U2051" s="320"/>
      <c r="V2051" s="104"/>
      <c r="W2051" s="72"/>
      <c r="X2051" s="72"/>
      <c r="Y2051" s="72"/>
      <c r="Z2051" s="72"/>
      <c r="AA2051" s="72" t="str">
        <f t="shared" si="857"/>
        <v/>
      </c>
      <c r="AB2051" s="72"/>
      <c r="AC2051" s="72">
        <f>SUM(AC2026:AC2050)</f>
        <v>25</v>
      </c>
      <c r="AD2051" s="72">
        <f>SUM(AD2026:AD2050)</f>
        <v>25</v>
      </c>
      <c r="AE2051" s="109" t="str">
        <f t="shared" si="844"/>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57"/>
        <v/>
      </c>
      <c r="AB2052" s="72"/>
      <c r="AC2052" s="72"/>
      <c r="AD2052" s="72"/>
      <c r="AE2052" s="109" t="str">
        <f t="shared" si="844"/>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phoneticPr fontId="60" type="noConversion"/>
  <conditionalFormatting sqref="J17:K18 K42:L43 J19:J41">
    <cfRule type="containsText" dxfId="1504" priority="3200" operator="containsText" text="error">
      <formula>NOT(ISERROR(SEARCH("error",J17)))</formula>
    </cfRule>
  </conditionalFormatting>
  <conditionalFormatting sqref="J17:J41">
    <cfRule type="cellIs" dxfId="1503" priority="3198" operator="lessThan">
      <formula>12</formula>
    </cfRule>
    <cfRule type="cellIs" dxfId="1502" priority="3199" operator="equal">
      <formula>"4,6,8"</formula>
    </cfRule>
  </conditionalFormatting>
  <conditionalFormatting sqref="L8">
    <cfRule type="cellIs" dxfId="1501" priority="3196" operator="lessThan">
      <formula>$L$7</formula>
    </cfRule>
  </conditionalFormatting>
  <conditionalFormatting sqref="I7">
    <cfRule type="cellIs" dxfId="1500" priority="3195" operator="lessThan">
      <formula>0</formula>
    </cfRule>
  </conditionalFormatting>
  <conditionalFormatting sqref="H17:I41">
    <cfRule type="cellIs" dxfId="1499" priority="3194" operator="lessThan">
      <formula>0</formula>
    </cfRule>
  </conditionalFormatting>
  <conditionalFormatting sqref="K84:L84 K83">
    <cfRule type="containsText" dxfId="1498" priority="3193" operator="containsText" text="error">
      <formula>NOT(ISERROR(SEARCH("error",K83)))</formula>
    </cfRule>
  </conditionalFormatting>
  <conditionalFormatting sqref="K125:L125 K124">
    <cfRule type="containsText" dxfId="1497" priority="3187" operator="containsText" text="error">
      <formula>NOT(ISERROR(SEARCH("error",K124)))</formula>
    </cfRule>
  </conditionalFormatting>
  <conditionalFormatting sqref="K166:L166 K165">
    <cfRule type="containsText" dxfId="1496" priority="3181" operator="containsText" text="error">
      <formula>NOT(ISERROR(SEARCH("error",K165)))</formula>
    </cfRule>
  </conditionalFormatting>
  <conditionalFormatting sqref="K207:L207 K206">
    <cfRule type="containsText" dxfId="1495" priority="3175" operator="containsText" text="error">
      <formula>NOT(ISERROR(SEARCH("error",K206)))</formula>
    </cfRule>
  </conditionalFormatting>
  <conditionalFormatting sqref="K248:L248 K247">
    <cfRule type="containsText" dxfId="1494" priority="3169" operator="containsText" text="error">
      <formula>NOT(ISERROR(SEARCH("error",K247)))</formula>
    </cfRule>
  </conditionalFormatting>
  <conditionalFormatting sqref="K289:L289 K288">
    <cfRule type="containsText" dxfId="1493" priority="3163" operator="containsText" text="error">
      <formula>NOT(ISERROR(SEARCH("error",K288)))</formula>
    </cfRule>
  </conditionalFormatting>
  <conditionalFormatting sqref="K330:L330 K329">
    <cfRule type="containsText" dxfId="1492" priority="3157" operator="containsText" text="error">
      <formula>NOT(ISERROR(SEARCH("error",K329)))</formula>
    </cfRule>
  </conditionalFormatting>
  <conditionalFormatting sqref="K371:L371 K370">
    <cfRule type="containsText" dxfId="1491" priority="3151" operator="containsText" text="error">
      <formula>NOT(ISERROR(SEARCH("error",K370)))</formula>
    </cfRule>
  </conditionalFormatting>
  <conditionalFormatting sqref="K412:L412 K411">
    <cfRule type="containsText" dxfId="1490" priority="3145" operator="containsText" text="error">
      <formula>NOT(ISERROR(SEARCH("error",K411)))</formula>
    </cfRule>
  </conditionalFormatting>
  <conditionalFormatting sqref="K453:L453 K452">
    <cfRule type="containsText" dxfId="1489" priority="3139" operator="containsText" text="error">
      <formula>NOT(ISERROR(SEARCH("error",K452)))</formula>
    </cfRule>
  </conditionalFormatting>
  <conditionalFormatting sqref="K494:L494 K493">
    <cfRule type="containsText" dxfId="1488" priority="3133" operator="containsText" text="error">
      <formula>NOT(ISERROR(SEARCH("error",K493)))</formula>
    </cfRule>
  </conditionalFormatting>
  <conditionalFormatting sqref="K535:L535 K534">
    <cfRule type="containsText" dxfId="1487" priority="3127" operator="containsText" text="error">
      <formula>NOT(ISERROR(SEARCH("error",K534)))</formula>
    </cfRule>
  </conditionalFormatting>
  <conditionalFormatting sqref="K576:L576 K575">
    <cfRule type="containsText" dxfId="1486" priority="3121" operator="containsText" text="error">
      <formula>NOT(ISERROR(SEARCH("error",K575)))</formula>
    </cfRule>
  </conditionalFormatting>
  <conditionalFormatting sqref="K617:L617 K616">
    <cfRule type="containsText" dxfId="1485" priority="3115" operator="containsText" text="error">
      <formula>NOT(ISERROR(SEARCH("error",K616)))</formula>
    </cfRule>
  </conditionalFormatting>
  <conditionalFormatting sqref="K658:L658 K657">
    <cfRule type="containsText" dxfId="1484" priority="3109" operator="containsText" text="error">
      <formula>NOT(ISERROR(SEARCH("error",K657)))</formula>
    </cfRule>
  </conditionalFormatting>
  <conditionalFormatting sqref="K699:L699 K698">
    <cfRule type="containsText" dxfId="1483" priority="3103" operator="containsText" text="error">
      <formula>NOT(ISERROR(SEARCH("error",K698)))</formula>
    </cfRule>
  </conditionalFormatting>
  <conditionalFormatting sqref="K740:L740 K739">
    <cfRule type="containsText" dxfId="1482" priority="3097" operator="containsText" text="error">
      <formula>NOT(ISERROR(SEARCH("error",K739)))</formula>
    </cfRule>
  </conditionalFormatting>
  <conditionalFormatting sqref="K781:L781 K780">
    <cfRule type="containsText" dxfId="1481" priority="3091" operator="containsText" text="error">
      <formula>NOT(ISERROR(SEARCH("error",K780)))</formula>
    </cfRule>
  </conditionalFormatting>
  <conditionalFormatting sqref="K822:L822 K821">
    <cfRule type="containsText" dxfId="1480" priority="3085" operator="containsText" text="error">
      <formula>NOT(ISERROR(SEARCH("error",K821)))</formula>
    </cfRule>
  </conditionalFormatting>
  <conditionalFormatting sqref="C128 C169 C210 C251 C292 C333 C374 C415 C456 C497 C538 C579 C620 C661 C702 C743 C784 C825">
    <cfRule type="expression" dxfId="1479" priority="3000">
      <formula>AND(OR(C129="NO",C129="REV T",C129="DBL REV"),C128="Field SPL")</formula>
    </cfRule>
  </conditionalFormatting>
  <conditionalFormatting sqref="K863:L863 K862">
    <cfRule type="containsText" dxfId="1478" priority="2998" operator="containsText" text="error">
      <formula>NOT(ISERROR(SEARCH("error",K862)))</formula>
    </cfRule>
  </conditionalFormatting>
  <conditionalFormatting sqref="K904:L904 K903">
    <cfRule type="containsText" dxfId="1477" priority="2991" operator="containsText" text="error">
      <formula>NOT(ISERROR(SEARCH("error",K903)))</formula>
    </cfRule>
  </conditionalFormatting>
  <conditionalFormatting sqref="K945:L945 K944">
    <cfRule type="containsText" dxfId="1476" priority="2984" operator="containsText" text="error">
      <formula>NOT(ISERROR(SEARCH("error",K944)))</formula>
    </cfRule>
  </conditionalFormatting>
  <conditionalFormatting sqref="K986:L986 K985">
    <cfRule type="containsText" dxfId="1475" priority="2977" operator="containsText" text="error">
      <formula>NOT(ISERROR(SEARCH("error",K985)))</formula>
    </cfRule>
  </conditionalFormatting>
  <conditionalFormatting sqref="K1027:L1027 K1026">
    <cfRule type="containsText" dxfId="1474" priority="2970" operator="containsText" text="error">
      <formula>NOT(ISERROR(SEARCH("error",K1026)))</formula>
    </cfRule>
  </conditionalFormatting>
  <conditionalFormatting sqref="K1068:L1068 K1067">
    <cfRule type="containsText" dxfId="1473" priority="2963" operator="containsText" text="error">
      <formula>NOT(ISERROR(SEARCH("error",K1067)))</formula>
    </cfRule>
  </conditionalFormatting>
  <conditionalFormatting sqref="K1109:L1109 K1108">
    <cfRule type="containsText" dxfId="1472" priority="2956" operator="containsText" text="error">
      <formula>NOT(ISERROR(SEARCH("error",K1108)))</formula>
    </cfRule>
  </conditionalFormatting>
  <conditionalFormatting sqref="K1150:L1150 K1149">
    <cfRule type="containsText" dxfId="1471" priority="2949" operator="containsText" text="error">
      <formula>NOT(ISERROR(SEARCH("error",K1149)))</formula>
    </cfRule>
  </conditionalFormatting>
  <conditionalFormatting sqref="K1191:L1191 K1190">
    <cfRule type="containsText" dxfId="1470" priority="2942" operator="containsText" text="error">
      <formula>NOT(ISERROR(SEARCH("error",K1190)))</formula>
    </cfRule>
  </conditionalFormatting>
  <conditionalFormatting sqref="K1232:L1232 K1231">
    <cfRule type="containsText" dxfId="1469" priority="2935" operator="containsText" text="error">
      <formula>NOT(ISERROR(SEARCH("error",K1231)))</formula>
    </cfRule>
  </conditionalFormatting>
  <conditionalFormatting sqref="K1273:L1273 K1272">
    <cfRule type="containsText" dxfId="1468" priority="2928" operator="containsText" text="error">
      <formula>NOT(ISERROR(SEARCH("error",K1272)))</formula>
    </cfRule>
  </conditionalFormatting>
  <conditionalFormatting sqref="K1314:L1314 K1313">
    <cfRule type="containsText" dxfId="1467" priority="2921" operator="containsText" text="error">
      <formula>NOT(ISERROR(SEARCH("error",K1313)))</formula>
    </cfRule>
  </conditionalFormatting>
  <conditionalFormatting sqref="K1355:L1355 K1354">
    <cfRule type="containsText" dxfId="1466" priority="2914" operator="containsText" text="error">
      <formula>NOT(ISERROR(SEARCH("error",K1354)))</formula>
    </cfRule>
  </conditionalFormatting>
  <conditionalFormatting sqref="K1396:L1396 K1395">
    <cfRule type="containsText" dxfId="1465" priority="2907" operator="containsText" text="error">
      <formula>NOT(ISERROR(SEARCH("error",K1395)))</formula>
    </cfRule>
  </conditionalFormatting>
  <conditionalFormatting sqref="K1437:L1437 K1436">
    <cfRule type="containsText" dxfId="1464" priority="2900" operator="containsText" text="error">
      <formula>NOT(ISERROR(SEARCH("error",K1436)))</formula>
    </cfRule>
  </conditionalFormatting>
  <conditionalFormatting sqref="K1478:L1478 K1477">
    <cfRule type="containsText" dxfId="1463" priority="2893" operator="containsText" text="error">
      <formula>NOT(ISERROR(SEARCH("error",K1477)))</formula>
    </cfRule>
  </conditionalFormatting>
  <conditionalFormatting sqref="K1519:L1519 K1518">
    <cfRule type="containsText" dxfId="1462" priority="2886" operator="containsText" text="error">
      <formula>NOT(ISERROR(SEARCH("error",K1518)))</formula>
    </cfRule>
  </conditionalFormatting>
  <conditionalFormatting sqref="K1560:L1560 K1559">
    <cfRule type="containsText" dxfId="1461" priority="2879" operator="containsText" text="error">
      <formula>NOT(ISERROR(SEARCH("error",K1559)))</formula>
    </cfRule>
  </conditionalFormatting>
  <conditionalFormatting sqref="K1601:L1601 K1600">
    <cfRule type="containsText" dxfId="1460" priority="2872" operator="containsText" text="error">
      <formula>NOT(ISERROR(SEARCH("error",K1600)))</formula>
    </cfRule>
  </conditionalFormatting>
  <conditionalFormatting sqref="K1642:L1642 K1641">
    <cfRule type="containsText" dxfId="1459" priority="2865" operator="containsText" text="error">
      <formula>NOT(ISERROR(SEARCH("error",K1641)))</formula>
    </cfRule>
  </conditionalFormatting>
  <conditionalFormatting sqref="E41">
    <cfRule type="expression" dxfId="1458" priority="2838">
      <formula>AND(OR(C41="NO",C41="REV T",C41="DBL REV",C41="TPL REV",C41="QD REV"),E41&gt;12)</formula>
    </cfRule>
  </conditionalFormatting>
  <conditionalFormatting sqref="J17">
    <cfRule type="expression" dxfId="1457" priority="2713">
      <formula>AND(C17="NO",E17&lt;12,C18="")</formula>
    </cfRule>
  </conditionalFormatting>
  <conditionalFormatting sqref="B29:B41">
    <cfRule type="expression" dxfId="1456" priority="2554">
      <formula>Z29="error"</formula>
    </cfRule>
  </conditionalFormatting>
  <conditionalFormatting sqref="B29:B41">
    <cfRule type="expression" dxfId="1455" priority="2552">
      <formula>AA31="error"</formula>
    </cfRule>
  </conditionalFormatting>
  <conditionalFormatting sqref="E41">
    <cfRule type="expression" dxfId="1454" priority="2545">
      <formula>AND(OR(C41="NO",C41="REV T",C41="DBL REV",C41="TPL REV",C41="QD REV"),E41&gt;12)</formula>
    </cfRule>
  </conditionalFormatting>
  <conditionalFormatting sqref="E12">
    <cfRule type="expression" dxfId="1453" priority="2487">
      <formula>AND(E7="EUC",E8&gt;48,E12="Y")</formula>
    </cfRule>
    <cfRule type="expression" dxfId="1452" priority="2488">
      <formula>AND(E7="RPX",E8&gt;48,E12="Y")</formula>
    </cfRule>
    <cfRule type="expression" dxfId="1451" priority="2489">
      <formula>AND(E7="SS",E8&gt;48,E12="Y")</formula>
    </cfRule>
  </conditionalFormatting>
  <conditionalFormatting sqref="I11">
    <cfRule type="expression" dxfId="1450" priority="2326">
      <formula>I11=0</formula>
    </cfRule>
    <cfRule type="expression" dxfId="1449" priority="2327">
      <formula>MOD(I11,2)=0</formula>
    </cfRule>
  </conditionalFormatting>
  <conditionalFormatting sqref="E35:E40">
    <cfRule type="expression" dxfId="1448" priority="2243">
      <formula>AND(OR(C35="NO",C35="REV T",C35="DBL REV",C35="TPL REV",C35="QD REV"),E35&gt;12)</formula>
    </cfRule>
  </conditionalFormatting>
  <conditionalFormatting sqref="C35:C41">
    <cfRule type="expression" dxfId="1447" priority="2242">
      <formula>AND(OR(C36="FST",C36="REV T",C36="DBL REV",C36="TPL REV",C36="QD REV"),C35="Field SPL")</formula>
    </cfRule>
  </conditionalFormatting>
  <conditionalFormatting sqref="I6">
    <cfRule type="expression" dxfId="1446" priority="2235">
      <formula>AND(E7="EUC",E8=432,I6&gt;204)</formula>
    </cfRule>
  </conditionalFormatting>
  <conditionalFormatting sqref="K1683:L1683 K1682">
    <cfRule type="containsText" dxfId="1445" priority="2175" operator="containsText" text="error">
      <formula>NOT(ISERROR(SEARCH("error",K1682)))</formula>
    </cfRule>
  </conditionalFormatting>
  <conditionalFormatting sqref="K1724:L1724 K1723">
    <cfRule type="containsText" dxfId="1444" priority="2149" operator="containsText" text="error">
      <formula>NOT(ISERROR(SEARCH("error",K1723)))</formula>
    </cfRule>
  </conditionalFormatting>
  <conditionalFormatting sqref="K1765:L1765 K1764">
    <cfRule type="containsText" dxfId="1443" priority="2123" operator="containsText" text="error">
      <formula>NOT(ISERROR(SEARCH("error",K1764)))</formula>
    </cfRule>
  </conditionalFormatting>
  <conditionalFormatting sqref="K1806:L1806 K1805">
    <cfRule type="containsText" dxfId="1442" priority="2097" operator="containsText" text="error">
      <formula>NOT(ISERROR(SEARCH("error",K1805)))</formula>
    </cfRule>
  </conditionalFormatting>
  <conditionalFormatting sqref="K1847:L1847 K1846">
    <cfRule type="containsText" dxfId="1441" priority="2071" operator="containsText" text="error">
      <formula>NOT(ISERROR(SEARCH("error",K1846)))</formula>
    </cfRule>
  </conditionalFormatting>
  <conditionalFormatting sqref="K1888:L1888 K1887">
    <cfRule type="containsText" dxfId="1440" priority="2045" operator="containsText" text="error">
      <formula>NOT(ISERROR(SEARCH("error",K1887)))</formula>
    </cfRule>
  </conditionalFormatting>
  <conditionalFormatting sqref="K1929:L1929 K1928">
    <cfRule type="containsText" dxfId="1439" priority="2019" operator="containsText" text="error">
      <formula>NOT(ISERROR(SEARCH("error",K1928)))</formula>
    </cfRule>
  </conditionalFormatting>
  <conditionalFormatting sqref="K1970:L1970 K1969">
    <cfRule type="containsText" dxfId="1438" priority="1993" operator="containsText" text="error">
      <formula>NOT(ISERROR(SEARCH("error",K1969)))</formula>
    </cfRule>
  </conditionalFormatting>
  <conditionalFormatting sqref="K2011:L2011 K2010">
    <cfRule type="containsText" dxfId="1437" priority="1967" operator="containsText" text="error">
      <formula>NOT(ISERROR(SEARCH("error",K2010)))</formula>
    </cfRule>
  </conditionalFormatting>
  <conditionalFormatting sqref="K2052:L2052 K2051">
    <cfRule type="containsText" dxfId="1436" priority="1941" operator="containsText" text="error">
      <formula>NOT(ISERROR(SEARCH("error",K2051)))</formula>
    </cfRule>
  </conditionalFormatting>
  <conditionalFormatting sqref="E8">
    <cfRule type="expression" dxfId="1435" priority="1716">
      <formula>(AND(E7="EUC",E8=432))</formula>
    </cfRule>
    <cfRule type="expression" dxfId="1434" priority="1717">
      <formula>AND(E7="SS",E8&gt;216)</formula>
    </cfRule>
    <cfRule type="expression" dxfId="1433" priority="1718">
      <formula>(AND(E7="EUC",E8&gt;216))</formula>
    </cfRule>
    <cfRule type="expression" dxfId="1432" priority="1719">
      <formula>AND(E7="RPX",E8&gt;216)</formula>
    </cfRule>
  </conditionalFormatting>
  <conditionalFormatting sqref="E17:E34">
    <cfRule type="expression" dxfId="1431" priority="1715">
      <formula>AND(OR(C17="NO",C17="REV T",C17="DBL REV",C17="TPL REV",C17="QD REV"),E17&gt;12)</formula>
    </cfRule>
  </conditionalFormatting>
  <conditionalFormatting sqref="C17:C34">
    <cfRule type="expression" dxfId="1430" priority="1714">
      <formula>AND(OR(C18="FST",C18="REV T",C18="DBL REV",C18="TPL REV",C18="QD REV"),C17="Field SPL")</formula>
    </cfRule>
  </conditionalFormatting>
  <conditionalFormatting sqref="L49">
    <cfRule type="cellIs" dxfId="1429" priority="1668" operator="lessThan">
      <formula>$L$7</formula>
    </cfRule>
  </conditionalFormatting>
  <conditionalFormatting sqref="I48">
    <cfRule type="cellIs" dxfId="1428" priority="1667" operator="lessThan">
      <formula>0</formula>
    </cfRule>
  </conditionalFormatting>
  <conditionalFormatting sqref="H58:I82">
    <cfRule type="cellIs" dxfId="1427" priority="1666" operator="lessThan">
      <formula>0</formula>
    </cfRule>
  </conditionalFormatting>
  <conditionalFormatting sqref="E82">
    <cfRule type="expression" dxfId="1426" priority="1665">
      <formula>AND(OR(C82="NO",C82="REV T",C82="DBL REV",C82="TPL REV",C82="QD REV"),E82&gt;12)</formula>
    </cfRule>
  </conditionalFormatting>
  <conditionalFormatting sqref="B70:B82">
    <cfRule type="expression" dxfId="1425" priority="1663">
      <formula>Z70="error"</formula>
    </cfRule>
  </conditionalFormatting>
  <conditionalFormatting sqref="B70:B82">
    <cfRule type="expression" dxfId="1424" priority="1662">
      <formula>AA72="error"</formula>
    </cfRule>
  </conditionalFormatting>
  <conditionalFormatting sqref="E82">
    <cfRule type="expression" dxfId="1423" priority="1661">
      <formula>AND(OR(C82="NO",C82="REV T",C82="DBL REV",C82="TPL REV",C82="QD REV"),E82&gt;12)</formula>
    </cfRule>
  </conditionalFormatting>
  <conditionalFormatting sqref="E53">
    <cfRule type="expression" dxfId="1422" priority="1658">
      <formula>AND(E48="EUC",E49&gt;48,E53="Y")</formula>
    </cfRule>
    <cfRule type="expression" dxfId="1421" priority="1659">
      <formula>AND(E48="RPX",E49&gt;48,E53="Y")</formula>
    </cfRule>
    <cfRule type="expression" dxfId="1420" priority="1660">
      <formula>AND(E48="SS",E49&gt;48,E53="Y")</formula>
    </cfRule>
  </conditionalFormatting>
  <conditionalFormatting sqref="I52">
    <cfRule type="expression" dxfId="1419" priority="1655">
      <formula>I52=0</formula>
    </cfRule>
    <cfRule type="expression" dxfId="1418" priority="1656">
      <formula>MOD(I52,2)=0</formula>
    </cfRule>
  </conditionalFormatting>
  <conditionalFormatting sqref="E76:E81">
    <cfRule type="expression" dxfId="1417" priority="1654">
      <formula>AND(OR(C76="NO",C76="REV T",C76="DBL REV",C76="TPL REV",C76="QD REV"),E76&gt;12)</formula>
    </cfRule>
  </conditionalFormatting>
  <conditionalFormatting sqref="C76:C82">
    <cfRule type="expression" dxfId="1416" priority="1653">
      <formula>AND(OR(C77="FST",C77="REV T",C77="DBL REV",C77="TPL REV",C77="QD REV"),C76="Field SPL")</formula>
    </cfRule>
  </conditionalFormatting>
  <conditionalFormatting sqref="I47">
    <cfRule type="expression" dxfId="1415" priority="1652">
      <formula>AND(E48="EUC",E49=432,I47&gt;204)</formula>
    </cfRule>
  </conditionalFormatting>
  <conditionalFormatting sqref="E49">
    <cfRule type="expression" dxfId="1414" priority="1648">
      <formula>(AND(E48="EUC",E49=432))</formula>
    </cfRule>
    <cfRule type="expression" dxfId="1413" priority="1649">
      <formula>AND(E48="SS",E49&gt;216)</formula>
    </cfRule>
    <cfRule type="expression" dxfId="1412" priority="1650">
      <formula>(AND(E48="EUC",E49&gt;216))</formula>
    </cfRule>
    <cfRule type="expression" dxfId="1411" priority="1651">
      <formula>AND(E48="RPX",E49&gt;216)</formula>
    </cfRule>
  </conditionalFormatting>
  <conditionalFormatting sqref="E58:E75">
    <cfRule type="expression" dxfId="1410" priority="1647">
      <formula>AND(OR(C58="NO",C58="REV T",C58="DBL REV",C58="TPL REV",C58="QD REV"),E58&gt;12)</formula>
    </cfRule>
  </conditionalFormatting>
  <conditionalFormatting sqref="C58:C75">
    <cfRule type="expression" dxfId="1409" priority="1646">
      <formula>AND(OR(C59="FST",C59="REV T",C59="DBL REV",C59="TPL REV",C59="QD REV"),C58="Field SPL")</formula>
    </cfRule>
  </conditionalFormatting>
  <conditionalFormatting sqref="L90">
    <cfRule type="cellIs" dxfId="1408" priority="1642" operator="lessThan">
      <formula>$L$7</formula>
    </cfRule>
  </conditionalFormatting>
  <conditionalFormatting sqref="I89">
    <cfRule type="cellIs" dxfId="1407" priority="1641" operator="lessThan">
      <formula>0</formula>
    </cfRule>
  </conditionalFormatting>
  <conditionalFormatting sqref="H99:I123">
    <cfRule type="cellIs" dxfId="1406" priority="1640" operator="lessThan">
      <formula>0</formula>
    </cfRule>
  </conditionalFormatting>
  <conditionalFormatting sqref="E123">
    <cfRule type="expression" dxfId="1405" priority="1639">
      <formula>AND(OR(C123="NO",C123="REV T",C123="DBL REV",C123="TPL REV",C123="QD REV"),E123&gt;12)</formula>
    </cfRule>
  </conditionalFormatting>
  <conditionalFormatting sqref="B111:B123">
    <cfRule type="expression" dxfId="1404" priority="1637">
      <formula>Z111="error"</formula>
    </cfRule>
  </conditionalFormatting>
  <conditionalFormatting sqref="B111:B123">
    <cfRule type="expression" dxfId="1403" priority="1636">
      <formula>AA113="error"</formula>
    </cfRule>
  </conditionalFormatting>
  <conditionalFormatting sqref="E123">
    <cfRule type="expression" dxfId="1402" priority="1635">
      <formula>AND(OR(C123="NO",C123="REV T",C123="DBL REV",C123="TPL REV",C123="QD REV"),E123&gt;12)</formula>
    </cfRule>
  </conditionalFormatting>
  <conditionalFormatting sqref="E94">
    <cfRule type="expression" dxfId="1401" priority="1632">
      <formula>AND(E89="EUC",E90&gt;48,E94="Y")</formula>
    </cfRule>
    <cfRule type="expression" dxfId="1400" priority="1633">
      <formula>AND(E89="RPX",E90&gt;48,E94="Y")</formula>
    </cfRule>
    <cfRule type="expression" dxfId="1399" priority="1634">
      <formula>AND(E89="SS",E90&gt;48,E94="Y")</formula>
    </cfRule>
  </conditionalFormatting>
  <conditionalFormatting sqref="I93">
    <cfRule type="expression" dxfId="1398" priority="1629">
      <formula>I93=0</formula>
    </cfRule>
    <cfRule type="expression" dxfId="1397" priority="1630">
      <formula>MOD(I93,2)=0</formula>
    </cfRule>
  </conditionalFormatting>
  <conditionalFormatting sqref="E117:E122">
    <cfRule type="expression" dxfId="1396" priority="1628">
      <formula>AND(OR(C117="NO",C117="REV T",C117="DBL REV",C117="TPL REV",C117="QD REV"),E117&gt;12)</formula>
    </cfRule>
  </conditionalFormatting>
  <conditionalFormatting sqref="C117:C123">
    <cfRule type="expression" dxfId="1395" priority="1627">
      <formula>AND(OR(C118="FST",C118="REV T",C118="DBL REV",C118="TPL REV",C118="QD REV"),C117="Field SPL")</formula>
    </cfRule>
  </conditionalFormatting>
  <conditionalFormatting sqref="I88">
    <cfRule type="expression" dxfId="1394" priority="1626">
      <formula>AND(E89="EUC",E90=432,I88&gt;204)</formula>
    </cfRule>
  </conditionalFormatting>
  <conditionalFormatting sqref="E90">
    <cfRule type="expression" dxfId="1393" priority="1622">
      <formula>(AND(E89="EUC",E90=432))</formula>
    </cfRule>
    <cfRule type="expression" dxfId="1392" priority="1623">
      <formula>AND(E89="SS",E90&gt;216)</formula>
    </cfRule>
    <cfRule type="expression" dxfId="1391" priority="1624">
      <formula>(AND(E89="EUC",E90&gt;216))</formula>
    </cfRule>
    <cfRule type="expression" dxfId="1390" priority="1625">
      <formula>AND(E89="RPX",E90&gt;216)</formula>
    </cfRule>
  </conditionalFormatting>
  <conditionalFormatting sqref="E99:E116">
    <cfRule type="expression" dxfId="1389" priority="1621">
      <formula>AND(OR(C99="NO",C99="REV T",C99="DBL REV",C99="TPL REV",C99="QD REV"),E99&gt;12)</formula>
    </cfRule>
  </conditionalFormatting>
  <conditionalFormatting sqref="C99:C116">
    <cfRule type="expression" dxfId="1388" priority="1620">
      <formula>AND(OR(C100="FST",C100="REV T",C100="DBL REV",C100="TPL REV",C100="QD REV"),C99="Field SPL")</formula>
    </cfRule>
  </conditionalFormatting>
  <conditionalFormatting sqref="L131">
    <cfRule type="cellIs" dxfId="1387" priority="1616" operator="lessThan">
      <formula>$L$7</formula>
    </cfRule>
  </conditionalFormatting>
  <conditionalFormatting sqref="I130">
    <cfRule type="cellIs" dxfId="1386" priority="1615" operator="lessThan">
      <formula>0</formula>
    </cfRule>
  </conditionalFormatting>
  <conditionalFormatting sqref="H140:I164">
    <cfRule type="cellIs" dxfId="1385" priority="1614" operator="lessThan">
      <formula>0</formula>
    </cfRule>
  </conditionalFormatting>
  <conditionalFormatting sqref="E164">
    <cfRule type="expression" dxfId="1384" priority="1613">
      <formula>AND(OR(C164="NO",C164="REV T",C164="DBL REV",C164="TPL REV",C164="QD REV"),E164&gt;12)</formula>
    </cfRule>
  </conditionalFormatting>
  <conditionalFormatting sqref="B152:B164">
    <cfRule type="expression" dxfId="1383" priority="1611">
      <formula>Z152="error"</formula>
    </cfRule>
  </conditionalFormatting>
  <conditionalFormatting sqref="B152:B164">
    <cfRule type="expression" dxfId="1382" priority="1610">
      <formula>AA154="error"</formula>
    </cfRule>
  </conditionalFormatting>
  <conditionalFormatting sqref="E164">
    <cfRule type="expression" dxfId="1381" priority="1609">
      <formula>AND(OR(C164="NO",C164="REV T",C164="DBL REV",C164="TPL REV",C164="QD REV"),E164&gt;12)</formula>
    </cfRule>
  </conditionalFormatting>
  <conditionalFormatting sqref="E135">
    <cfRule type="expression" dxfId="1380" priority="1606">
      <formula>AND(E130="EUC",E131&gt;48,E135="Y")</formula>
    </cfRule>
    <cfRule type="expression" dxfId="1379" priority="1607">
      <formula>AND(E130="RPX",E131&gt;48,E135="Y")</formula>
    </cfRule>
    <cfRule type="expression" dxfId="1378" priority="1608">
      <formula>AND(E130="SS",E131&gt;48,E135="Y")</formula>
    </cfRule>
  </conditionalFormatting>
  <conditionalFormatting sqref="I134">
    <cfRule type="expression" dxfId="1377" priority="1603">
      <formula>I134=0</formula>
    </cfRule>
    <cfRule type="expression" dxfId="1376" priority="1604">
      <formula>MOD(I134,2)=0</formula>
    </cfRule>
  </conditionalFormatting>
  <conditionalFormatting sqref="E158:E163">
    <cfRule type="expression" dxfId="1375" priority="1602">
      <formula>AND(OR(C158="NO",C158="REV T",C158="DBL REV",C158="TPL REV",C158="QD REV"),E158&gt;12)</formula>
    </cfRule>
  </conditionalFormatting>
  <conditionalFormatting sqref="C158:C164">
    <cfRule type="expression" dxfId="1374" priority="1601">
      <formula>AND(OR(C159="FST",C159="REV T",C159="DBL REV",C159="TPL REV",C159="QD REV"),C158="Field SPL")</formula>
    </cfRule>
  </conditionalFormatting>
  <conditionalFormatting sqref="I129">
    <cfRule type="expression" dxfId="1373" priority="1600">
      <formula>AND(E130="EUC",E131=432,I129&gt;204)</formula>
    </cfRule>
  </conditionalFormatting>
  <conditionalFormatting sqref="E131">
    <cfRule type="expression" dxfId="1372" priority="1596">
      <formula>(AND(E130="EUC",E131=432))</formula>
    </cfRule>
    <cfRule type="expression" dxfId="1371" priority="1597">
      <formula>AND(E130="SS",E131&gt;216)</formula>
    </cfRule>
    <cfRule type="expression" dxfId="1370" priority="1598">
      <formula>(AND(E130="EUC",E131&gt;216))</formula>
    </cfRule>
    <cfRule type="expression" dxfId="1369" priority="1599">
      <formula>AND(E130="RPX",E131&gt;216)</formula>
    </cfRule>
  </conditionalFormatting>
  <conditionalFormatting sqref="E140:E157">
    <cfRule type="expression" dxfId="1368" priority="1595">
      <formula>AND(OR(C140="NO",C140="REV T",C140="DBL REV",C140="TPL REV",C140="QD REV"),E140&gt;12)</formula>
    </cfRule>
  </conditionalFormatting>
  <conditionalFormatting sqref="C140:C157">
    <cfRule type="expression" dxfId="1367" priority="1594">
      <formula>AND(OR(C141="FST",C141="REV T",C141="DBL REV",C141="TPL REV",C141="QD REV"),C140="Field SPL")</formula>
    </cfRule>
  </conditionalFormatting>
  <conditionalFormatting sqref="L172">
    <cfRule type="cellIs" dxfId="1366" priority="1590" operator="lessThan">
      <formula>$L$7</formula>
    </cfRule>
  </conditionalFormatting>
  <conditionalFormatting sqref="I171">
    <cfRule type="cellIs" dxfId="1365" priority="1589" operator="lessThan">
      <formula>0</formula>
    </cfRule>
  </conditionalFormatting>
  <conditionalFormatting sqref="H181:I205">
    <cfRule type="cellIs" dxfId="1364" priority="1588" operator="lessThan">
      <formula>0</formula>
    </cfRule>
  </conditionalFormatting>
  <conditionalFormatting sqref="E205">
    <cfRule type="expression" dxfId="1363" priority="1587">
      <formula>AND(OR(C205="NO",C205="REV T",C205="DBL REV",C205="TPL REV",C205="QD REV"),E205&gt;12)</formula>
    </cfRule>
  </conditionalFormatting>
  <conditionalFormatting sqref="B193:B205">
    <cfRule type="expression" dxfId="1362" priority="1585">
      <formula>Z193="error"</formula>
    </cfRule>
  </conditionalFormatting>
  <conditionalFormatting sqref="B193:B205">
    <cfRule type="expression" dxfId="1361" priority="1584">
      <formula>AA195="error"</formula>
    </cfRule>
  </conditionalFormatting>
  <conditionalFormatting sqref="E205">
    <cfRule type="expression" dxfId="1360" priority="1583">
      <formula>AND(OR(C205="NO",C205="REV T",C205="DBL REV",C205="TPL REV",C205="QD REV"),E205&gt;12)</formula>
    </cfRule>
  </conditionalFormatting>
  <conditionalFormatting sqref="E176">
    <cfRule type="expression" dxfId="1359" priority="1580">
      <formula>AND(E171="EUC",E172&gt;48,E176="Y")</formula>
    </cfRule>
    <cfRule type="expression" dxfId="1358" priority="1581">
      <formula>AND(E171="RPX",E172&gt;48,E176="Y")</formula>
    </cfRule>
    <cfRule type="expression" dxfId="1357" priority="1582">
      <formula>AND(E171="SS",E172&gt;48,E176="Y")</formula>
    </cfRule>
  </conditionalFormatting>
  <conditionalFormatting sqref="I175">
    <cfRule type="expression" dxfId="1356" priority="1577">
      <formula>I175=0</formula>
    </cfRule>
    <cfRule type="expression" dxfId="1355" priority="1578">
      <formula>MOD(I175,2)=0</formula>
    </cfRule>
  </conditionalFormatting>
  <conditionalFormatting sqref="E199:E204">
    <cfRule type="expression" dxfId="1354" priority="1576">
      <formula>AND(OR(C199="NO",C199="REV T",C199="DBL REV",C199="TPL REV",C199="QD REV"),E199&gt;12)</formula>
    </cfRule>
  </conditionalFormatting>
  <conditionalFormatting sqref="C199:C205">
    <cfRule type="expression" dxfId="1353" priority="1575">
      <formula>AND(OR(C200="FST",C200="REV T",C200="DBL REV",C200="TPL REV",C200="QD REV"),C199="Field SPL")</formula>
    </cfRule>
  </conditionalFormatting>
  <conditionalFormatting sqref="I170">
    <cfRule type="expression" dxfId="1352" priority="1574">
      <formula>AND(E171="EUC",E172=432,I170&gt;204)</formula>
    </cfRule>
  </conditionalFormatting>
  <conditionalFormatting sqref="E172">
    <cfRule type="expression" dxfId="1351" priority="1570">
      <formula>(AND(E171="EUC",E172=432))</formula>
    </cfRule>
    <cfRule type="expression" dxfId="1350" priority="1571">
      <formula>AND(E171="SS",E172&gt;216)</formula>
    </cfRule>
    <cfRule type="expression" dxfId="1349" priority="1572">
      <formula>(AND(E171="EUC",E172&gt;216))</formula>
    </cfRule>
    <cfRule type="expression" dxfId="1348" priority="1573">
      <formula>AND(E171="RPX",E172&gt;216)</formula>
    </cfRule>
  </conditionalFormatting>
  <conditionalFormatting sqref="E181:E198">
    <cfRule type="expression" dxfId="1347" priority="1569">
      <formula>AND(OR(C181="NO",C181="REV T",C181="DBL REV",C181="TPL REV",C181="QD REV"),E181&gt;12)</formula>
    </cfRule>
  </conditionalFormatting>
  <conditionalFormatting sqref="C181:C198">
    <cfRule type="expression" dxfId="1346" priority="1568">
      <formula>AND(OR(C182="FST",C182="REV T",C182="DBL REV",C182="TPL REV",C182="QD REV"),C181="Field SPL")</formula>
    </cfRule>
  </conditionalFormatting>
  <conditionalFormatting sqref="L213">
    <cfRule type="cellIs" dxfId="1345" priority="1564" operator="lessThan">
      <formula>$L$7</formula>
    </cfRule>
  </conditionalFormatting>
  <conditionalFormatting sqref="I212">
    <cfRule type="cellIs" dxfId="1344" priority="1563" operator="lessThan">
      <formula>0</formula>
    </cfRule>
  </conditionalFormatting>
  <conditionalFormatting sqref="H222:I246">
    <cfRule type="cellIs" dxfId="1343" priority="1562" operator="lessThan">
      <formula>0</formula>
    </cfRule>
  </conditionalFormatting>
  <conditionalFormatting sqref="E246">
    <cfRule type="expression" dxfId="1342" priority="1561">
      <formula>AND(OR(C246="NO",C246="REV T",C246="DBL REV",C246="TPL REV",C246="QD REV"),E246&gt;12)</formula>
    </cfRule>
  </conditionalFormatting>
  <conditionalFormatting sqref="B234:B246">
    <cfRule type="expression" dxfId="1341" priority="1559">
      <formula>Z234="error"</formula>
    </cfRule>
  </conditionalFormatting>
  <conditionalFormatting sqref="B234:B246">
    <cfRule type="expression" dxfId="1340" priority="1558">
      <formula>AA236="error"</formula>
    </cfRule>
  </conditionalFormatting>
  <conditionalFormatting sqref="E246">
    <cfRule type="expression" dxfId="1339" priority="1557">
      <formula>AND(OR(C246="NO",C246="REV T",C246="DBL REV",C246="TPL REV",C246="QD REV"),E246&gt;12)</formula>
    </cfRule>
  </conditionalFormatting>
  <conditionalFormatting sqref="E217">
    <cfRule type="expression" dxfId="1338" priority="1554">
      <formula>AND(E212="EUC",E213&gt;48,E217="Y")</formula>
    </cfRule>
    <cfRule type="expression" dxfId="1337" priority="1555">
      <formula>AND(E212="RPX",E213&gt;48,E217="Y")</formula>
    </cfRule>
    <cfRule type="expression" dxfId="1336" priority="1556">
      <formula>AND(E212="SS",E213&gt;48,E217="Y")</formula>
    </cfRule>
  </conditionalFormatting>
  <conditionalFormatting sqref="I216">
    <cfRule type="expression" dxfId="1335" priority="1551">
      <formula>I216=0</formula>
    </cfRule>
    <cfRule type="expression" dxfId="1334" priority="1552">
      <formula>MOD(I216,2)=0</formula>
    </cfRule>
  </conditionalFormatting>
  <conditionalFormatting sqref="E240:E245">
    <cfRule type="expression" dxfId="1333" priority="1550">
      <formula>AND(OR(C240="NO",C240="REV T",C240="DBL REV",C240="TPL REV",C240="QD REV"),E240&gt;12)</formula>
    </cfRule>
  </conditionalFormatting>
  <conditionalFormatting sqref="C240:C246">
    <cfRule type="expression" dxfId="1332" priority="1549">
      <formula>AND(OR(C241="FST",C241="REV T",C241="DBL REV",C241="TPL REV",C241="QD REV"),C240="Field SPL")</formula>
    </cfRule>
  </conditionalFormatting>
  <conditionalFormatting sqref="I211">
    <cfRule type="expression" dxfId="1331" priority="1548">
      <formula>AND(E212="EUC",E213=432,I211&gt;204)</formula>
    </cfRule>
  </conditionalFormatting>
  <conditionalFormatting sqref="E213">
    <cfRule type="expression" dxfId="1330" priority="1544">
      <formula>(AND(E212="EUC",E213=432))</formula>
    </cfRule>
    <cfRule type="expression" dxfId="1329" priority="1545">
      <formula>AND(E212="SS",E213&gt;216)</formula>
    </cfRule>
    <cfRule type="expression" dxfId="1328" priority="1546">
      <formula>(AND(E212="EUC",E213&gt;216))</formula>
    </cfRule>
    <cfRule type="expression" dxfId="1327" priority="1547">
      <formula>AND(E212="RPX",E213&gt;216)</formula>
    </cfRule>
  </conditionalFormatting>
  <conditionalFormatting sqref="E222:E239">
    <cfRule type="expression" dxfId="1326" priority="1543">
      <formula>AND(OR(C222="NO",C222="REV T",C222="DBL REV",C222="TPL REV",C222="QD REV"),E222&gt;12)</formula>
    </cfRule>
  </conditionalFormatting>
  <conditionalFormatting sqref="C222:C239">
    <cfRule type="expression" dxfId="1325" priority="1542">
      <formula>AND(OR(C223="FST",C223="REV T",C223="DBL REV",C223="TPL REV",C223="QD REV"),C222="Field SPL")</formula>
    </cfRule>
  </conditionalFormatting>
  <conditionalFormatting sqref="L254">
    <cfRule type="cellIs" dxfId="1324" priority="1538" operator="lessThan">
      <formula>$L$7</formula>
    </cfRule>
  </conditionalFormatting>
  <conditionalFormatting sqref="I253">
    <cfRule type="cellIs" dxfId="1323" priority="1537" operator="lessThan">
      <formula>0</formula>
    </cfRule>
  </conditionalFormatting>
  <conditionalFormatting sqref="H263:I287">
    <cfRule type="cellIs" dxfId="1322" priority="1536" operator="lessThan">
      <formula>0</formula>
    </cfRule>
  </conditionalFormatting>
  <conditionalFormatting sqref="E287">
    <cfRule type="expression" dxfId="1321" priority="1535">
      <formula>AND(OR(C287="NO",C287="REV T",C287="DBL REV",C287="TPL REV",C287="QD REV"),E287&gt;12)</formula>
    </cfRule>
  </conditionalFormatting>
  <conditionalFormatting sqref="B275:B287">
    <cfRule type="expression" dxfId="1320" priority="1533">
      <formula>Z275="error"</formula>
    </cfRule>
  </conditionalFormatting>
  <conditionalFormatting sqref="B275:B287">
    <cfRule type="expression" dxfId="1319" priority="1532">
      <formula>AA277="error"</formula>
    </cfRule>
  </conditionalFormatting>
  <conditionalFormatting sqref="E287">
    <cfRule type="expression" dxfId="1318" priority="1531">
      <formula>AND(OR(C287="NO",C287="REV T",C287="DBL REV",C287="TPL REV",C287="QD REV"),E287&gt;12)</formula>
    </cfRule>
  </conditionalFormatting>
  <conditionalFormatting sqref="E258">
    <cfRule type="expression" dxfId="1317" priority="1528">
      <formula>AND(E253="EUC",E254&gt;48,E258="Y")</formula>
    </cfRule>
    <cfRule type="expression" dxfId="1316" priority="1529">
      <formula>AND(E253="RPX",E254&gt;48,E258="Y")</formula>
    </cfRule>
    <cfRule type="expression" dxfId="1315" priority="1530">
      <formula>AND(E253="SS",E254&gt;48,E258="Y")</formula>
    </cfRule>
  </conditionalFormatting>
  <conditionalFormatting sqref="I257">
    <cfRule type="expression" dxfId="1314" priority="1525">
      <formula>I257=0</formula>
    </cfRule>
    <cfRule type="expression" dxfId="1313" priority="1526">
      <formula>MOD(I257,2)=0</formula>
    </cfRule>
  </conditionalFormatting>
  <conditionalFormatting sqref="E281:E286">
    <cfRule type="expression" dxfId="1312" priority="1524">
      <formula>AND(OR(C281="NO",C281="REV T",C281="DBL REV",C281="TPL REV",C281="QD REV"),E281&gt;12)</formula>
    </cfRule>
  </conditionalFormatting>
  <conditionalFormatting sqref="C281:C287">
    <cfRule type="expression" dxfId="1311" priority="1523">
      <formula>AND(OR(C282="FST",C282="REV T",C282="DBL REV",C282="TPL REV",C282="QD REV"),C281="Field SPL")</formula>
    </cfRule>
  </conditionalFormatting>
  <conditionalFormatting sqref="I252">
    <cfRule type="expression" dxfId="1310" priority="1522">
      <formula>AND(E253="EUC",E254=432,I252&gt;204)</formula>
    </cfRule>
  </conditionalFormatting>
  <conditionalFormatting sqref="E254">
    <cfRule type="expression" dxfId="1309" priority="1518">
      <formula>(AND(E253="EUC",E254=432))</formula>
    </cfRule>
    <cfRule type="expression" dxfId="1308" priority="1519">
      <formula>AND(E253="SS",E254&gt;216)</formula>
    </cfRule>
    <cfRule type="expression" dxfId="1307" priority="1520">
      <formula>(AND(E253="EUC",E254&gt;216))</formula>
    </cfRule>
    <cfRule type="expression" dxfId="1306" priority="1521">
      <formula>AND(E253="RPX",E254&gt;216)</formula>
    </cfRule>
  </conditionalFormatting>
  <conditionalFormatting sqref="E263:E280">
    <cfRule type="expression" dxfId="1305" priority="1517">
      <formula>AND(OR(C263="NO",C263="REV T",C263="DBL REV",C263="TPL REV",C263="QD REV"),E263&gt;12)</formula>
    </cfRule>
  </conditionalFormatting>
  <conditionalFormatting sqref="C263:C280">
    <cfRule type="expression" dxfId="1304" priority="1516">
      <formula>AND(OR(C264="FST",C264="REV T",C264="DBL REV",C264="TPL REV",C264="QD REV"),C263="Field SPL")</formula>
    </cfRule>
  </conditionalFormatting>
  <conditionalFormatting sqref="L295">
    <cfRule type="cellIs" dxfId="1303" priority="1512" operator="lessThan">
      <formula>$L$7</formula>
    </cfRule>
  </conditionalFormatting>
  <conditionalFormatting sqref="I294">
    <cfRule type="cellIs" dxfId="1302" priority="1511" operator="lessThan">
      <formula>0</formula>
    </cfRule>
  </conditionalFormatting>
  <conditionalFormatting sqref="H304:I328">
    <cfRule type="cellIs" dxfId="1301" priority="1510" operator="lessThan">
      <formula>0</formula>
    </cfRule>
  </conditionalFormatting>
  <conditionalFormatting sqref="E328">
    <cfRule type="expression" dxfId="1300" priority="1509">
      <formula>AND(OR(C328="NO",C328="REV T",C328="DBL REV",C328="TPL REV",C328="QD REV"),E328&gt;12)</formula>
    </cfRule>
  </conditionalFormatting>
  <conditionalFormatting sqref="B316:B328">
    <cfRule type="expression" dxfId="1299" priority="1507">
      <formula>Z316="error"</formula>
    </cfRule>
  </conditionalFormatting>
  <conditionalFormatting sqref="B316:B328">
    <cfRule type="expression" dxfId="1298" priority="1506">
      <formula>AA318="error"</formula>
    </cfRule>
  </conditionalFormatting>
  <conditionalFormatting sqref="E328">
    <cfRule type="expression" dxfId="1297" priority="1505">
      <formula>AND(OR(C328="NO",C328="REV T",C328="DBL REV",C328="TPL REV",C328="QD REV"),E328&gt;12)</formula>
    </cfRule>
  </conditionalFormatting>
  <conditionalFormatting sqref="E299">
    <cfRule type="expression" dxfId="1296" priority="1502">
      <formula>AND(E294="EUC",E295&gt;48,E299="Y")</formula>
    </cfRule>
    <cfRule type="expression" dxfId="1295" priority="1503">
      <formula>AND(E294="RPX",E295&gt;48,E299="Y")</formula>
    </cfRule>
    <cfRule type="expression" dxfId="1294" priority="1504">
      <formula>AND(E294="SS",E295&gt;48,E299="Y")</formula>
    </cfRule>
  </conditionalFormatting>
  <conditionalFormatting sqref="I298">
    <cfRule type="expression" dxfId="1293" priority="1499">
      <formula>I298=0</formula>
    </cfRule>
    <cfRule type="expression" dxfId="1292" priority="1500">
      <formula>MOD(I298,2)=0</formula>
    </cfRule>
  </conditionalFormatting>
  <conditionalFormatting sqref="E322:E327">
    <cfRule type="expression" dxfId="1291" priority="1498">
      <formula>AND(OR(C322="NO",C322="REV T",C322="DBL REV",C322="TPL REV",C322="QD REV"),E322&gt;12)</formula>
    </cfRule>
  </conditionalFormatting>
  <conditionalFormatting sqref="C322:C328">
    <cfRule type="expression" dxfId="1290" priority="1497">
      <formula>AND(OR(C323="FST",C323="REV T",C323="DBL REV",C323="TPL REV",C323="QD REV"),C322="Field SPL")</formula>
    </cfRule>
  </conditionalFormatting>
  <conditionalFormatting sqref="I293">
    <cfRule type="expression" dxfId="1289" priority="1496">
      <formula>AND(E294="EUC",E295=432,I293&gt;204)</formula>
    </cfRule>
  </conditionalFormatting>
  <conditionalFormatting sqref="E295">
    <cfRule type="expression" dxfId="1288" priority="1492">
      <formula>(AND(E294="EUC",E295=432))</formula>
    </cfRule>
    <cfRule type="expression" dxfId="1287" priority="1493">
      <formula>AND(E294="SS",E295&gt;216)</formula>
    </cfRule>
    <cfRule type="expression" dxfId="1286" priority="1494">
      <formula>(AND(E294="EUC",E295&gt;216))</formula>
    </cfRule>
    <cfRule type="expression" dxfId="1285" priority="1495">
      <formula>AND(E294="RPX",E295&gt;216)</formula>
    </cfRule>
  </conditionalFormatting>
  <conditionalFormatting sqref="E304:E321">
    <cfRule type="expression" dxfId="1284" priority="1491">
      <formula>AND(OR(C304="NO",C304="REV T",C304="DBL REV",C304="TPL REV",C304="QD REV"),E304&gt;12)</formula>
    </cfRule>
  </conditionalFormatting>
  <conditionalFormatting sqref="C304:C321">
    <cfRule type="expression" dxfId="1283" priority="1490">
      <formula>AND(OR(C305="FST",C305="REV T",C305="DBL REV",C305="TPL REV",C305="QD REV"),C304="Field SPL")</formula>
    </cfRule>
  </conditionalFormatting>
  <conditionalFormatting sqref="L336">
    <cfRule type="cellIs" dxfId="1282" priority="1486" operator="lessThan">
      <formula>$L$7</formula>
    </cfRule>
  </conditionalFormatting>
  <conditionalFormatting sqref="I335">
    <cfRule type="cellIs" dxfId="1281" priority="1485" operator="lessThan">
      <formula>0</formula>
    </cfRule>
  </conditionalFormatting>
  <conditionalFormatting sqref="H345:I369">
    <cfRule type="cellIs" dxfId="1280" priority="1484" operator="lessThan">
      <formula>0</formula>
    </cfRule>
  </conditionalFormatting>
  <conditionalFormatting sqref="E369">
    <cfRule type="expression" dxfId="1279" priority="1483">
      <formula>AND(OR(C369="NO",C369="REV T",C369="DBL REV",C369="TPL REV",C369="QD REV"),E369&gt;12)</formula>
    </cfRule>
  </conditionalFormatting>
  <conditionalFormatting sqref="B357:B369">
    <cfRule type="expression" dxfId="1278" priority="1481">
      <formula>Z357="error"</formula>
    </cfRule>
  </conditionalFormatting>
  <conditionalFormatting sqref="B357:B369">
    <cfRule type="expression" dxfId="1277" priority="1480">
      <formula>AA359="error"</formula>
    </cfRule>
  </conditionalFormatting>
  <conditionalFormatting sqref="E369">
    <cfRule type="expression" dxfId="1276" priority="1479">
      <formula>AND(OR(C369="NO",C369="REV T",C369="DBL REV",C369="TPL REV",C369="QD REV"),E369&gt;12)</formula>
    </cfRule>
  </conditionalFormatting>
  <conditionalFormatting sqref="E340">
    <cfRule type="expression" dxfId="1275" priority="1476">
      <formula>AND(E335="EUC",E336&gt;48,E340="Y")</formula>
    </cfRule>
    <cfRule type="expression" dxfId="1274" priority="1477">
      <formula>AND(E335="RPX",E336&gt;48,E340="Y")</formula>
    </cfRule>
    <cfRule type="expression" dxfId="1273" priority="1478">
      <formula>AND(E335="SS",E336&gt;48,E340="Y")</formula>
    </cfRule>
  </conditionalFormatting>
  <conditionalFormatting sqref="I339">
    <cfRule type="expression" dxfId="1272" priority="1473">
      <formula>I339=0</formula>
    </cfRule>
    <cfRule type="expression" dxfId="1271" priority="1474">
      <formula>MOD(I339,2)=0</formula>
    </cfRule>
  </conditionalFormatting>
  <conditionalFormatting sqref="E363:E368">
    <cfRule type="expression" dxfId="1270" priority="1472">
      <formula>AND(OR(C363="NO",C363="REV T",C363="DBL REV",C363="TPL REV",C363="QD REV"),E363&gt;12)</formula>
    </cfRule>
  </conditionalFormatting>
  <conditionalFormatting sqref="C363:C369">
    <cfRule type="expression" dxfId="1269" priority="1471">
      <formula>AND(OR(C364="FST",C364="REV T",C364="DBL REV",C364="TPL REV",C364="QD REV"),C363="Field SPL")</formula>
    </cfRule>
  </conditionalFormatting>
  <conditionalFormatting sqref="I334">
    <cfRule type="expression" dxfId="1268" priority="1470">
      <formula>AND(E335="EUC",E336=432,I334&gt;204)</formula>
    </cfRule>
  </conditionalFormatting>
  <conditionalFormatting sqref="E336">
    <cfRule type="expression" dxfId="1267" priority="1466">
      <formula>(AND(E335="EUC",E336=432))</formula>
    </cfRule>
    <cfRule type="expression" dxfId="1266" priority="1467">
      <formula>AND(E335="SS",E336&gt;216)</formula>
    </cfRule>
    <cfRule type="expression" dxfId="1265" priority="1468">
      <formula>(AND(E335="EUC",E336&gt;216))</formula>
    </cfRule>
    <cfRule type="expression" dxfId="1264" priority="1469">
      <formula>AND(E335="RPX",E336&gt;216)</formula>
    </cfRule>
  </conditionalFormatting>
  <conditionalFormatting sqref="E345:E362">
    <cfRule type="expression" dxfId="1263" priority="1465">
      <formula>AND(OR(C345="NO",C345="REV T",C345="DBL REV",C345="TPL REV",C345="QD REV"),E345&gt;12)</formula>
    </cfRule>
  </conditionalFormatting>
  <conditionalFormatting sqref="C345:C362">
    <cfRule type="expression" dxfId="1262" priority="1464">
      <formula>AND(OR(C346="FST",C346="REV T",C346="DBL REV",C346="TPL REV",C346="QD REV"),C345="Field SPL")</formula>
    </cfRule>
  </conditionalFormatting>
  <conditionalFormatting sqref="L377">
    <cfRule type="cellIs" dxfId="1261" priority="1460" operator="lessThan">
      <formula>$L$7</formula>
    </cfRule>
  </conditionalFormatting>
  <conditionalFormatting sqref="I376">
    <cfRule type="cellIs" dxfId="1260" priority="1459" operator="lessThan">
      <formula>0</formula>
    </cfRule>
  </conditionalFormatting>
  <conditionalFormatting sqref="H386:I410">
    <cfRule type="cellIs" dxfId="1259" priority="1458" operator="lessThan">
      <formula>0</formula>
    </cfRule>
  </conditionalFormatting>
  <conditionalFormatting sqref="E410">
    <cfRule type="expression" dxfId="1258" priority="1457">
      <formula>AND(OR(C410="NO",C410="REV T",C410="DBL REV",C410="TPL REV",C410="QD REV"),E410&gt;12)</formula>
    </cfRule>
  </conditionalFormatting>
  <conditionalFormatting sqref="B398:B410">
    <cfRule type="expression" dxfId="1257" priority="1455">
      <formula>Z398="error"</formula>
    </cfRule>
  </conditionalFormatting>
  <conditionalFormatting sqref="B398:B410">
    <cfRule type="expression" dxfId="1256" priority="1454">
      <formula>AA400="error"</formula>
    </cfRule>
  </conditionalFormatting>
  <conditionalFormatting sqref="E410">
    <cfRule type="expression" dxfId="1255" priority="1453">
      <formula>AND(OR(C410="NO",C410="REV T",C410="DBL REV",C410="TPL REV",C410="QD REV"),E410&gt;12)</formula>
    </cfRule>
  </conditionalFormatting>
  <conditionalFormatting sqref="E381">
    <cfRule type="expression" dxfId="1254" priority="1450">
      <formula>AND(E376="EUC",E377&gt;48,E381="Y")</formula>
    </cfRule>
    <cfRule type="expression" dxfId="1253" priority="1451">
      <formula>AND(E376="RPX",E377&gt;48,E381="Y")</formula>
    </cfRule>
    <cfRule type="expression" dxfId="1252" priority="1452">
      <formula>AND(E376="SS",E377&gt;48,E381="Y")</formula>
    </cfRule>
  </conditionalFormatting>
  <conditionalFormatting sqref="I380">
    <cfRule type="expression" dxfId="1251" priority="1447">
      <formula>I380=0</formula>
    </cfRule>
    <cfRule type="expression" dxfId="1250" priority="1448">
      <formula>MOD(I380,2)=0</formula>
    </cfRule>
  </conditionalFormatting>
  <conditionalFormatting sqref="E404:E409">
    <cfRule type="expression" dxfId="1249" priority="1446">
      <formula>AND(OR(C404="NO",C404="REV T",C404="DBL REV",C404="TPL REV",C404="QD REV"),E404&gt;12)</formula>
    </cfRule>
  </conditionalFormatting>
  <conditionalFormatting sqref="C404:C410">
    <cfRule type="expression" dxfId="1248" priority="1445">
      <formula>AND(OR(C405="FST",C405="REV T",C405="DBL REV",C405="TPL REV",C405="QD REV"),C404="Field SPL")</formula>
    </cfRule>
  </conditionalFormatting>
  <conditionalFormatting sqref="I375">
    <cfRule type="expression" dxfId="1247" priority="1444">
      <formula>AND(E376="EUC",E377=432,I375&gt;204)</formula>
    </cfRule>
  </conditionalFormatting>
  <conditionalFormatting sqref="E377">
    <cfRule type="expression" dxfId="1246" priority="1440">
      <formula>(AND(E376="EUC",E377=432))</formula>
    </cfRule>
    <cfRule type="expression" dxfId="1245" priority="1441">
      <formula>AND(E376="SS",E377&gt;216)</formula>
    </cfRule>
    <cfRule type="expression" dxfId="1244" priority="1442">
      <formula>(AND(E376="EUC",E377&gt;216))</formula>
    </cfRule>
    <cfRule type="expression" dxfId="1243" priority="1443">
      <formula>AND(E376="RPX",E377&gt;216)</formula>
    </cfRule>
  </conditionalFormatting>
  <conditionalFormatting sqref="E386:E403">
    <cfRule type="expression" dxfId="1242" priority="1439">
      <formula>AND(OR(C386="NO",C386="REV T",C386="DBL REV",C386="TPL REV",C386="QD REV"),E386&gt;12)</formula>
    </cfRule>
  </conditionalFormatting>
  <conditionalFormatting sqref="C386:C403">
    <cfRule type="expression" dxfId="1241" priority="1438">
      <formula>AND(OR(C387="FST",C387="REV T",C387="DBL REV",C387="TPL REV",C387="QD REV"),C386="Field SPL")</formula>
    </cfRule>
  </conditionalFormatting>
  <conditionalFormatting sqref="L418">
    <cfRule type="cellIs" dxfId="1240" priority="1434" operator="lessThan">
      <formula>$L$7</formula>
    </cfRule>
  </conditionalFormatting>
  <conditionalFormatting sqref="I417">
    <cfRule type="cellIs" dxfId="1239" priority="1433" operator="lessThan">
      <formula>0</formula>
    </cfRule>
  </conditionalFormatting>
  <conditionalFormatting sqref="H427:I451">
    <cfRule type="cellIs" dxfId="1238" priority="1432" operator="lessThan">
      <formula>0</formula>
    </cfRule>
  </conditionalFormatting>
  <conditionalFormatting sqref="E451">
    <cfRule type="expression" dxfId="1237" priority="1431">
      <formula>AND(OR(C451="NO",C451="REV T",C451="DBL REV",C451="TPL REV",C451="QD REV"),E451&gt;12)</formula>
    </cfRule>
  </conditionalFormatting>
  <conditionalFormatting sqref="B439:B451">
    <cfRule type="expression" dxfId="1236" priority="1429">
      <formula>Z439="error"</formula>
    </cfRule>
  </conditionalFormatting>
  <conditionalFormatting sqref="B439:B451">
    <cfRule type="expression" dxfId="1235" priority="1428">
      <formula>AA441="error"</formula>
    </cfRule>
  </conditionalFormatting>
  <conditionalFormatting sqref="E451">
    <cfRule type="expression" dxfId="1234" priority="1427">
      <formula>AND(OR(C451="NO",C451="REV T",C451="DBL REV",C451="TPL REV",C451="QD REV"),E451&gt;12)</formula>
    </cfRule>
  </conditionalFormatting>
  <conditionalFormatting sqref="E422">
    <cfRule type="expression" dxfId="1233" priority="1424">
      <formula>AND(E417="EUC",E418&gt;48,E422="Y")</formula>
    </cfRule>
    <cfRule type="expression" dxfId="1232" priority="1425">
      <formula>AND(E417="RPX",E418&gt;48,E422="Y")</formula>
    </cfRule>
    <cfRule type="expression" dxfId="1231" priority="1426">
      <formula>AND(E417="SS",E418&gt;48,E422="Y")</formula>
    </cfRule>
  </conditionalFormatting>
  <conditionalFormatting sqref="I421">
    <cfRule type="expression" dxfId="1230" priority="1421">
      <formula>I421=0</formula>
    </cfRule>
    <cfRule type="expression" dxfId="1229" priority="1422">
      <formula>MOD(I421,2)=0</formula>
    </cfRule>
  </conditionalFormatting>
  <conditionalFormatting sqref="E445:E450">
    <cfRule type="expression" dxfId="1228" priority="1420">
      <formula>AND(OR(C445="NO",C445="REV T",C445="DBL REV",C445="TPL REV",C445="QD REV"),E445&gt;12)</formula>
    </cfRule>
  </conditionalFormatting>
  <conditionalFormatting sqref="C445:C451">
    <cfRule type="expression" dxfId="1227" priority="1419">
      <formula>AND(OR(C446="FST",C446="REV T",C446="DBL REV",C446="TPL REV",C446="QD REV"),C445="Field SPL")</formula>
    </cfRule>
  </conditionalFormatting>
  <conditionalFormatting sqref="I416">
    <cfRule type="expression" dxfId="1226" priority="1418">
      <formula>AND(E417="EUC",E418=432,I416&gt;204)</formula>
    </cfRule>
  </conditionalFormatting>
  <conditionalFormatting sqref="E418">
    <cfRule type="expression" dxfId="1225" priority="1414">
      <formula>(AND(E417="EUC",E418=432))</formula>
    </cfRule>
    <cfRule type="expression" dxfId="1224" priority="1415">
      <formula>AND(E417="SS",E418&gt;216)</formula>
    </cfRule>
    <cfRule type="expression" dxfId="1223" priority="1416">
      <formula>(AND(E417="EUC",E418&gt;216))</formula>
    </cfRule>
    <cfRule type="expression" dxfId="1222" priority="1417">
      <formula>AND(E417="RPX",E418&gt;216)</formula>
    </cfRule>
  </conditionalFormatting>
  <conditionalFormatting sqref="E427:E444">
    <cfRule type="expression" dxfId="1221" priority="1413">
      <formula>AND(OR(C427="NO",C427="REV T",C427="DBL REV",C427="TPL REV",C427="QD REV"),E427&gt;12)</formula>
    </cfRule>
  </conditionalFormatting>
  <conditionalFormatting sqref="C427:C444">
    <cfRule type="expression" dxfId="1220" priority="1412">
      <formula>AND(OR(C428="FST",C428="REV T",C428="DBL REV",C428="TPL REV",C428="QD REV"),C427="Field SPL")</formula>
    </cfRule>
  </conditionalFormatting>
  <conditionalFormatting sqref="L459">
    <cfRule type="cellIs" dxfId="1219" priority="1408" operator="lessThan">
      <formula>$L$7</formula>
    </cfRule>
  </conditionalFormatting>
  <conditionalFormatting sqref="I458">
    <cfRule type="cellIs" dxfId="1218" priority="1407" operator="lessThan">
      <formula>0</formula>
    </cfRule>
  </conditionalFormatting>
  <conditionalFormatting sqref="H468:I492">
    <cfRule type="cellIs" dxfId="1217" priority="1406" operator="lessThan">
      <formula>0</formula>
    </cfRule>
  </conditionalFormatting>
  <conditionalFormatting sqref="E492">
    <cfRule type="expression" dxfId="1216" priority="1405">
      <formula>AND(OR(C492="NO",C492="REV T",C492="DBL REV",C492="TPL REV",C492="QD REV"),E492&gt;12)</formula>
    </cfRule>
  </conditionalFormatting>
  <conditionalFormatting sqref="B480:B492">
    <cfRule type="expression" dxfId="1215" priority="1403">
      <formula>Z480="error"</formula>
    </cfRule>
  </conditionalFormatting>
  <conditionalFormatting sqref="B480:B492">
    <cfRule type="expression" dxfId="1214" priority="1402">
      <formula>AA482="error"</formula>
    </cfRule>
  </conditionalFormatting>
  <conditionalFormatting sqref="E492">
    <cfRule type="expression" dxfId="1213" priority="1401">
      <formula>AND(OR(C492="NO",C492="REV T",C492="DBL REV",C492="TPL REV",C492="QD REV"),E492&gt;12)</formula>
    </cfRule>
  </conditionalFormatting>
  <conditionalFormatting sqref="E463">
    <cfRule type="expression" dxfId="1212" priority="1398">
      <formula>AND(E458="EUC",E459&gt;48,E463="Y")</formula>
    </cfRule>
    <cfRule type="expression" dxfId="1211" priority="1399">
      <formula>AND(E458="RPX",E459&gt;48,E463="Y")</formula>
    </cfRule>
    <cfRule type="expression" dxfId="1210" priority="1400">
      <formula>AND(E458="SS",E459&gt;48,E463="Y")</formula>
    </cfRule>
  </conditionalFormatting>
  <conditionalFormatting sqref="I462">
    <cfRule type="expression" dxfId="1209" priority="1395">
      <formula>I462=0</formula>
    </cfRule>
    <cfRule type="expression" dxfId="1208" priority="1396">
      <formula>MOD(I462,2)=0</formula>
    </cfRule>
  </conditionalFormatting>
  <conditionalFormatting sqref="E486:E491">
    <cfRule type="expression" dxfId="1207" priority="1394">
      <formula>AND(OR(C486="NO",C486="REV T",C486="DBL REV",C486="TPL REV",C486="QD REV"),E486&gt;12)</formula>
    </cfRule>
  </conditionalFormatting>
  <conditionalFormatting sqref="C486:C492">
    <cfRule type="expression" dxfId="1206" priority="1393">
      <formula>AND(OR(C487="FST",C487="REV T",C487="DBL REV",C487="TPL REV",C487="QD REV"),C486="Field SPL")</formula>
    </cfRule>
  </conditionalFormatting>
  <conditionalFormatting sqref="I457">
    <cfRule type="expression" dxfId="1205" priority="1392">
      <formula>AND(E458="EUC",E459=432,I457&gt;204)</formula>
    </cfRule>
  </conditionalFormatting>
  <conditionalFormatting sqref="E459">
    <cfRule type="expression" dxfId="1204" priority="1388">
      <formula>(AND(E458="EUC",E459=432))</formula>
    </cfRule>
    <cfRule type="expression" dxfId="1203" priority="1389">
      <formula>AND(E458="SS",E459&gt;216)</formula>
    </cfRule>
    <cfRule type="expression" dxfId="1202" priority="1390">
      <formula>(AND(E458="EUC",E459&gt;216))</formula>
    </cfRule>
    <cfRule type="expression" dxfId="1201" priority="1391">
      <formula>AND(E458="RPX",E459&gt;216)</formula>
    </cfRule>
  </conditionalFormatting>
  <conditionalFormatting sqref="E468:E485">
    <cfRule type="expression" dxfId="1200" priority="1387">
      <formula>AND(OR(C468="NO",C468="REV T",C468="DBL REV",C468="TPL REV",C468="QD REV"),E468&gt;12)</formula>
    </cfRule>
  </conditionalFormatting>
  <conditionalFormatting sqref="C468:C485">
    <cfRule type="expression" dxfId="1199" priority="1386">
      <formula>AND(OR(C469="FST",C469="REV T",C469="DBL REV",C469="TPL REV",C469="QD REV"),C468="Field SPL")</formula>
    </cfRule>
  </conditionalFormatting>
  <conditionalFormatting sqref="L500">
    <cfRule type="cellIs" dxfId="1198" priority="1382" operator="lessThan">
      <formula>$L$7</formula>
    </cfRule>
  </conditionalFormatting>
  <conditionalFormatting sqref="I499">
    <cfRule type="cellIs" dxfId="1197" priority="1381" operator="lessThan">
      <formula>0</formula>
    </cfRule>
  </conditionalFormatting>
  <conditionalFormatting sqref="H509:I533">
    <cfRule type="cellIs" dxfId="1196" priority="1380" operator="lessThan">
      <formula>0</formula>
    </cfRule>
  </conditionalFormatting>
  <conditionalFormatting sqref="E533">
    <cfRule type="expression" dxfId="1195" priority="1379">
      <formula>AND(OR(C533="NO",C533="REV T",C533="DBL REV",C533="TPL REV",C533="QD REV"),E533&gt;12)</formula>
    </cfRule>
  </conditionalFormatting>
  <conditionalFormatting sqref="B521:B533">
    <cfRule type="expression" dxfId="1194" priority="1377">
      <formula>Z521="error"</formula>
    </cfRule>
  </conditionalFormatting>
  <conditionalFormatting sqref="B521:B533">
    <cfRule type="expression" dxfId="1193" priority="1376">
      <formula>AA523="error"</formula>
    </cfRule>
  </conditionalFormatting>
  <conditionalFormatting sqref="E533">
    <cfRule type="expression" dxfId="1192" priority="1375">
      <formula>AND(OR(C533="NO",C533="REV T",C533="DBL REV",C533="TPL REV",C533="QD REV"),E533&gt;12)</formula>
    </cfRule>
  </conditionalFormatting>
  <conditionalFormatting sqref="E504">
    <cfRule type="expression" dxfId="1191" priority="1372">
      <formula>AND(E499="EUC",E500&gt;48,E504="Y")</formula>
    </cfRule>
    <cfRule type="expression" dxfId="1190" priority="1373">
      <formula>AND(E499="RPX",E500&gt;48,E504="Y")</formula>
    </cfRule>
    <cfRule type="expression" dxfId="1189" priority="1374">
      <formula>AND(E499="SS",E500&gt;48,E504="Y")</formula>
    </cfRule>
  </conditionalFormatting>
  <conditionalFormatting sqref="I503">
    <cfRule type="expression" dxfId="1188" priority="1369">
      <formula>I503=0</formula>
    </cfRule>
    <cfRule type="expression" dxfId="1187" priority="1370">
      <formula>MOD(I503,2)=0</formula>
    </cfRule>
  </conditionalFormatting>
  <conditionalFormatting sqref="E527:E532">
    <cfRule type="expression" dxfId="1186" priority="1368">
      <formula>AND(OR(C527="NO",C527="REV T",C527="DBL REV",C527="TPL REV",C527="QD REV"),E527&gt;12)</formula>
    </cfRule>
  </conditionalFormatting>
  <conditionalFormatting sqref="C527:C533">
    <cfRule type="expression" dxfId="1185" priority="1367">
      <formula>AND(OR(C528="FST",C528="REV T",C528="DBL REV",C528="TPL REV",C528="QD REV"),C527="Field SPL")</formula>
    </cfRule>
  </conditionalFormatting>
  <conditionalFormatting sqref="I498">
    <cfRule type="expression" dxfId="1184" priority="1366">
      <formula>AND(E499="EUC",E500=432,I498&gt;204)</formula>
    </cfRule>
  </conditionalFormatting>
  <conditionalFormatting sqref="E500">
    <cfRule type="expression" dxfId="1183" priority="1362">
      <formula>(AND(E499="EUC",E500=432))</formula>
    </cfRule>
    <cfRule type="expression" dxfId="1182" priority="1363">
      <formula>AND(E499="SS",E500&gt;216)</formula>
    </cfRule>
    <cfRule type="expression" dxfId="1181" priority="1364">
      <formula>(AND(E499="EUC",E500&gt;216))</formula>
    </cfRule>
    <cfRule type="expression" dxfId="1180" priority="1365">
      <formula>AND(E499="RPX",E500&gt;216)</formula>
    </cfRule>
  </conditionalFormatting>
  <conditionalFormatting sqref="E509:E526">
    <cfRule type="expression" dxfId="1179" priority="1361">
      <formula>AND(OR(C509="NO",C509="REV T",C509="DBL REV",C509="TPL REV",C509="QD REV"),E509&gt;12)</formula>
    </cfRule>
  </conditionalFormatting>
  <conditionalFormatting sqref="C509:C526">
    <cfRule type="expression" dxfId="1178" priority="1360">
      <formula>AND(OR(C510="FST",C510="REV T",C510="DBL REV",C510="TPL REV",C510="QD REV"),C509="Field SPL")</formula>
    </cfRule>
  </conditionalFormatting>
  <conditionalFormatting sqref="L541">
    <cfRule type="cellIs" dxfId="1177" priority="1356" operator="lessThan">
      <formula>$L$7</formula>
    </cfRule>
  </conditionalFormatting>
  <conditionalFormatting sqref="I540">
    <cfRule type="cellIs" dxfId="1176" priority="1355" operator="lessThan">
      <formula>0</formula>
    </cfRule>
  </conditionalFormatting>
  <conditionalFormatting sqref="H550:I574">
    <cfRule type="cellIs" dxfId="1175" priority="1354" operator="lessThan">
      <formula>0</formula>
    </cfRule>
  </conditionalFormatting>
  <conditionalFormatting sqref="E574">
    <cfRule type="expression" dxfId="1174" priority="1353">
      <formula>AND(OR(C574="NO",C574="REV T",C574="DBL REV",C574="TPL REV",C574="QD REV"),E574&gt;12)</formula>
    </cfRule>
  </conditionalFormatting>
  <conditionalFormatting sqref="B562:B574">
    <cfRule type="expression" dxfId="1173" priority="1351">
      <formula>Z562="error"</formula>
    </cfRule>
  </conditionalFormatting>
  <conditionalFormatting sqref="B562:B574">
    <cfRule type="expression" dxfId="1172" priority="1350">
      <formula>AA564="error"</formula>
    </cfRule>
  </conditionalFormatting>
  <conditionalFormatting sqref="E574">
    <cfRule type="expression" dxfId="1171" priority="1349">
      <formula>AND(OR(C574="NO",C574="REV T",C574="DBL REV",C574="TPL REV",C574="QD REV"),E574&gt;12)</formula>
    </cfRule>
  </conditionalFormatting>
  <conditionalFormatting sqref="E545">
    <cfRule type="expression" dxfId="1170" priority="1346">
      <formula>AND(E540="EUC",E541&gt;48,E545="Y")</formula>
    </cfRule>
    <cfRule type="expression" dxfId="1169" priority="1347">
      <formula>AND(E540="RPX",E541&gt;48,E545="Y")</formula>
    </cfRule>
    <cfRule type="expression" dxfId="1168" priority="1348">
      <formula>AND(E540="SS",E541&gt;48,E545="Y")</formula>
    </cfRule>
  </conditionalFormatting>
  <conditionalFormatting sqref="I544">
    <cfRule type="expression" dxfId="1167" priority="1343">
      <formula>I544=0</formula>
    </cfRule>
    <cfRule type="expression" dxfId="1166" priority="1344">
      <formula>MOD(I544,2)=0</formula>
    </cfRule>
  </conditionalFormatting>
  <conditionalFormatting sqref="E568:E573">
    <cfRule type="expression" dxfId="1165" priority="1342">
      <formula>AND(OR(C568="NO",C568="REV T",C568="DBL REV",C568="TPL REV",C568="QD REV"),E568&gt;12)</formula>
    </cfRule>
  </conditionalFormatting>
  <conditionalFormatting sqref="C568:C574">
    <cfRule type="expression" dxfId="1164" priority="1341">
      <formula>AND(OR(C569="FST",C569="REV T",C569="DBL REV",C569="TPL REV",C569="QD REV"),C568="Field SPL")</formula>
    </cfRule>
  </conditionalFormatting>
  <conditionalFormatting sqref="I539">
    <cfRule type="expression" dxfId="1163" priority="1340">
      <formula>AND(E540="EUC",E541=432,I539&gt;204)</formula>
    </cfRule>
  </conditionalFormatting>
  <conditionalFormatting sqref="E541">
    <cfRule type="expression" dxfId="1162" priority="1336">
      <formula>(AND(E540="EUC",E541=432))</formula>
    </cfRule>
    <cfRule type="expression" dxfId="1161" priority="1337">
      <formula>AND(E540="SS",E541&gt;216)</formula>
    </cfRule>
    <cfRule type="expression" dxfId="1160" priority="1338">
      <formula>(AND(E540="EUC",E541&gt;216))</formula>
    </cfRule>
    <cfRule type="expression" dxfId="1159" priority="1339">
      <formula>AND(E540="RPX",E541&gt;216)</formula>
    </cfRule>
  </conditionalFormatting>
  <conditionalFormatting sqref="E550:E567">
    <cfRule type="expression" dxfId="1158" priority="1335">
      <formula>AND(OR(C550="NO",C550="REV T",C550="DBL REV",C550="TPL REV",C550="QD REV"),E550&gt;12)</formula>
    </cfRule>
  </conditionalFormatting>
  <conditionalFormatting sqref="C550:C567">
    <cfRule type="expression" dxfId="1157" priority="1334">
      <formula>AND(OR(C551="FST",C551="REV T",C551="DBL REV",C551="TPL REV",C551="QD REV"),C550="Field SPL")</formula>
    </cfRule>
  </conditionalFormatting>
  <conditionalFormatting sqref="L582">
    <cfRule type="cellIs" dxfId="1156" priority="1330" operator="lessThan">
      <formula>$L$7</formula>
    </cfRule>
  </conditionalFormatting>
  <conditionalFormatting sqref="I581">
    <cfRule type="cellIs" dxfId="1155" priority="1329" operator="lessThan">
      <formula>0</formula>
    </cfRule>
  </conditionalFormatting>
  <conditionalFormatting sqref="H591:I615">
    <cfRule type="cellIs" dxfId="1154" priority="1328" operator="lessThan">
      <formula>0</formula>
    </cfRule>
  </conditionalFormatting>
  <conditionalFormatting sqref="E615">
    <cfRule type="expression" dxfId="1153" priority="1327">
      <formula>AND(OR(C615="NO",C615="REV T",C615="DBL REV",C615="TPL REV",C615="QD REV"),E615&gt;12)</formula>
    </cfRule>
  </conditionalFormatting>
  <conditionalFormatting sqref="B603:B615">
    <cfRule type="expression" dxfId="1152" priority="1325">
      <formula>Z603="error"</formula>
    </cfRule>
  </conditionalFormatting>
  <conditionalFormatting sqref="B603:B615">
    <cfRule type="expression" dxfId="1151" priority="1324">
      <formula>AA605="error"</formula>
    </cfRule>
  </conditionalFormatting>
  <conditionalFormatting sqref="E615">
    <cfRule type="expression" dxfId="1150" priority="1323">
      <formula>AND(OR(C615="NO",C615="REV T",C615="DBL REV",C615="TPL REV",C615="QD REV"),E615&gt;12)</formula>
    </cfRule>
  </conditionalFormatting>
  <conditionalFormatting sqref="E586">
    <cfRule type="expression" dxfId="1149" priority="1320">
      <formula>AND(E581="EUC",E582&gt;48,E586="Y")</formula>
    </cfRule>
    <cfRule type="expression" dxfId="1148" priority="1321">
      <formula>AND(E581="RPX",E582&gt;48,E586="Y")</formula>
    </cfRule>
    <cfRule type="expression" dxfId="1147" priority="1322">
      <formula>AND(E581="SS",E582&gt;48,E586="Y")</formula>
    </cfRule>
  </conditionalFormatting>
  <conditionalFormatting sqref="I585">
    <cfRule type="expression" dxfId="1146" priority="1317">
      <formula>I585=0</formula>
    </cfRule>
    <cfRule type="expression" dxfId="1145" priority="1318">
      <formula>MOD(I585,2)=0</formula>
    </cfRule>
  </conditionalFormatting>
  <conditionalFormatting sqref="E609:E614">
    <cfRule type="expression" dxfId="1144" priority="1316">
      <formula>AND(OR(C609="NO",C609="REV T",C609="DBL REV",C609="TPL REV",C609="QD REV"),E609&gt;12)</formula>
    </cfRule>
  </conditionalFormatting>
  <conditionalFormatting sqref="C609:C615">
    <cfRule type="expression" dxfId="1143" priority="1315">
      <formula>AND(OR(C610="FST",C610="REV T",C610="DBL REV",C610="TPL REV",C610="QD REV"),C609="Field SPL")</formula>
    </cfRule>
  </conditionalFormatting>
  <conditionalFormatting sqref="I580">
    <cfRule type="expression" dxfId="1142" priority="1314">
      <formula>AND(E581="EUC",E582=432,I580&gt;204)</formula>
    </cfRule>
  </conditionalFormatting>
  <conditionalFormatting sqref="E582">
    <cfRule type="expression" dxfId="1141" priority="1310">
      <formula>(AND(E581="EUC",E582=432))</formula>
    </cfRule>
    <cfRule type="expression" dxfId="1140" priority="1311">
      <formula>AND(E581="SS",E582&gt;216)</formula>
    </cfRule>
    <cfRule type="expression" dxfId="1139" priority="1312">
      <formula>(AND(E581="EUC",E582&gt;216))</formula>
    </cfRule>
    <cfRule type="expression" dxfId="1138" priority="1313">
      <formula>AND(E581="RPX",E582&gt;216)</formula>
    </cfRule>
  </conditionalFormatting>
  <conditionalFormatting sqref="E591:E608">
    <cfRule type="expression" dxfId="1137" priority="1309">
      <formula>AND(OR(C591="NO",C591="REV T",C591="DBL REV",C591="TPL REV",C591="QD REV"),E591&gt;12)</formula>
    </cfRule>
  </conditionalFormatting>
  <conditionalFormatting sqref="C591:C608">
    <cfRule type="expression" dxfId="1136" priority="1308">
      <formula>AND(OR(C592="FST",C592="REV T",C592="DBL REV",C592="TPL REV",C592="QD REV"),C591="Field SPL")</formula>
    </cfRule>
  </conditionalFormatting>
  <conditionalFormatting sqref="L623">
    <cfRule type="cellIs" dxfId="1135" priority="1304" operator="lessThan">
      <formula>$L$7</formula>
    </cfRule>
  </conditionalFormatting>
  <conditionalFormatting sqref="I622">
    <cfRule type="cellIs" dxfId="1134" priority="1303" operator="lessThan">
      <formula>0</formula>
    </cfRule>
  </conditionalFormatting>
  <conditionalFormatting sqref="H632:I656">
    <cfRule type="cellIs" dxfId="1133" priority="1302" operator="lessThan">
      <formula>0</formula>
    </cfRule>
  </conditionalFormatting>
  <conditionalFormatting sqref="E656">
    <cfRule type="expression" dxfId="1132" priority="1301">
      <formula>AND(OR(C656="NO",C656="REV T",C656="DBL REV",C656="TPL REV",C656="QD REV"),E656&gt;12)</formula>
    </cfRule>
  </conditionalFormatting>
  <conditionalFormatting sqref="B644:B656">
    <cfRule type="expression" dxfId="1131" priority="1299">
      <formula>Z644="error"</formula>
    </cfRule>
  </conditionalFormatting>
  <conditionalFormatting sqref="B644:B656">
    <cfRule type="expression" dxfId="1130" priority="1298">
      <formula>AA646="error"</formula>
    </cfRule>
  </conditionalFormatting>
  <conditionalFormatting sqref="E656">
    <cfRule type="expression" dxfId="1129" priority="1297">
      <formula>AND(OR(C656="NO",C656="REV T",C656="DBL REV",C656="TPL REV",C656="QD REV"),E656&gt;12)</formula>
    </cfRule>
  </conditionalFormatting>
  <conditionalFormatting sqref="E627">
    <cfRule type="expression" dxfId="1128" priority="1294">
      <formula>AND(E622="EUC",E623&gt;48,E627="Y")</formula>
    </cfRule>
    <cfRule type="expression" dxfId="1127" priority="1295">
      <formula>AND(E622="RPX",E623&gt;48,E627="Y")</formula>
    </cfRule>
    <cfRule type="expression" dxfId="1126" priority="1296">
      <formula>AND(E622="SS",E623&gt;48,E627="Y")</formula>
    </cfRule>
  </conditionalFormatting>
  <conditionalFormatting sqref="I626">
    <cfRule type="expression" dxfId="1125" priority="1291">
      <formula>I626=0</formula>
    </cfRule>
    <cfRule type="expression" dxfId="1124" priority="1292">
      <formula>MOD(I626,2)=0</formula>
    </cfRule>
  </conditionalFormatting>
  <conditionalFormatting sqref="E650:E655">
    <cfRule type="expression" dxfId="1123" priority="1290">
      <formula>AND(OR(C650="NO",C650="REV T",C650="DBL REV",C650="TPL REV",C650="QD REV"),E650&gt;12)</formula>
    </cfRule>
  </conditionalFormatting>
  <conditionalFormatting sqref="C650:C656">
    <cfRule type="expression" dxfId="1122" priority="1289">
      <formula>AND(OR(C651="FST",C651="REV T",C651="DBL REV",C651="TPL REV",C651="QD REV"),C650="Field SPL")</formula>
    </cfRule>
  </conditionalFormatting>
  <conditionalFormatting sqref="I621">
    <cfRule type="expression" dxfId="1121" priority="1288">
      <formula>AND(E622="EUC",E623=432,I621&gt;204)</formula>
    </cfRule>
  </conditionalFormatting>
  <conditionalFormatting sqref="E623">
    <cfRule type="expression" dxfId="1120" priority="1284">
      <formula>(AND(E622="EUC",E623=432))</formula>
    </cfRule>
    <cfRule type="expression" dxfId="1119" priority="1285">
      <formula>AND(E622="SS",E623&gt;216)</formula>
    </cfRule>
    <cfRule type="expression" dxfId="1118" priority="1286">
      <formula>(AND(E622="EUC",E623&gt;216))</formula>
    </cfRule>
    <cfRule type="expression" dxfId="1117" priority="1287">
      <formula>AND(E622="RPX",E623&gt;216)</formula>
    </cfRule>
  </conditionalFormatting>
  <conditionalFormatting sqref="E632:E649">
    <cfRule type="expression" dxfId="1116" priority="1283">
      <formula>AND(OR(C632="NO",C632="REV T",C632="DBL REV",C632="TPL REV",C632="QD REV"),E632&gt;12)</formula>
    </cfRule>
  </conditionalFormatting>
  <conditionalFormatting sqref="C632:C649">
    <cfRule type="expression" dxfId="1115" priority="1282">
      <formula>AND(OR(C633="FST",C633="REV T",C633="DBL REV",C633="TPL REV",C633="QD REV"),C632="Field SPL")</formula>
    </cfRule>
  </conditionalFormatting>
  <conditionalFormatting sqref="L664">
    <cfRule type="cellIs" dxfId="1114" priority="1278" operator="lessThan">
      <formula>$L$7</formula>
    </cfRule>
  </conditionalFormatting>
  <conditionalFormatting sqref="I663">
    <cfRule type="cellIs" dxfId="1113" priority="1277" operator="lessThan">
      <formula>0</formula>
    </cfRule>
  </conditionalFormatting>
  <conditionalFormatting sqref="H673:I697">
    <cfRule type="cellIs" dxfId="1112" priority="1276" operator="lessThan">
      <formula>0</formula>
    </cfRule>
  </conditionalFormatting>
  <conditionalFormatting sqref="E697">
    <cfRule type="expression" dxfId="1111" priority="1275">
      <formula>AND(OR(C697="NO",C697="REV T",C697="DBL REV",C697="TPL REV",C697="QD REV"),E697&gt;12)</formula>
    </cfRule>
  </conditionalFormatting>
  <conditionalFormatting sqref="B685:B697">
    <cfRule type="expression" dxfId="1110" priority="1273">
      <formula>Z685="error"</formula>
    </cfRule>
  </conditionalFormatting>
  <conditionalFormatting sqref="B685:B697">
    <cfRule type="expression" dxfId="1109" priority="1272">
      <formula>AA687="error"</formula>
    </cfRule>
  </conditionalFormatting>
  <conditionalFormatting sqref="E697">
    <cfRule type="expression" dxfId="1108" priority="1271">
      <formula>AND(OR(C697="NO",C697="REV T",C697="DBL REV",C697="TPL REV",C697="QD REV"),E697&gt;12)</formula>
    </cfRule>
  </conditionalFormatting>
  <conditionalFormatting sqref="E668">
    <cfRule type="expression" dxfId="1107" priority="1268">
      <formula>AND(E663="EUC",E664&gt;48,E668="Y")</formula>
    </cfRule>
    <cfRule type="expression" dxfId="1106" priority="1269">
      <formula>AND(E663="RPX",E664&gt;48,E668="Y")</formula>
    </cfRule>
    <cfRule type="expression" dxfId="1105" priority="1270">
      <formula>AND(E663="SS",E664&gt;48,E668="Y")</formula>
    </cfRule>
  </conditionalFormatting>
  <conditionalFormatting sqref="I667">
    <cfRule type="expression" dxfId="1104" priority="1265">
      <formula>I667=0</formula>
    </cfRule>
    <cfRule type="expression" dxfId="1103" priority="1266">
      <formula>MOD(I667,2)=0</formula>
    </cfRule>
  </conditionalFormatting>
  <conditionalFormatting sqref="E691:E696">
    <cfRule type="expression" dxfId="1102" priority="1264">
      <formula>AND(OR(C691="NO",C691="REV T",C691="DBL REV",C691="TPL REV",C691="QD REV"),E691&gt;12)</formula>
    </cfRule>
  </conditionalFormatting>
  <conditionalFormatting sqref="C691:C697">
    <cfRule type="expression" dxfId="1101" priority="1263">
      <formula>AND(OR(C692="FST",C692="REV T",C692="DBL REV",C692="TPL REV",C692="QD REV"),C691="Field SPL")</formula>
    </cfRule>
  </conditionalFormatting>
  <conditionalFormatting sqref="I662">
    <cfRule type="expression" dxfId="1100" priority="1262">
      <formula>AND(E663="EUC",E664=432,I662&gt;204)</formula>
    </cfRule>
  </conditionalFormatting>
  <conditionalFormatting sqref="E664">
    <cfRule type="expression" dxfId="1099" priority="1258">
      <formula>(AND(E663="EUC",E664=432))</formula>
    </cfRule>
    <cfRule type="expression" dxfId="1098" priority="1259">
      <formula>AND(E663="SS",E664&gt;216)</formula>
    </cfRule>
    <cfRule type="expression" dxfId="1097" priority="1260">
      <formula>(AND(E663="EUC",E664&gt;216))</formula>
    </cfRule>
    <cfRule type="expression" dxfId="1096" priority="1261">
      <formula>AND(E663="RPX",E664&gt;216)</formula>
    </cfRule>
  </conditionalFormatting>
  <conditionalFormatting sqref="E673:E690">
    <cfRule type="expression" dxfId="1095" priority="1257">
      <formula>AND(OR(C673="NO",C673="REV T",C673="DBL REV",C673="TPL REV",C673="QD REV"),E673&gt;12)</formula>
    </cfRule>
  </conditionalFormatting>
  <conditionalFormatting sqref="C673:C690">
    <cfRule type="expression" dxfId="1094" priority="1256">
      <formula>AND(OR(C674="FST",C674="REV T",C674="DBL REV",C674="TPL REV",C674="QD REV"),C673="Field SPL")</formula>
    </cfRule>
  </conditionalFormatting>
  <conditionalFormatting sqref="L705">
    <cfRule type="cellIs" dxfId="1093" priority="1252" operator="lessThan">
      <formula>$L$7</formula>
    </cfRule>
  </conditionalFormatting>
  <conditionalFormatting sqref="I704">
    <cfRule type="cellIs" dxfId="1092" priority="1251" operator="lessThan">
      <formula>0</formula>
    </cfRule>
  </conditionalFormatting>
  <conditionalFormatting sqref="H714:I738">
    <cfRule type="cellIs" dxfId="1091" priority="1250" operator="lessThan">
      <formula>0</formula>
    </cfRule>
  </conditionalFormatting>
  <conditionalFormatting sqref="E738">
    <cfRule type="expression" dxfId="1090" priority="1249">
      <formula>AND(OR(C738="NO",C738="REV T",C738="DBL REV",C738="TPL REV",C738="QD REV"),E738&gt;12)</formula>
    </cfRule>
  </conditionalFormatting>
  <conditionalFormatting sqref="B726:B738">
    <cfRule type="expression" dxfId="1089" priority="1247">
      <formula>Z726="error"</formula>
    </cfRule>
  </conditionalFormatting>
  <conditionalFormatting sqref="B726:B738">
    <cfRule type="expression" dxfId="1088" priority="1246">
      <formula>AA728="error"</formula>
    </cfRule>
  </conditionalFormatting>
  <conditionalFormatting sqref="E738">
    <cfRule type="expression" dxfId="1087" priority="1245">
      <formula>AND(OR(C738="NO",C738="REV T",C738="DBL REV",C738="TPL REV",C738="QD REV"),E738&gt;12)</formula>
    </cfRule>
  </conditionalFormatting>
  <conditionalFormatting sqref="E709">
    <cfRule type="expression" dxfId="1086" priority="1242">
      <formula>AND(E704="EUC",E705&gt;48,E709="Y")</formula>
    </cfRule>
    <cfRule type="expression" dxfId="1085" priority="1243">
      <formula>AND(E704="RPX",E705&gt;48,E709="Y")</formula>
    </cfRule>
    <cfRule type="expression" dxfId="1084" priority="1244">
      <formula>AND(E704="SS",E705&gt;48,E709="Y")</formula>
    </cfRule>
  </conditionalFormatting>
  <conditionalFormatting sqref="I708">
    <cfRule type="expression" dxfId="1083" priority="1239">
      <formula>I708=0</formula>
    </cfRule>
    <cfRule type="expression" dxfId="1082" priority="1240">
      <formula>MOD(I708,2)=0</formula>
    </cfRule>
  </conditionalFormatting>
  <conditionalFormatting sqref="E732:E737">
    <cfRule type="expression" dxfId="1081" priority="1238">
      <formula>AND(OR(C732="NO",C732="REV T",C732="DBL REV",C732="TPL REV",C732="QD REV"),E732&gt;12)</formula>
    </cfRule>
  </conditionalFormatting>
  <conditionalFormatting sqref="C732:C738">
    <cfRule type="expression" dxfId="1080" priority="1237">
      <formula>AND(OR(C733="FST",C733="REV T",C733="DBL REV",C733="TPL REV",C733="QD REV"),C732="Field SPL")</formula>
    </cfRule>
  </conditionalFormatting>
  <conditionalFormatting sqref="I703">
    <cfRule type="expression" dxfId="1079" priority="1236">
      <formula>AND(E704="EUC",E705=432,I703&gt;204)</formula>
    </cfRule>
  </conditionalFormatting>
  <conditionalFormatting sqref="E705">
    <cfRule type="expression" dxfId="1078" priority="1232">
      <formula>(AND(E704="EUC",E705=432))</formula>
    </cfRule>
    <cfRule type="expression" dxfId="1077" priority="1233">
      <formula>AND(E704="SS",E705&gt;216)</formula>
    </cfRule>
    <cfRule type="expression" dxfId="1076" priority="1234">
      <formula>(AND(E704="EUC",E705&gt;216))</formula>
    </cfRule>
    <cfRule type="expression" dxfId="1075" priority="1235">
      <formula>AND(E704="RPX",E705&gt;216)</formula>
    </cfRule>
  </conditionalFormatting>
  <conditionalFormatting sqref="E714:E731">
    <cfRule type="expression" dxfId="1074" priority="1231">
      <formula>AND(OR(C714="NO",C714="REV T",C714="DBL REV",C714="TPL REV",C714="QD REV"),E714&gt;12)</formula>
    </cfRule>
  </conditionalFormatting>
  <conditionalFormatting sqref="C714:C731">
    <cfRule type="expression" dxfId="1073" priority="1230">
      <formula>AND(OR(C715="FST",C715="REV T",C715="DBL REV",C715="TPL REV",C715="QD REV"),C714="Field SPL")</formula>
    </cfRule>
  </conditionalFormatting>
  <conditionalFormatting sqref="L746">
    <cfRule type="cellIs" dxfId="1072" priority="1226" operator="lessThan">
      <formula>$L$7</formula>
    </cfRule>
  </conditionalFormatting>
  <conditionalFormatting sqref="I745">
    <cfRule type="cellIs" dxfId="1071" priority="1225" operator="lessThan">
      <formula>0</formula>
    </cfRule>
  </conditionalFormatting>
  <conditionalFormatting sqref="H755:I779">
    <cfRule type="cellIs" dxfId="1070" priority="1224" operator="lessThan">
      <formula>0</formula>
    </cfRule>
  </conditionalFormatting>
  <conditionalFormatting sqref="E779">
    <cfRule type="expression" dxfId="1069" priority="1223">
      <formula>AND(OR(C779="NO",C779="REV T",C779="DBL REV",C779="TPL REV",C779="QD REV"),E779&gt;12)</formula>
    </cfRule>
  </conditionalFormatting>
  <conditionalFormatting sqref="B767:B779">
    <cfRule type="expression" dxfId="1068" priority="1221">
      <formula>Z767="error"</formula>
    </cfRule>
  </conditionalFormatting>
  <conditionalFormatting sqref="B767:B779">
    <cfRule type="expression" dxfId="1067" priority="1220">
      <formula>AA769="error"</formula>
    </cfRule>
  </conditionalFormatting>
  <conditionalFormatting sqref="E779">
    <cfRule type="expression" dxfId="1066" priority="1219">
      <formula>AND(OR(C779="NO",C779="REV T",C779="DBL REV",C779="TPL REV",C779="QD REV"),E779&gt;12)</formula>
    </cfRule>
  </conditionalFormatting>
  <conditionalFormatting sqref="E750">
    <cfRule type="expression" dxfId="1065" priority="1216">
      <formula>AND(E745="EUC",E746&gt;48,E750="Y")</formula>
    </cfRule>
    <cfRule type="expression" dxfId="1064" priority="1217">
      <formula>AND(E745="RPX",E746&gt;48,E750="Y")</formula>
    </cfRule>
    <cfRule type="expression" dxfId="1063" priority="1218">
      <formula>AND(E745="SS",E746&gt;48,E750="Y")</formula>
    </cfRule>
  </conditionalFormatting>
  <conditionalFormatting sqref="I749">
    <cfRule type="expression" dxfId="1062" priority="1213">
      <formula>I749=0</formula>
    </cfRule>
    <cfRule type="expression" dxfId="1061" priority="1214">
      <formula>MOD(I749,2)=0</formula>
    </cfRule>
  </conditionalFormatting>
  <conditionalFormatting sqref="E773:E778">
    <cfRule type="expression" dxfId="1060" priority="1212">
      <formula>AND(OR(C773="NO",C773="REV T",C773="DBL REV",C773="TPL REV",C773="QD REV"),E773&gt;12)</formula>
    </cfRule>
  </conditionalFormatting>
  <conditionalFormatting sqref="C773:C779">
    <cfRule type="expression" dxfId="1059" priority="1211">
      <formula>AND(OR(C774="FST",C774="REV T",C774="DBL REV",C774="TPL REV",C774="QD REV"),C773="Field SPL")</formula>
    </cfRule>
  </conditionalFormatting>
  <conditionalFormatting sqref="I744">
    <cfRule type="expression" dxfId="1058" priority="1210">
      <formula>AND(E745="EUC",E746=432,I744&gt;204)</formula>
    </cfRule>
  </conditionalFormatting>
  <conditionalFormatting sqref="E746">
    <cfRule type="expression" dxfId="1057" priority="1206">
      <formula>(AND(E745="EUC",E746=432))</formula>
    </cfRule>
    <cfRule type="expression" dxfId="1056" priority="1207">
      <formula>AND(E745="SS",E746&gt;216)</formula>
    </cfRule>
    <cfRule type="expression" dxfId="1055" priority="1208">
      <formula>(AND(E745="EUC",E746&gt;216))</formula>
    </cfRule>
    <cfRule type="expression" dxfId="1054" priority="1209">
      <formula>AND(E745="RPX",E746&gt;216)</formula>
    </cfRule>
  </conditionalFormatting>
  <conditionalFormatting sqref="E755:E772">
    <cfRule type="expression" dxfId="1053" priority="1205">
      <formula>AND(OR(C755="NO",C755="REV T",C755="DBL REV",C755="TPL REV",C755="QD REV"),E755&gt;12)</formula>
    </cfRule>
  </conditionalFormatting>
  <conditionalFormatting sqref="C755:C772">
    <cfRule type="expression" dxfId="1052" priority="1204">
      <formula>AND(OR(C756="FST",C756="REV T",C756="DBL REV",C756="TPL REV",C756="QD REV"),C755="Field SPL")</formula>
    </cfRule>
  </conditionalFormatting>
  <conditionalFormatting sqref="L787">
    <cfRule type="cellIs" dxfId="1051" priority="1200" operator="lessThan">
      <formula>$L$7</formula>
    </cfRule>
  </conditionalFormatting>
  <conditionalFormatting sqref="I786">
    <cfRule type="cellIs" dxfId="1050" priority="1199" operator="lessThan">
      <formula>0</formula>
    </cfRule>
  </conditionalFormatting>
  <conditionalFormatting sqref="H796:I820">
    <cfRule type="cellIs" dxfId="1049" priority="1198" operator="lessThan">
      <formula>0</formula>
    </cfRule>
  </conditionalFormatting>
  <conditionalFormatting sqref="E820">
    <cfRule type="expression" dxfId="1048" priority="1197">
      <formula>AND(OR(C820="NO",C820="REV T",C820="DBL REV",C820="TPL REV",C820="QD REV"),E820&gt;12)</formula>
    </cfRule>
  </conditionalFormatting>
  <conditionalFormatting sqref="B808:B820">
    <cfRule type="expression" dxfId="1047" priority="1195">
      <formula>Z808="error"</formula>
    </cfRule>
  </conditionalFormatting>
  <conditionalFormatting sqref="B808:B820">
    <cfRule type="expression" dxfId="1046" priority="1194">
      <formula>AA810="error"</formula>
    </cfRule>
  </conditionalFormatting>
  <conditionalFormatting sqref="E820">
    <cfRule type="expression" dxfId="1045" priority="1193">
      <formula>AND(OR(C820="NO",C820="REV T",C820="DBL REV",C820="TPL REV",C820="QD REV"),E820&gt;12)</formula>
    </cfRule>
  </conditionalFormatting>
  <conditionalFormatting sqref="E791">
    <cfRule type="expression" dxfId="1044" priority="1190">
      <formula>AND(E786="EUC",E787&gt;48,E791="Y")</formula>
    </cfRule>
    <cfRule type="expression" dxfId="1043" priority="1191">
      <formula>AND(E786="RPX",E787&gt;48,E791="Y")</formula>
    </cfRule>
    <cfRule type="expression" dxfId="1042" priority="1192">
      <formula>AND(E786="SS",E787&gt;48,E791="Y")</formula>
    </cfRule>
  </conditionalFormatting>
  <conditionalFormatting sqref="I790">
    <cfRule type="expression" dxfId="1041" priority="1187">
      <formula>I790=0</formula>
    </cfRule>
    <cfRule type="expression" dxfId="1040" priority="1188">
      <formula>MOD(I790,2)=0</formula>
    </cfRule>
  </conditionalFormatting>
  <conditionalFormatting sqref="E814:E819">
    <cfRule type="expression" dxfId="1039" priority="1186">
      <formula>AND(OR(C814="NO",C814="REV T",C814="DBL REV",C814="TPL REV",C814="QD REV"),E814&gt;12)</formula>
    </cfRule>
  </conditionalFormatting>
  <conditionalFormatting sqref="C814:C820">
    <cfRule type="expression" dxfId="1038" priority="1185">
      <formula>AND(OR(C815="FST",C815="REV T",C815="DBL REV",C815="TPL REV",C815="QD REV"),C814="Field SPL")</formula>
    </cfRule>
  </conditionalFormatting>
  <conditionalFormatting sqref="I785">
    <cfRule type="expression" dxfId="1037" priority="1184">
      <formula>AND(E786="EUC",E787=432,I785&gt;204)</formula>
    </cfRule>
  </conditionalFormatting>
  <conditionalFormatting sqref="E787">
    <cfRule type="expression" dxfId="1036" priority="1180">
      <formula>(AND(E786="EUC",E787=432))</formula>
    </cfRule>
    <cfRule type="expression" dxfId="1035" priority="1181">
      <formula>AND(E786="SS",E787&gt;216)</formula>
    </cfRule>
    <cfRule type="expression" dxfId="1034" priority="1182">
      <formula>(AND(E786="EUC",E787&gt;216))</formula>
    </cfRule>
    <cfRule type="expression" dxfId="1033" priority="1183">
      <formula>AND(E786="RPX",E787&gt;216)</formula>
    </cfRule>
  </conditionalFormatting>
  <conditionalFormatting sqref="E796:E813">
    <cfRule type="expression" dxfId="1032" priority="1179">
      <formula>AND(OR(C796="NO",C796="REV T",C796="DBL REV",C796="TPL REV",C796="QD REV"),E796&gt;12)</formula>
    </cfRule>
  </conditionalFormatting>
  <conditionalFormatting sqref="C796:C813">
    <cfRule type="expression" dxfId="1031" priority="1178">
      <formula>AND(OR(C797="FST",C797="REV T",C797="DBL REV",C797="TPL REV",C797="QD REV"),C796="Field SPL")</formula>
    </cfRule>
  </conditionalFormatting>
  <conditionalFormatting sqref="L828">
    <cfRule type="cellIs" dxfId="1030" priority="1174" operator="lessThan">
      <formula>$L$7</formula>
    </cfRule>
  </conditionalFormatting>
  <conditionalFormatting sqref="I827">
    <cfRule type="cellIs" dxfId="1029" priority="1173" operator="lessThan">
      <formula>0</formula>
    </cfRule>
  </conditionalFormatting>
  <conditionalFormatting sqref="H837:I861">
    <cfRule type="cellIs" dxfId="1028" priority="1172" operator="lessThan">
      <formula>0</formula>
    </cfRule>
  </conditionalFormatting>
  <conditionalFormatting sqref="E861">
    <cfRule type="expression" dxfId="1027" priority="1171">
      <formula>AND(OR(C861="NO",C861="REV T",C861="DBL REV",C861="TPL REV",C861="QD REV"),E861&gt;12)</formula>
    </cfRule>
  </conditionalFormatting>
  <conditionalFormatting sqref="B849:B861">
    <cfRule type="expression" dxfId="1026" priority="1169">
      <formula>Z849="error"</formula>
    </cfRule>
  </conditionalFormatting>
  <conditionalFormatting sqref="B849:B861">
    <cfRule type="expression" dxfId="1025" priority="1168">
      <formula>AA851="error"</formula>
    </cfRule>
  </conditionalFormatting>
  <conditionalFormatting sqref="E861">
    <cfRule type="expression" dxfId="1024" priority="1167">
      <formula>AND(OR(C861="NO",C861="REV T",C861="DBL REV",C861="TPL REV",C861="QD REV"),E861&gt;12)</formula>
    </cfRule>
  </conditionalFormatting>
  <conditionalFormatting sqref="E832">
    <cfRule type="expression" dxfId="1023" priority="1164">
      <formula>AND(E827="EUC",E828&gt;48,E832="Y")</formula>
    </cfRule>
    <cfRule type="expression" dxfId="1022" priority="1165">
      <formula>AND(E827="RPX",E828&gt;48,E832="Y")</formula>
    </cfRule>
    <cfRule type="expression" dxfId="1021" priority="1166">
      <formula>AND(E827="SS",E828&gt;48,E832="Y")</formula>
    </cfRule>
  </conditionalFormatting>
  <conditionalFormatting sqref="I831">
    <cfRule type="expression" dxfId="1020" priority="1161">
      <formula>I831=0</formula>
    </cfRule>
    <cfRule type="expression" dxfId="1019" priority="1162">
      <formula>MOD(I831,2)=0</formula>
    </cfRule>
  </conditionalFormatting>
  <conditionalFormatting sqref="E855:E860">
    <cfRule type="expression" dxfId="1018" priority="1160">
      <formula>AND(OR(C855="NO",C855="REV T",C855="DBL REV",C855="TPL REV",C855="QD REV"),E855&gt;12)</formula>
    </cfRule>
  </conditionalFormatting>
  <conditionalFormatting sqref="C855:C861">
    <cfRule type="expression" dxfId="1017" priority="1159">
      <formula>AND(OR(C856="FST",C856="REV T",C856="DBL REV",C856="TPL REV",C856="QD REV"),C855="Field SPL")</formula>
    </cfRule>
  </conditionalFormatting>
  <conditionalFormatting sqref="I826">
    <cfRule type="expression" dxfId="1016" priority="1158">
      <formula>AND(E827="EUC",E828=432,I826&gt;204)</formula>
    </cfRule>
  </conditionalFormatting>
  <conditionalFormatting sqref="E828">
    <cfRule type="expression" dxfId="1015" priority="1154">
      <formula>(AND(E827="EUC",E828=432))</formula>
    </cfRule>
    <cfRule type="expression" dxfId="1014" priority="1155">
      <formula>AND(E827="SS",E828&gt;216)</formula>
    </cfRule>
    <cfRule type="expression" dxfId="1013" priority="1156">
      <formula>(AND(E827="EUC",E828&gt;216))</formula>
    </cfRule>
    <cfRule type="expression" dxfId="1012" priority="1157">
      <formula>AND(E827="RPX",E828&gt;216)</formula>
    </cfRule>
  </conditionalFormatting>
  <conditionalFormatting sqref="E837:E854">
    <cfRule type="expression" dxfId="1011" priority="1153">
      <formula>AND(OR(C837="NO",C837="REV T",C837="DBL REV",C837="TPL REV",C837="QD REV"),E837&gt;12)</formula>
    </cfRule>
  </conditionalFormatting>
  <conditionalFormatting sqref="C837:C854">
    <cfRule type="expression" dxfId="1010" priority="1152">
      <formula>AND(OR(C838="FST",C838="REV T",C838="DBL REV",C838="TPL REV",C838="QD REV"),C837="Field SPL")</formula>
    </cfRule>
  </conditionalFormatting>
  <conditionalFormatting sqref="L869">
    <cfRule type="cellIs" dxfId="1009" priority="1148" operator="lessThan">
      <formula>$L$7</formula>
    </cfRule>
  </conditionalFormatting>
  <conditionalFormatting sqref="I868">
    <cfRule type="cellIs" dxfId="1008" priority="1147" operator="lessThan">
      <formula>0</formula>
    </cfRule>
  </conditionalFormatting>
  <conditionalFormatting sqref="H878:I902">
    <cfRule type="cellIs" dxfId="1007" priority="1146" operator="lessThan">
      <formula>0</formula>
    </cfRule>
  </conditionalFormatting>
  <conditionalFormatting sqref="E902">
    <cfRule type="expression" dxfId="1006" priority="1145">
      <formula>AND(OR(C902="NO",C902="REV T",C902="DBL REV",C902="TPL REV",C902="QD REV"),E902&gt;12)</formula>
    </cfRule>
  </conditionalFormatting>
  <conditionalFormatting sqref="B890:B902">
    <cfRule type="expression" dxfId="1005" priority="1143">
      <formula>Z890="error"</formula>
    </cfRule>
  </conditionalFormatting>
  <conditionalFormatting sqref="B890:B902">
    <cfRule type="expression" dxfId="1004" priority="1142">
      <formula>AA892="error"</formula>
    </cfRule>
  </conditionalFormatting>
  <conditionalFormatting sqref="E902">
    <cfRule type="expression" dxfId="1003" priority="1141">
      <formula>AND(OR(C902="NO",C902="REV T",C902="DBL REV",C902="TPL REV",C902="QD REV"),E902&gt;12)</formula>
    </cfRule>
  </conditionalFormatting>
  <conditionalFormatting sqref="E873">
    <cfRule type="expression" dxfId="1002" priority="1138">
      <formula>AND(E868="EUC",E869&gt;48,E873="Y")</formula>
    </cfRule>
    <cfRule type="expression" dxfId="1001" priority="1139">
      <formula>AND(E868="RPX",E869&gt;48,E873="Y")</formula>
    </cfRule>
    <cfRule type="expression" dxfId="1000" priority="1140">
      <formula>AND(E868="SS",E869&gt;48,E873="Y")</formula>
    </cfRule>
  </conditionalFormatting>
  <conditionalFormatting sqref="I872">
    <cfRule type="expression" dxfId="999" priority="1135">
      <formula>I872=0</formula>
    </cfRule>
    <cfRule type="expression" dxfId="998" priority="1136">
      <formula>MOD(I872,2)=0</formula>
    </cfRule>
  </conditionalFormatting>
  <conditionalFormatting sqref="E896:E901">
    <cfRule type="expression" dxfId="997" priority="1134">
      <formula>AND(OR(C896="NO",C896="REV T",C896="DBL REV",C896="TPL REV",C896="QD REV"),E896&gt;12)</formula>
    </cfRule>
  </conditionalFormatting>
  <conditionalFormatting sqref="C896:C902">
    <cfRule type="expression" dxfId="996" priority="1133">
      <formula>AND(OR(C897="FST",C897="REV T",C897="DBL REV",C897="TPL REV",C897="QD REV"),C896="Field SPL")</formula>
    </cfRule>
  </conditionalFormatting>
  <conditionalFormatting sqref="I867">
    <cfRule type="expression" dxfId="995" priority="1132">
      <formula>AND(E868="EUC",E869=432,I867&gt;204)</formula>
    </cfRule>
  </conditionalFormatting>
  <conditionalFormatting sqref="E869">
    <cfRule type="expression" dxfId="994" priority="1128">
      <formula>(AND(E868="EUC",E869=432))</formula>
    </cfRule>
    <cfRule type="expression" dxfId="993" priority="1129">
      <formula>AND(E868="SS",E869&gt;216)</formula>
    </cfRule>
    <cfRule type="expression" dxfId="992" priority="1130">
      <formula>(AND(E868="EUC",E869&gt;216))</formula>
    </cfRule>
    <cfRule type="expression" dxfId="991" priority="1131">
      <formula>AND(E868="RPX",E869&gt;216)</formula>
    </cfRule>
  </conditionalFormatting>
  <conditionalFormatting sqref="E878:E895">
    <cfRule type="expression" dxfId="990" priority="1127">
      <formula>AND(OR(C878="NO",C878="REV T",C878="DBL REV",C878="TPL REV",C878="QD REV"),E878&gt;12)</formula>
    </cfRule>
  </conditionalFormatting>
  <conditionalFormatting sqref="C878:C895">
    <cfRule type="expression" dxfId="989" priority="1126">
      <formula>AND(OR(C879="FST",C879="REV T",C879="DBL REV",C879="TPL REV",C879="QD REV"),C878="Field SPL")</formula>
    </cfRule>
  </conditionalFormatting>
  <conditionalFormatting sqref="L910">
    <cfRule type="cellIs" dxfId="988" priority="1122" operator="lessThan">
      <formula>$L$7</formula>
    </cfRule>
  </conditionalFormatting>
  <conditionalFormatting sqref="I909">
    <cfRule type="cellIs" dxfId="987" priority="1121" operator="lessThan">
      <formula>0</formula>
    </cfRule>
  </conditionalFormatting>
  <conditionalFormatting sqref="H919:I943">
    <cfRule type="cellIs" dxfId="986" priority="1120" operator="lessThan">
      <formula>0</formula>
    </cfRule>
  </conditionalFormatting>
  <conditionalFormatting sqref="E943">
    <cfRule type="expression" dxfId="985" priority="1119">
      <formula>AND(OR(C943="NO",C943="REV T",C943="DBL REV",C943="TPL REV",C943="QD REV"),E943&gt;12)</formula>
    </cfRule>
  </conditionalFormatting>
  <conditionalFormatting sqref="B931:B943">
    <cfRule type="expression" dxfId="984" priority="1117">
      <formula>Z931="error"</formula>
    </cfRule>
  </conditionalFormatting>
  <conditionalFormatting sqref="B931:B943">
    <cfRule type="expression" dxfId="983" priority="1116">
      <formula>AA933="error"</formula>
    </cfRule>
  </conditionalFormatting>
  <conditionalFormatting sqref="E943">
    <cfRule type="expression" dxfId="982" priority="1115">
      <formula>AND(OR(C943="NO",C943="REV T",C943="DBL REV",C943="TPL REV",C943="QD REV"),E943&gt;12)</formula>
    </cfRule>
  </conditionalFormatting>
  <conditionalFormatting sqref="E914">
    <cfRule type="expression" dxfId="981" priority="1112">
      <formula>AND(E909="EUC",E910&gt;48,E914="Y")</formula>
    </cfRule>
    <cfRule type="expression" dxfId="980" priority="1113">
      <formula>AND(E909="RPX",E910&gt;48,E914="Y")</formula>
    </cfRule>
    <cfRule type="expression" dxfId="979" priority="1114">
      <formula>AND(E909="SS",E910&gt;48,E914="Y")</formula>
    </cfRule>
  </conditionalFormatting>
  <conditionalFormatting sqref="I913">
    <cfRule type="expression" dxfId="978" priority="1109">
      <formula>I913=0</formula>
    </cfRule>
    <cfRule type="expression" dxfId="977" priority="1110">
      <formula>MOD(I913,2)=0</formula>
    </cfRule>
  </conditionalFormatting>
  <conditionalFormatting sqref="E937:E942">
    <cfRule type="expression" dxfId="976" priority="1108">
      <formula>AND(OR(C937="NO",C937="REV T",C937="DBL REV",C937="TPL REV",C937="QD REV"),E937&gt;12)</formula>
    </cfRule>
  </conditionalFormatting>
  <conditionalFormatting sqref="C937:C943">
    <cfRule type="expression" dxfId="975" priority="1107">
      <formula>AND(OR(C938="FST",C938="REV T",C938="DBL REV",C938="TPL REV",C938="QD REV"),C937="Field SPL")</formula>
    </cfRule>
  </conditionalFormatting>
  <conditionalFormatting sqref="I908">
    <cfRule type="expression" dxfId="974" priority="1106">
      <formula>AND(E909="EUC",E910=432,I908&gt;204)</formula>
    </cfRule>
  </conditionalFormatting>
  <conditionalFormatting sqref="E910">
    <cfRule type="expression" dxfId="973" priority="1102">
      <formula>(AND(E909="EUC",E910=432))</formula>
    </cfRule>
    <cfRule type="expression" dxfId="972" priority="1103">
      <formula>AND(E909="SS",E910&gt;216)</formula>
    </cfRule>
    <cfRule type="expression" dxfId="971" priority="1104">
      <formula>(AND(E909="EUC",E910&gt;216))</formula>
    </cfRule>
    <cfRule type="expression" dxfId="970" priority="1105">
      <formula>AND(E909="RPX",E910&gt;216)</formula>
    </cfRule>
  </conditionalFormatting>
  <conditionalFormatting sqref="E919:E936">
    <cfRule type="expression" dxfId="969" priority="1101">
      <formula>AND(OR(C919="NO",C919="REV T",C919="DBL REV",C919="TPL REV",C919="QD REV"),E919&gt;12)</formula>
    </cfRule>
  </conditionalFormatting>
  <conditionalFormatting sqref="C919:C936">
    <cfRule type="expression" dxfId="968" priority="1100">
      <formula>AND(OR(C920="FST",C920="REV T",C920="DBL REV",C920="TPL REV",C920="QD REV"),C919="Field SPL")</formula>
    </cfRule>
  </conditionalFormatting>
  <conditionalFormatting sqref="L951">
    <cfRule type="cellIs" dxfId="967" priority="1096" operator="lessThan">
      <formula>$L$7</formula>
    </cfRule>
  </conditionalFormatting>
  <conditionalFormatting sqref="I950">
    <cfRule type="cellIs" dxfId="966" priority="1095" operator="lessThan">
      <formula>0</formula>
    </cfRule>
  </conditionalFormatting>
  <conditionalFormatting sqref="H960:I984">
    <cfRule type="cellIs" dxfId="965" priority="1094" operator="lessThan">
      <formula>0</formula>
    </cfRule>
  </conditionalFormatting>
  <conditionalFormatting sqref="E984">
    <cfRule type="expression" dxfId="964" priority="1093">
      <formula>AND(OR(C984="NO",C984="REV T",C984="DBL REV",C984="TPL REV",C984="QD REV"),E984&gt;12)</formula>
    </cfRule>
  </conditionalFormatting>
  <conditionalFormatting sqref="B972:B984">
    <cfRule type="expression" dxfId="963" priority="1091">
      <formula>Z972="error"</formula>
    </cfRule>
  </conditionalFormatting>
  <conditionalFormatting sqref="B972:B984">
    <cfRule type="expression" dxfId="962" priority="1090">
      <formula>AA974="error"</formula>
    </cfRule>
  </conditionalFormatting>
  <conditionalFormatting sqref="E984">
    <cfRule type="expression" dxfId="961" priority="1089">
      <formula>AND(OR(C984="NO",C984="REV T",C984="DBL REV",C984="TPL REV",C984="QD REV"),E984&gt;12)</formula>
    </cfRule>
  </conditionalFormatting>
  <conditionalFormatting sqref="E955">
    <cfRule type="expression" dxfId="960" priority="1086">
      <formula>AND(E950="EUC",E951&gt;48,E955="Y")</formula>
    </cfRule>
    <cfRule type="expression" dxfId="959" priority="1087">
      <formula>AND(E950="RPX",E951&gt;48,E955="Y")</formula>
    </cfRule>
    <cfRule type="expression" dxfId="958" priority="1088">
      <formula>AND(E950="SS",E951&gt;48,E955="Y")</formula>
    </cfRule>
  </conditionalFormatting>
  <conditionalFormatting sqref="I954">
    <cfRule type="expression" dxfId="957" priority="1083">
      <formula>I954=0</formula>
    </cfRule>
    <cfRule type="expression" dxfId="956" priority="1084">
      <formula>MOD(I954,2)=0</formula>
    </cfRule>
  </conditionalFormatting>
  <conditionalFormatting sqref="E978:E983">
    <cfRule type="expression" dxfId="955" priority="1082">
      <formula>AND(OR(C978="NO",C978="REV T",C978="DBL REV",C978="TPL REV",C978="QD REV"),E978&gt;12)</formula>
    </cfRule>
  </conditionalFormatting>
  <conditionalFormatting sqref="C978:C984">
    <cfRule type="expression" dxfId="954" priority="1081">
      <formula>AND(OR(C979="FST",C979="REV T",C979="DBL REV",C979="TPL REV",C979="QD REV"),C978="Field SPL")</formula>
    </cfRule>
  </conditionalFormatting>
  <conditionalFormatting sqref="I949">
    <cfRule type="expression" dxfId="953" priority="1080">
      <formula>AND(E950="EUC",E951=432,I949&gt;204)</formula>
    </cfRule>
  </conditionalFormatting>
  <conditionalFormatting sqref="E951">
    <cfRule type="expression" dxfId="952" priority="1076">
      <formula>(AND(E950="EUC",E951=432))</formula>
    </cfRule>
    <cfRule type="expression" dxfId="951" priority="1077">
      <formula>AND(E950="SS",E951&gt;216)</formula>
    </cfRule>
    <cfRule type="expression" dxfId="950" priority="1078">
      <formula>(AND(E950="EUC",E951&gt;216))</formula>
    </cfRule>
    <cfRule type="expression" dxfId="949" priority="1079">
      <formula>AND(E950="RPX",E951&gt;216)</formula>
    </cfRule>
  </conditionalFormatting>
  <conditionalFormatting sqref="E960:E977">
    <cfRule type="expression" dxfId="948" priority="1075">
      <formula>AND(OR(C960="NO",C960="REV T",C960="DBL REV",C960="TPL REV",C960="QD REV"),E960&gt;12)</formula>
    </cfRule>
  </conditionalFormatting>
  <conditionalFormatting sqref="C960:C977">
    <cfRule type="expression" dxfId="947" priority="1074">
      <formula>AND(OR(C961="FST",C961="REV T",C961="DBL REV",C961="TPL REV",C961="QD REV"),C960="Field SPL")</formula>
    </cfRule>
  </conditionalFormatting>
  <conditionalFormatting sqref="L992">
    <cfRule type="cellIs" dxfId="946" priority="1070" operator="lessThan">
      <formula>$L$7</formula>
    </cfRule>
  </conditionalFormatting>
  <conditionalFormatting sqref="I991">
    <cfRule type="cellIs" dxfId="945" priority="1069" operator="lessThan">
      <formula>0</formula>
    </cfRule>
  </conditionalFormatting>
  <conditionalFormatting sqref="H1001:I1025">
    <cfRule type="cellIs" dxfId="944" priority="1068" operator="lessThan">
      <formula>0</formula>
    </cfRule>
  </conditionalFormatting>
  <conditionalFormatting sqref="E1025">
    <cfRule type="expression" dxfId="943" priority="1067">
      <formula>AND(OR(C1025="NO",C1025="REV T",C1025="DBL REV",C1025="TPL REV",C1025="QD REV"),E1025&gt;12)</formula>
    </cfRule>
  </conditionalFormatting>
  <conditionalFormatting sqref="B1013:B1025">
    <cfRule type="expression" dxfId="942" priority="1065">
      <formula>Z1013="error"</formula>
    </cfRule>
  </conditionalFormatting>
  <conditionalFormatting sqref="B1013:B1025">
    <cfRule type="expression" dxfId="941" priority="1064">
      <formula>AA1015="error"</formula>
    </cfRule>
  </conditionalFormatting>
  <conditionalFormatting sqref="E1025">
    <cfRule type="expression" dxfId="940" priority="1063">
      <formula>AND(OR(C1025="NO",C1025="REV T",C1025="DBL REV",C1025="TPL REV",C1025="QD REV"),E1025&gt;12)</formula>
    </cfRule>
  </conditionalFormatting>
  <conditionalFormatting sqref="E996">
    <cfRule type="expression" dxfId="939" priority="1060">
      <formula>AND(E991="EUC",E992&gt;48,E996="Y")</formula>
    </cfRule>
    <cfRule type="expression" dxfId="938" priority="1061">
      <formula>AND(E991="RPX",E992&gt;48,E996="Y")</formula>
    </cfRule>
    <cfRule type="expression" dxfId="937" priority="1062">
      <formula>AND(E991="SS",E992&gt;48,E996="Y")</formula>
    </cfRule>
  </conditionalFormatting>
  <conditionalFormatting sqref="I995">
    <cfRule type="expression" dxfId="936" priority="1057">
      <formula>I995=0</formula>
    </cfRule>
    <cfRule type="expression" dxfId="935" priority="1058">
      <formula>MOD(I995,2)=0</formula>
    </cfRule>
  </conditionalFormatting>
  <conditionalFormatting sqref="E1019:E1024">
    <cfRule type="expression" dxfId="934" priority="1056">
      <formula>AND(OR(C1019="NO",C1019="REV T",C1019="DBL REV",C1019="TPL REV",C1019="QD REV"),E1019&gt;12)</formula>
    </cfRule>
  </conditionalFormatting>
  <conditionalFormatting sqref="C1019:C1025">
    <cfRule type="expression" dxfId="933" priority="1055">
      <formula>AND(OR(C1020="FST",C1020="REV T",C1020="DBL REV",C1020="TPL REV",C1020="QD REV"),C1019="Field SPL")</formula>
    </cfRule>
  </conditionalFormatting>
  <conditionalFormatting sqref="I990">
    <cfRule type="expression" dxfId="932" priority="1054">
      <formula>AND(E991="EUC",E992=432,I990&gt;204)</formula>
    </cfRule>
  </conditionalFormatting>
  <conditionalFormatting sqref="E992">
    <cfRule type="expression" dxfId="931" priority="1050">
      <formula>(AND(E991="EUC",E992=432))</formula>
    </cfRule>
    <cfRule type="expression" dxfId="930" priority="1051">
      <formula>AND(E991="SS",E992&gt;216)</formula>
    </cfRule>
    <cfRule type="expression" dxfId="929" priority="1052">
      <formula>(AND(E991="EUC",E992&gt;216))</formula>
    </cfRule>
    <cfRule type="expression" dxfId="928" priority="1053">
      <formula>AND(E991="RPX",E992&gt;216)</formula>
    </cfRule>
  </conditionalFormatting>
  <conditionalFormatting sqref="E1001:E1018">
    <cfRule type="expression" dxfId="927" priority="1049">
      <formula>AND(OR(C1001="NO",C1001="REV T",C1001="DBL REV",C1001="TPL REV",C1001="QD REV"),E1001&gt;12)</formula>
    </cfRule>
  </conditionalFormatting>
  <conditionalFormatting sqref="C1001:C1018">
    <cfRule type="expression" dxfId="926" priority="1048">
      <formula>AND(OR(C1002="FST",C1002="REV T",C1002="DBL REV",C1002="TPL REV",C1002="QD REV"),C1001="Field SPL")</formula>
    </cfRule>
  </conditionalFormatting>
  <conditionalFormatting sqref="L1033">
    <cfRule type="cellIs" dxfId="925" priority="1044" operator="lessThan">
      <formula>$L$7</formula>
    </cfRule>
  </conditionalFormatting>
  <conditionalFormatting sqref="I1032">
    <cfRule type="cellIs" dxfId="924" priority="1043" operator="lessThan">
      <formula>0</formula>
    </cfRule>
  </conditionalFormatting>
  <conditionalFormatting sqref="H1042:I1066">
    <cfRule type="cellIs" dxfId="923" priority="1042" operator="lessThan">
      <formula>0</formula>
    </cfRule>
  </conditionalFormatting>
  <conditionalFormatting sqref="E1066">
    <cfRule type="expression" dxfId="922" priority="1041">
      <formula>AND(OR(C1066="NO",C1066="REV T",C1066="DBL REV",C1066="TPL REV",C1066="QD REV"),E1066&gt;12)</formula>
    </cfRule>
  </conditionalFormatting>
  <conditionalFormatting sqref="B1054:B1066">
    <cfRule type="expression" dxfId="921" priority="1039">
      <formula>Z1054="error"</formula>
    </cfRule>
  </conditionalFormatting>
  <conditionalFormatting sqref="B1054:B1066">
    <cfRule type="expression" dxfId="920" priority="1038">
      <formula>AA1056="error"</formula>
    </cfRule>
  </conditionalFormatting>
  <conditionalFormatting sqref="E1066">
    <cfRule type="expression" dxfId="919" priority="1037">
      <formula>AND(OR(C1066="NO",C1066="REV T",C1066="DBL REV",C1066="TPL REV",C1066="QD REV"),E1066&gt;12)</formula>
    </cfRule>
  </conditionalFormatting>
  <conditionalFormatting sqref="E1037">
    <cfRule type="expression" dxfId="918" priority="1034">
      <formula>AND(E1032="EUC",E1033&gt;48,E1037="Y")</formula>
    </cfRule>
    <cfRule type="expression" dxfId="917" priority="1035">
      <formula>AND(E1032="RPX",E1033&gt;48,E1037="Y")</formula>
    </cfRule>
    <cfRule type="expression" dxfId="916" priority="1036">
      <formula>AND(E1032="SS",E1033&gt;48,E1037="Y")</formula>
    </cfRule>
  </conditionalFormatting>
  <conditionalFormatting sqref="I1036">
    <cfRule type="expression" dxfId="915" priority="1031">
      <formula>I1036=0</formula>
    </cfRule>
    <cfRule type="expression" dxfId="914" priority="1032">
      <formula>MOD(I1036,2)=0</formula>
    </cfRule>
  </conditionalFormatting>
  <conditionalFormatting sqref="E1060:E1065">
    <cfRule type="expression" dxfId="913" priority="1030">
      <formula>AND(OR(C1060="NO",C1060="REV T",C1060="DBL REV",C1060="TPL REV",C1060="QD REV"),E1060&gt;12)</formula>
    </cfRule>
  </conditionalFormatting>
  <conditionalFormatting sqref="C1060:C1066">
    <cfRule type="expression" dxfId="912" priority="1029">
      <formula>AND(OR(C1061="FST",C1061="REV T",C1061="DBL REV",C1061="TPL REV",C1061="QD REV"),C1060="Field SPL")</formula>
    </cfRule>
  </conditionalFormatting>
  <conditionalFormatting sqref="I1031">
    <cfRule type="expression" dxfId="911" priority="1028">
      <formula>AND(E1032="EUC",E1033=432,I1031&gt;204)</formula>
    </cfRule>
  </conditionalFormatting>
  <conditionalFormatting sqref="E1033">
    <cfRule type="expression" dxfId="910" priority="1024">
      <formula>(AND(E1032="EUC",E1033=432))</formula>
    </cfRule>
    <cfRule type="expression" dxfId="909" priority="1025">
      <formula>AND(E1032="SS",E1033&gt;216)</formula>
    </cfRule>
    <cfRule type="expression" dxfId="908" priority="1026">
      <formula>(AND(E1032="EUC",E1033&gt;216))</formula>
    </cfRule>
    <cfRule type="expression" dxfId="907" priority="1027">
      <formula>AND(E1032="RPX",E1033&gt;216)</formula>
    </cfRule>
  </conditionalFormatting>
  <conditionalFormatting sqref="E1042:E1059">
    <cfRule type="expression" dxfId="906" priority="1023">
      <formula>AND(OR(C1042="NO",C1042="REV T",C1042="DBL REV",C1042="TPL REV",C1042="QD REV"),E1042&gt;12)</formula>
    </cfRule>
  </conditionalFormatting>
  <conditionalFormatting sqref="C1042:C1059">
    <cfRule type="expression" dxfId="905" priority="1022">
      <formula>AND(OR(C1043="FST",C1043="REV T",C1043="DBL REV",C1043="TPL REV",C1043="QD REV"),C1042="Field SPL")</formula>
    </cfRule>
  </conditionalFormatting>
  <conditionalFormatting sqref="L1074">
    <cfRule type="cellIs" dxfId="904" priority="1018" operator="lessThan">
      <formula>$L$7</formula>
    </cfRule>
  </conditionalFormatting>
  <conditionalFormatting sqref="I1073">
    <cfRule type="cellIs" dxfId="903" priority="1017" operator="lessThan">
      <formula>0</formula>
    </cfRule>
  </conditionalFormatting>
  <conditionalFormatting sqref="H1083:I1107">
    <cfRule type="cellIs" dxfId="902" priority="1016" operator="lessThan">
      <formula>0</formula>
    </cfRule>
  </conditionalFormatting>
  <conditionalFormatting sqref="E1107">
    <cfRule type="expression" dxfId="901" priority="1015">
      <formula>AND(OR(C1107="NO",C1107="REV T",C1107="DBL REV",C1107="TPL REV",C1107="QD REV"),E1107&gt;12)</formula>
    </cfRule>
  </conditionalFormatting>
  <conditionalFormatting sqref="B1095:B1107">
    <cfRule type="expression" dxfId="900" priority="1013">
      <formula>Z1095="error"</formula>
    </cfRule>
  </conditionalFormatting>
  <conditionalFormatting sqref="B1095:B1107">
    <cfRule type="expression" dxfId="899" priority="1012">
      <formula>AA1097="error"</formula>
    </cfRule>
  </conditionalFormatting>
  <conditionalFormatting sqref="E1107">
    <cfRule type="expression" dxfId="898" priority="1011">
      <formula>AND(OR(C1107="NO",C1107="REV T",C1107="DBL REV",C1107="TPL REV",C1107="QD REV"),E1107&gt;12)</formula>
    </cfRule>
  </conditionalFormatting>
  <conditionalFormatting sqref="E1078">
    <cfRule type="expression" dxfId="897" priority="1008">
      <formula>AND(E1073="EUC",E1074&gt;48,E1078="Y")</formula>
    </cfRule>
    <cfRule type="expression" dxfId="896" priority="1009">
      <formula>AND(E1073="RPX",E1074&gt;48,E1078="Y")</formula>
    </cfRule>
    <cfRule type="expression" dxfId="895" priority="1010">
      <formula>AND(E1073="SS",E1074&gt;48,E1078="Y")</formula>
    </cfRule>
  </conditionalFormatting>
  <conditionalFormatting sqref="I1077">
    <cfRule type="expression" dxfId="894" priority="1005">
      <formula>I1077=0</formula>
    </cfRule>
    <cfRule type="expression" dxfId="893" priority="1006">
      <formula>MOD(I1077,2)=0</formula>
    </cfRule>
  </conditionalFormatting>
  <conditionalFormatting sqref="E1101:E1106">
    <cfRule type="expression" dxfId="892" priority="1004">
      <formula>AND(OR(C1101="NO",C1101="REV T",C1101="DBL REV",C1101="TPL REV",C1101="QD REV"),E1101&gt;12)</formula>
    </cfRule>
  </conditionalFormatting>
  <conditionalFormatting sqref="C1101:C1107">
    <cfRule type="expression" dxfId="891" priority="1003">
      <formula>AND(OR(C1102="FST",C1102="REV T",C1102="DBL REV",C1102="TPL REV",C1102="QD REV"),C1101="Field SPL")</formula>
    </cfRule>
  </conditionalFormatting>
  <conditionalFormatting sqref="I1072">
    <cfRule type="expression" dxfId="890" priority="1002">
      <formula>AND(E1073="EUC",E1074=432,I1072&gt;204)</formula>
    </cfRule>
  </conditionalFormatting>
  <conditionalFormatting sqref="E1074">
    <cfRule type="expression" dxfId="889" priority="998">
      <formula>(AND(E1073="EUC",E1074=432))</formula>
    </cfRule>
    <cfRule type="expression" dxfId="888" priority="999">
      <formula>AND(E1073="SS",E1074&gt;216)</formula>
    </cfRule>
    <cfRule type="expression" dxfId="887" priority="1000">
      <formula>(AND(E1073="EUC",E1074&gt;216))</formula>
    </cfRule>
    <cfRule type="expression" dxfId="886" priority="1001">
      <formula>AND(E1073="RPX",E1074&gt;216)</formula>
    </cfRule>
  </conditionalFormatting>
  <conditionalFormatting sqref="E1083:E1085 E1089:E1100">
    <cfRule type="expression" dxfId="885" priority="997">
      <formula>AND(OR(C1083="NO",C1083="REV T",C1083="DBL REV",C1083="TPL REV",C1083="QD REV"),E1083&gt;12)</formula>
    </cfRule>
  </conditionalFormatting>
  <conditionalFormatting sqref="C1083:C1085 C1089:C1100">
    <cfRule type="expression" dxfId="884" priority="996">
      <formula>AND(OR(C1084="FST",C1084="REV T",C1084="DBL REV",C1084="TPL REV",C1084="QD REV"),C1083="Field SPL")</formula>
    </cfRule>
  </conditionalFormatting>
  <conditionalFormatting sqref="L1115">
    <cfRule type="cellIs" dxfId="883" priority="992" operator="lessThan">
      <formula>$L$7</formula>
    </cfRule>
  </conditionalFormatting>
  <conditionalFormatting sqref="I1114">
    <cfRule type="cellIs" dxfId="882" priority="991" operator="lessThan">
      <formula>0</formula>
    </cfRule>
  </conditionalFormatting>
  <conditionalFormatting sqref="H1124:I1148">
    <cfRule type="cellIs" dxfId="881" priority="990" operator="lessThan">
      <formula>0</formula>
    </cfRule>
  </conditionalFormatting>
  <conditionalFormatting sqref="E1148">
    <cfRule type="expression" dxfId="880" priority="989">
      <formula>AND(OR(C1148="NO",C1148="REV T",C1148="DBL REV",C1148="TPL REV",C1148="QD REV"),E1148&gt;12)</formula>
    </cfRule>
  </conditionalFormatting>
  <conditionalFormatting sqref="B1136:B1148">
    <cfRule type="expression" dxfId="879" priority="987">
      <formula>Z1136="error"</formula>
    </cfRule>
  </conditionalFormatting>
  <conditionalFormatting sqref="B1136:B1148">
    <cfRule type="expression" dxfId="878" priority="986">
      <formula>AA1138="error"</formula>
    </cfRule>
  </conditionalFormatting>
  <conditionalFormatting sqref="E1148">
    <cfRule type="expression" dxfId="877" priority="985">
      <formula>AND(OR(C1148="NO",C1148="REV T",C1148="DBL REV",C1148="TPL REV",C1148="QD REV"),E1148&gt;12)</formula>
    </cfRule>
  </conditionalFormatting>
  <conditionalFormatting sqref="E1119">
    <cfRule type="expression" dxfId="876" priority="982">
      <formula>AND(E1114="EUC",E1115&gt;48,E1119="Y")</formula>
    </cfRule>
    <cfRule type="expression" dxfId="875" priority="983">
      <formula>AND(E1114="RPX",E1115&gt;48,E1119="Y")</formula>
    </cfRule>
    <cfRule type="expression" dxfId="874" priority="984">
      <formula>AND(E1114="SS",E1115&gt;48,E1119="Y")</formula>
    </cfRule>
  </conditionalFormatting>
  <conditionalFormatting sqref="I1118">
    <cfRule type="expression" dxfId="873" priority="979">
      <formula>I1118=0</formula>
    </cfRule>
    <cfRule type="expression" dxfId="872" priority="980">
      <formula>MOD(I1118,2)=0</formula>
    </cfRule>
  </conditionalFormatting>
  <conditionalFormatting sqref="E1142:E1147">
    <cfRule type="expression" dxfId="871" priority="978">
      <formula>AND(OR(C1142="NO",C1142="REV T",C1142="DBL REV",C1142="TPL REV",C1142="QD REV"),E1142&gt;12)</formula>
    </cfRule>
  </conditionalFormatting>
  <conditionalFormatting sqref="C1142:C1148">
    <cfRule type="expression" dxfId="870" priority="977">
      <formula>AND(OR(C1143="FST",C1143="REV T",C1143="DBL REV",C1143="TPL REV",C1143="QD REV"),C1142="Field SPL")</formula>
    </cfRule>
  </conditionalFormatting>
  <conditionalFormatting sqref="I1113">
    <cfRule type="expression" dxfId="869" priority="976">
      <formula>AND(E1114="EUC",E1115=432,I1113&gt;204)</formula>
    </cfRule>
  </conditionalFormatting>
  <conditionalFormatting sqref="E1115">
    <cfRule type="expression" dxfId="868" priority="972">
      <formula>(AND(E1114="EUC",E1115=432))</formula>
    </cfRule>
    <cfRule type="expression" dxfId="867" priority="973">
      <formula>AND(E1114="SS",E1115&gt;216)</formula>
    </cfRule>
    <cfRule type="expression" dxfId="866" priority="974">
      <formula>(AND(E1114="EUC",E1115&gt;216))</formula>
    </cfRule>
    <cfRule type="expression" dxfId="865" priority="975">
      <formula>AND(E1114="RPX",E1115&gt;216)</formula>
    </cfRule>
  </conditionalFormatting>
  <conditionalFormatting sqref="E1124:E1141">
    <cfRule type="expression" dxfId="864" priority="971">
      <formula>AND(OR(C1124="NO",C1124="REV T",C1124="DBL REV",C1124="TPL REV",C1124="QD REV"),E1124&gt;12)</formula>
    </cfRule>
  </conditionalFormatting>
  <conditionalFormatting sqref="C1124:C1141">
    <cfRule type="expression" dxfId="863" priority="970">
      <formula>AND(OR(C1125="FST",C1125="REV T",C1125="DBL REV",C1125="TPL REV",C1125="QD REV"),C1124="Field SPL")</formula>
    </cfRule>
  </conditionalFormatting>
  <conditionalFormatting sqref="L1156">
    <cfRule type="cellIs" dxfId="862" priority="966" operator="lessThan">
      <formula>$L$7</formula>
    </cfRule>
  </conditionalFormatting>
  <conditionalFormatting sqref="I1155">
    <cfRule type="cellIs" dxfId="861" priority="965" operator="lessThan">
      <formula>0</formula>
    </cfRule>
  </conditionalFormatting>
  <conditionalFormatting sqref="H1165:I1189">
    <cfRule type="cellIs" dxfId="860" priority="964" operator="lessThan">
      <formula>0</formula>
    </cfRule>
  </conditionalFormatting>
  <conditionalFormatting sqref="E1189">
    <cfRule type="expression" dxfId="859" priority="963">
      <formula>AND(OR(C1189="NO",C1189="REV T",C1189="DBL REV",C1189="TPL REV",C1189="QD REV"),E1189&gt;12)</formula>
    </cfRule>
  </conditionalFormatting>
  <conditionalFormatting sqref="B1177:B1189">
    <cfRule type="expression" dxfId="858" priority="961">
      <formula>Z1177="error"</formula>
    </cfRule>
  </conditionalFormatting>
  <conditionalFormatting sqref="B1177:B1189">
    <cfRule type="expression" dxfId="857" priority="960">
      <formula>AA1179="error"</formula>
    </cfRule>
  </conditionalFormatting>
  <conditionalFormatting sqref="E1189">
    <cfRule type="expression" dxfId="856" priority="959">
      <formula>AND(OR(C1189="NO",C1189="REV T",C1189="DBL REV",C1189="TPL REV",C1189="QD REV"),E1189&gt;12)</formula>
    </cfRule>
  </conditionalFormatting>
  <conditionalFormatting sqref="E1160">
    <cfRule type="expression" dxfId="855" priority="956">
      <formula>AND(E1155="EUC",E1156&gt;48,E1160="Y")</formula>
    </cfRule>
    <cfRule type="expression" dxfId="854" priority="957">
      <formula>AND(E1155="RPX",E1156&gt;48,E1160="Y")</formula>
    </cfRule>
    <cfRule type="expression" dxfId="853" priority="958">
      <formula>AND(E1155="SS",E1156&gt;48,E1160="Y")</formula>
    </cfRule>
  </conditionalFormatting>
  <conditionalFormatting sqref="I1159">
    <cfRule type="expression" dxfId="852" priority="953">
      <formula>I1159=0</formula>
    </cfRule>
    <cfRule type="expression" dxfId="851" priority="954">
      <formula>MOD(I1159,2)=0</formula>
    </cfRule>
  </conditionalFormatting>
  <conditionalFormatting sqref="E1183:E1188">
    <cfRule type="expression" dxfId="850" priority="952">
      <formula>AND(OR(C1183="NO",C1183="REV T",C1183="DBL REV",C1183="TPL REV",C1183="QD REV"),E1183&gt;12)</formula>
    </cfRule>
  </conditionalFormatting>
  <conditionalFormatting sqref="C1183:C1189">
    <cfRule type="expression" dxfId="849" priority="951">
      <formula>AND(OR(C1184="FST",C1184="REV T",C1184="DBL REV",C1184="TPL REV",C1184="QD REV"),C1183="Field SPL")</formula>
    </cfRule>
  </conditionalFormatting>
  <conditionalFormatting sqref="I1154">
    <cfRule type="expression" dxfId="848" priority="950">
      <formula>AND(E1155="EUC",E1156=432,I1154&gt;204)</formula>
    </cfRule>
  </conditionalFormatting>
  <conditionalFormatting sqref="E1156">
    <cfRule type="expression" dxfId="847" priority="946">
      <formula>(AND(E1155="EUC",E1156=432))</formula>
    </cfRule>
    <cfRule type="expression" dxfId="846" priority="947">
      <formula>AND(E1155="SS",E1156&gt;216)</formula>
    </cfRule>
    <cfRule type="expression" dxfId="845" priority="948">
      <formula>(AND(E1155="EUC",E1156&gt;216))</formula>
    </cfRule>
    <cfRule type="expression" dxfId="844" priority="949">
      <formula>AND(E1155="RPX",E1156&gt;216)</formula>
    </cfRule>
  </conditionalFormatting>
  <conditionalFormatting sqref="E1165:E1182">
    <cfRule type="expression" dxfId="843" priority="945">
      <formula>AND(OR(C1165="NO",C1165="REV T",C1165="DBL REV",C1165="TPL REV",C1165="QD REV"),E1165&gt;12)</formula>
    </cfRule>
  </conditionalFormatting>
  <conditionalFormatting sqref="C1165:C1182">
    <cfRule type="expression" dxfId="842" priority="944">
      <formula>AND(OR(C1166="FST",C1166="REV T",C1166="DBL REV",C1166="TPL REV",C1166="QD REV"),C1165="Field SPL")</formula>
    </cfRule>
  </conditionalFormatting>
  <conditionalFormatting sqref="L1197">
    <cfRule type="cellIs" dxfId="841" priority="940" operator="lessThan">
      <formula>$L$7</formula>
    </cfRule>
  </conditionalFormatting>
  <conditionalFormatting sqref="I1196">
    <cfRule type="cellIs" dxfId="840" priority="939" operator="lessThan">
      <formula>0</formula>
    </cfRule>
  </conditionalFormatting>
  <conditionalFormatting sqref="H1206:I1230">
    <cfRule type="cellIs" dxfId="839" priority="938" operator="lessThan">
      <formula>0</formula>
    </cfRule>
  </conditionalFormatting>
  <conditionalFormatting sqref="E1230">
    <cfRule type="expression" dxfId="838" priority="937">
      <formula>AND(OR(C1230="NO",C1230="REV T",C1230="DBL REV",C1230="TPL REV",C1230="QD REV"),E1230&gt;12)</formula>
    </cfRule>
  </conditionalFormatting>
  <conditionalFormatting sqref="B1218:B1230">
    <cfRule type="expression" dxfId="837" priority="935">
      <formula>Z1218="error"</formula>
    </cfRule>
  </conditionalFormatting>
  <conditionalFormatting sqref="B1218:B1230">
    <cfRule type="expression" dxfId="836" priority="934">
      <formula>AA1220="error"</formula>
    </cfRule>
  </conditionalFormatting>
  <conditionalFormatting sqref="E1230">
    <cfRule type="expression" dxfId="835" priority="933">
      <formula>AND(OR(C1230="NO",C1230="REV T",C1230="DBL REV",C1230="TPL REV",C1230="QD REV"),E1230&gt;12)</formula>
    </cfRule>
  </conditionalFormatting>
  <conditionalFormatting sqref="E1201">
    <cfRule type="expression" dxfId="834" priority="930">
      <formula>AND(E1196="EUC",E1197&gt;48,E1201="Y")</formula>
    </cfRule>
    <cfRule type="expression" dxfId="833" priority="931">
      <formula>AND(E1196="RPX",E1197&gt;48,E1201="Y")</formula>
    </cfRule>
    <cfRule type="expression" dxfId="832" priority="932">
      <formula>AND(E1196="SS",E1197&gt;48,E1201="Y")</formula>
    </cfRule>
  </conditionalFormatting>
  <conditionalFormatting sqref="I1200">
    <cfRule type="expression" dxfId="831" priority="927">
      <formula>I1200=0</formula>
    </cfRule>
    <cfRule type="expression" dxfId="830" priority="928">
      <formula>MOD(I1200,2)=0</formula>
    </cfRule>
  </conditionalFormatting>
  <conditionalFormatting sqref="E1224:E1229">
    <cfRule type="expression" dxfId="829" priority="926">
      <formula>AND(OR(C1224="NO",C1224="REV T",C1224="DBL REV",C1224="TPL REV",C1224="QD REV"),E1224&gt;12)</formula>
    </cfRule>
  </conditionalFormatting>
  <conditionalFormatting sqref="C1224:C1230">
    <cfRule type="expression" dxfId="828" priority="925">
      <formula>AND(OR(C1225="FST",C1225="REV T",C1225="DBL REV",C1225="TPL REV",C1225="QD REV"),C1224="Field SPL")</formula>
    </cfRule>
  </conditionalFormatting>
  <conditionalFormatting sqref="I1195">
    <cfRule type="expression" dxfId="827" priority="924">
      <formula>AND(E1196="EUC",E1197=432,I1195&gt;204)</formula>
    </cfRule>
  </conditionalFormatting>
  <conditionalFormatting sqref="E1197">
    <cfRule type="expression" dxfId="826" priority="920">
      <formula>(AND(E1196="EUC",E1197=432))</formula>
    </cfRule>
    <cfRule type="expression" dxfId="825" priority="921">
      <formula>AND(E1196="SS",E1197&gt;216)</formula>
    </cfRule>
    <cfRule type="expression" dxfId="824" priority="922">
      <formula>(AND(E1196="EUC",E1197&gt;216))</formula>
    </cfRule>
    <cfRule type="expression" dxfId="823" priority="923">
      <formula>AND(E1196="RPX",E1197&gt;216)</formula>
    </cfRule>
  </conditionalFormatting>
  <conditionalFormatting sqref="E1206:E1223">
    <cfRule type="expression" dxfId="822" priority="919">
      <formula>AND(OR(C1206="NO",C1206="REV T",C1206="DBL REV",C1206="TPL REV",C1206="QD REV"),E1206&gt;12)</formula>
    </cfRule>
  </conditionalFormatting>
  <conditionalFormatting sqref="C1206:C1223">
    <cfRule type="expression" dxfId="821" priority="918">
      <formula>AND(OR(C1207="FST",C1207="REV T",C1207="DBL REV",C1207="TPL REV",C1207="QD REV"),C1206="Field SPL")</formula>
    </cfRule>
  </conditionalFormatting>
  <conditionalFormatting sqref="L1238">
    <cfRule type="cellIs" dxfId="820" priority="914" operator="lessThan">
      <formula>$L$7</formula>
    </cfRule>
  </conditionalFormatting>
  <conditionalFormatting sqref="I1237">
    <cfRule type="cellIs" dxfId="819" priority="913" operator="lessThan">
      <formula>0</formula>
    </cfRule>
  </conditionalFormatting>
  <conditionalFormatting sqref="H1247:I1271">
    <cfRule type="cellIs" dxfId="818" priority="912" operator="lessThan">
      <formula>0</formula>
    </cfRule>
  </conditionalFormatting>
  <conditionalFormatting sqref="E1271">
    <cfRule type="expression" dxfId="817" priority="911">
      <formula>AND(OR(C1271="NO",C1271="REV T",C1271="DBL REV",C1271="TPL REV",C1271="QD REV"),E1271&gt;12)</formula>
    </cfRule>
  </conditionalFormatting>
  <conditionalFormatting sqref="B1259:B1271">
    <cfRule type="expression" dxfId="816" priority="909">
      <formula>Z1259="error"</formula>
    </cfRule>
  </conditionalFormatting>
  <conditionalFormatting sqref="B1259:B1271">
    <cfRule type="expression" dxfId="815" priority="908">
      <formula>AA1261="error"</formula>
    </cfRule>
  </conditionalFormatting>
  <conditionalFormatting sqref="E1271">
    <cfRule type="expression" dxfId="814" priority="907">
      <formula>AND(OR(C1271="NO",C1271="REV T",C1271="DBL REV",C1271="TPL REV",C1271="QD REV"),E1271&gt;12)</formula>
    </cfRule>
  </conditionalFormatting>
  <conditionalFormatting sqref="E1242">
    <cfRule type="expression" dxfId="813" priority="904">
      <formula>AND(E1237="EUC",E1238&gt;48,E1242="Y")</formula>
    </cfRule>
    <cfRule type="expression" dxfId="812" priority="905">
      <formula>AND(E1237="RPX",E1238&gt;48,E1242="Y")</formula>
    </cfRule>
    <cfRule type="expression" dxfId="811" priority="906">
      <formula>AND(E1237="SS",E1238&gt;48,E1242="Y")</formula>
    </cfRule>
  </conditionalFormatting>
  <conditionalFormatting sqref="I1241">
    <cfRule type="expression" dxfId="810" priority="901">
      <formula>I1241=0</formula>
    </cfRule>
    <cfRule type="expression" dxfId="809" priority="902">
      <formula>MOD(I1241,2)=0</formula>
    </cfRule>
  </conditionalFormatting>
  <conditionalFormatting sqref="E1265:E1270">
    <cfRule type="expression" dxfId="808" priority="900">
      <formula>AND(OR(C1265="NO",C1265="REV T",C1265="DBL REV",C1265="TPL REV",C1265="QD REV"),E1265&gt;12)</formula>
    </cfRule>
  </conditionalFormatting>
  <conditionalFormatting sqref="C1265:C1271">
    <cfRule type="expression" dxfId="807" priority="899">
      <formula>AND(OR(C1266="FST",C1266="REV T",C1266="DBL REV",C1266="TPL REV",C1266="QD REV"),C1265="Field SPL")</formula>
    </cfRule>
  </conditionalFormatting>
  <conditionalFormatting sqref="I1236">
    <cfRule type="expression" dxfId="806" priority="898">
      <formula>AND(E1237="EUC",E1238=432,I1236&gt;204)</formula>
    </cfRule>
  </conditionalFormatting>
  <conditionalFormatting sqref="E1238">
    <cfRule type="expression" dxfId="805" priority="894">
      <formula>(AND(E1237="EUC",E1238=432))</formula>
    </cfRule>
    <cfRule type="expression" dxfId="804" priority="895">
      <formula>AND(E1237="SS",E1238&gt;216)</formula>
    </cfRule>
    <cfRule type="expression" dxfId="803" priority="896">
      <formula>(AND(E1237="EUC",E1238&gt;216))</formula>
    </cfRule>
    <cfRule type="expression" dxfId="802" priority="897">
      <formula>AND(E1237="RPX",E1238&gt;216)</formula>
    </cfRule>
  </conditionalFormatting>
  <conditionalFormatting sqref="E1247:E1264">
    <cfRule type="expression" dxfId="801" priority="893">
      <formula>AND(OR(C1247="NO",C1247="REV T",C1247="DBL REV",C1247="TPL REV",C1247="QD REV"),E1247&gt;12)</formula>
    </cfRule>
  </conditionalFormatting>
  <conditionalFormatting sqref="C1247:C1264">
    <cfRule type="expression" dxfId="800" priority="892">
      <formula>AND(OR(C1248="FST",C1248="REV T",C1248="DBL REV",C1248="TPL REV",C1248="QD REV"),C1247="Field SPL")</formula>
    </cfRule>
  </conditionalFormatting>
  <conditionalFormatting sqref="L1279">
    <cfRule type="cellIs" dxfId="799" priority="888" operator="lessThan">
      <formula>$L$7</formula>
    </cfRule>
  </conditionalFormatting>
  <conditionalFormatting sqref="I1278">
    <cfRule type="cellIs" dxfId="798" priority="887" operator="lessThan">
      <formula>0</formula>
    </cfRule>
  </conditionalFormatting>
  <conditionalFormatting sqref="H1288:I1312">
    <cfRule type="cellIs" dxfId="797" priority="886" operator="lessThan">
      <formula>0</formula>
    </cfRule>
  </conditionalFormatting>
  <conditionalFormatting sqref="E1312">
    <cfRule type="expression" dxfId="796" priority="885">
      <formula>AND(OR(C1312="NO",C1312="REV T",C1312="DBL REV",C1312="TPL REV",C1312="QD REV"),E1312&gt;12)</formula>
    </cfRule>
  </conditionalFormatting>
  <conditionalFormatting sqref="B1300:B1312">
    <cfRule type="expression" dxfId="795" priority="883">
      <formula>Z1300="error"</formula>
    </cfRule>
  </conditionalFormatting>
  <conditionalFormatting sqref="B1300:B1312">
    <cfRule type="expression" dxfId="794" priority="882">
      <formula>AA1302="error"</formula>
    </cfRule>
  </conditionalFormatting>
  <conditionalFormatting sqref="E1312">
    <cfRule type="expression" dxfId="793" priority="881">
      <formula>AND(OR(C1312="NO",C1312="REV T",C1312="DBL REV",C1312="TPL REV",C1312="QD REV"),E1312&gt;12)</formula>
    </cfRule>
  </conditionalFormatting>
  <conditionalFormatting sqref="E1283">
    <cfRule type="expression" dxfId="792" priority="878">
      <formula>AND(E1278="EUC",E1279&gt;48,E1283="Y")</formula>
    </cfRule>
    <cfRule type="expression" dxfId="791" priority="879">
      <formula>AND(E1278="RPX",E1279&gt;48,E1283="Y")</formula>
    </cfRule>
    <cfRule type="expression" dxfId="790" priority="880">
      <formula>AND(E1278="SS",E1279&gt;48,E1283="Y")</formula>
    </cfRule>
  </conditionalFormatting>
  <conditionalFormatting sqref="I1282">
    <cfRule type="expression" dxfId="789" priority="875">
      <formula>I1282=0</formula>
    </cfRule>
    <cfRule type="expression" dxfId="788" priority="876">
      <formula>MOD(I1282,2)=0</formula>
    </cfRule>
  </conditionalFormatting>
  <conditionalFormatting sqref="E1306:E1311">
    <cfRule type="expression" dxfId="787" priority="874">
      <formula>AND(OR(C1306="NO",C1306="REV T",C1306="DBL REV",C1306="TPL REV",C1306="QD REV"),E1306&gt;12)</formula>
    </cfRule>
  </conditionalFormatting>
  <conditionalFormatting sqref="C1306:C1312">
    <cfRule type="expression" dxfId="786" priority="873">
      <formula>AND(OR(C1307="FST",C1307="REV T",C1307="DBL REV",C1307="TPL REV",C1307="QD REV"),C1306="Field SPL")</formula>
    </cfRule>
  </conditionalFormatting>
  <conditionalFormatting sqref="I1277">
    <cfRule type="expression" dxfId="785" priority="872">
      <formula>AND(E1278="EUC",E1279=432,I1277&gt;204)</formula>
    </cfRule>
  </conditionalFormatting>
  <conditionalFormatting sqref="E1279">
    <cfRule type="expression" dxfId="784" priority="868">
      <formula>(AND(E1278="EUC",E1279=432))</formula>
    </cfRule>
    <cfRule type="expression" dxfId="783" priority="869">
      <formula>AND(E1278="SS",E1279&gt;216)</formula>
    </cfRule>
    <cfRule type="expression" dxfId="782" priority="870">
      <formula>(AND(E1278="EUC",E1279&gt;216))</formula>
    </cfRule>
    <cfRule type="expression" dxfId="781" priority="871">
      <formula>AND(E1278="RPX",E1279&gt;216)</formula>
    </cfRule>
  </conditionalFormatting>
  <conditionalFormatting sqref="E1288:E1305">
    <cfRule type="expression" dxfId="780" priority="867">
      <formula>AND(OR(C1288="NO",C1288="REV T",C1288="DBL REV",C1288="TPL REV",C1288="QD REV"),E1288&gt;12)</formula>
    </cfRule>
  </conditionalFormatting>
  <conditionalFormatting sqref="C1288:C1305">
    <cfRule type="expression" dxfId="779" priority="866">
      <formula>AND(OR(C1289="FST",C1289="REV T",C1289="DBL REV",C1289="TPL REV",C1289="QD REV"),C1288="Field SPL")</formula>
    </cfRule>
  </conditionalFormatting>
  <conditionalFormatting sqref="L1320">
    <cfRule type="cellIs" dxfId="778" priority="862" operator="lessThan">
      <formula>$L$7</formula>
    </cfRule>
  </conditionalFormatting>
  <conditionalFormatting sqref="I1319">
    <cfRule type="cellIs" dxfId="777" priority="861" operator="lessThan">
      <formula>0</formula>
    </cfRule>
  </conditionalFormatting>
  <conditionalFormatting sqref="H1329:I1353">
    <cfRule type="cellIs" dxfId="776" priority="860" operator="lessThan">
      <formula>0</formula>
    </cfRule>
  </conditionalFormatting>
  <conditionalFormatting sqref="E1353">
    <cfRule type="expression" dxfId="775" priority="859">
      <formula>AND(OR(C1353="NO",C1353="REV T",C1353="DBL REV",C1353="TPL REV",C1353="QD REV"),E1353&gt;12)</formula>
    </cfRule>
  </conditionalFormatting>
  <conditionalFormatting sqref="B1341:B1353">
    <cfRule type="expression" dxfId="774" priority="857">
      <formula>Z1341="error"</formula>
    </cfRule>
  </conditionalFormatting>
  <conditionalFormatting sqref="B1341:B1353">
    <cfRule type="expression" dxfId="773" priority="856">
      <formula>AA1343="error"</formula>
    </cfRule>
  </conditionalFormatting>
  <conditionalFormatting sqref="E1353">
    <cfRule type="expression" dxfId="772" priority="855">
      <formula>AND(OR(C1353="NO",C1353="REV T",C1353="DBL REV",C1353="TPL REV",C1353="QD REV"),E1353&gt;12)</formula>
    </cfRule>
  </conditionalFormatting>
  <conditionalFormatting sqref="E1324">
    <cfRule type="expression" dxfId="771" priority="852">
      <formula>AND(E1319="EUC",E1320&gt;48,E1324="Y")</formula>
    </cfRule>
    <cfRule type="expression" dxfId="770" priority="853">
      <formula>AND(E1319="RPX",E1320&gt;48,E1324="Y")</formula>
    </cfRule>
    <cfRule type="expression" dxfId="769" priority="854">
      <formula>AND(E1319="SS",E1320&gt;48,E1324="Y")</formula>
    </cfRule>
  </conditionalFormatting>
  <conditionalFormatting sqref="I1323">
    <cfRule type="expression" dxfId="768" priority="849">
      <formula>I1323=0</formula>
    </cfRule>
    <cfRule type="expression" dxfId="767" priority="850">
      <formula>MOD(I1323,2)=0</formula>
    </cfRule>
  </conditionalFormatting>
  <conditionalFormatting sqref="E1347:E1352">
    <cfRule type="expression" dxfId="766" priority="848">
      <formula>AND(OR(C1347="NO",C1347="REV T",C1347="DBL REV",C1347="TPL REV",C1347="QD REV"),E1347&gt;12)</formula>
    </cfRule>
  </conditionalFormatting>
  <conditionalFormatting sqref="C1347:C1353">
    <cfRule type="expression" dxfId="765" priority="847">
      <formula>AND(OR(C1348="FST",C1348="REV T",C1348="DBL REV",C1348="TPL REV",C1348="QD REV"),C1347="Field SPL")</formula>
    </cfRule>
  </conditionalFormatting>
  <conditionalFormatting sqref="I1318">
    <cfRule type="expression" dxfId="764" priority="846">
      <formula>AND(E1319="EUC",E1320=432,I1318&gt;204)</formula>
    </cfRule>
  </conditionalFormatting>
  <conditionalFormatting sqref="E1320">
    <cfRule type="expression" dxfId="763" priority="842">
      <formula>(AND(E1319="EUC",E1320=432))</formula>
    </cfRule>
    <cfRule type="expression" dxfId="762" priority="843">
      <formula>AND(E1319="SS",E1320&gt;216)</formula>
    </cfRule>
    <cfRule type="expression" dxfId="761" priority="844">
      <formula>(AND(E1319="EUC",E1320&gt;216))</formula>
    </cfRule>
    <cfRule type="expression" dxfId="760" priority="845">
      <formula>AND(E1319="RPX",E1320&gt;216)</formula>
    </cfRule>
  </conditionalFormatting>
  <conditionalFormatting sqref="E1329:E1346">
    <cfRule type="expression" dxfId="759" priority="841">
      <formula>AND(OR(C1329="NO",C1329="REV T",C1329="DBL REV",C1329="TPL REV",C1329="QD REV"),E1329&gt;12)</formula>
    </cfRule>
  </conditionalFormatting>
  <conditionalFormatting sqref="C1329:C1346">
    <cfRule type="expression" dxfId="758" priority="840">
      <formula>AND(OR(C1330="FST",C1330="REV T",C1330="DBL REV",C1330="TPL REV",C1330="QD REV"),C1329="Field SPL")</formula>
    </cfRule>
  </conditionalFormatting>
  <conditionalFormatting sqref="L1361">
    <cfRule type="cellIs" dxfId="757" priority="836" operator="lessThan">
      <formula>$L$7</formula>
    </cfRule>
  </conditionalFormatting>
  <conditionalFormatting sqref="I1360">
    <cfRule type="cellIs" dxfId="756" priority="835" operator="lessThan">
      <formula>0</formula>
    </cfRule>
  </conditionalFormatting>
  <conditionalFormatting sqref="H1370:I1394">
    <cfRule type="cellIs" dxfId="755" priority="834" operator="lessThan">
      <formula>0</formula>
    </cfRule>
  </conditionalFormatting>
  <conditionalFormatting sqref="E1394">
    <cfRule type="expression" dxfId="754" priority="833">
      <formula>AND(OR(C1394="NO",C1394="REV T",C1394="DBL REV",C1394="TPL REV",C1394="QD REV"),E1394&gt;12)</formula>
    </cfRule>
  </conditionalFormatting>
  <conditionalFormatting sqref="B1382:B1394">
    <cfRule type="expression" dxfId="753" priority="831">
      <formula>Z1382="error"</formula>
    </cfRule>
  </conditionalFormatting>
  <conditionalFormatting sqref="B1382:B1394">
    <cfRule type="expression" dxfId="752" priority="830">
      <formula>AA1384="error"</formula>
    </cfRule>
  </conditionalFormatting>
  <conditionalFormatting sqref="E1394">
    <cfRule type="expression" dxfId="751" priority="829">
      <formula>AND(OR(C1394="NO",C1394="REV T",C1394="DBL REV",C1394="TPL REV",C1394="QD REV"),E1394&gt;12)</formula>
    </cfRule>
  </conditionalFormatting>
  <conditionalFormatting sqref="E1365">
    <cfRule type="expression" dxfId="750" priority="826">
      <formula>AND(E1360="EUC",E1361&gt;48,E1365="Y")</formula>
    </cfRule>
    <cfRule type="expression" dxfId="749" priority="827">
      <formula>AND(E1360="RPX",E1361&gt;48,E1365="Y")</formula>
    </cfRule>
    <cfRule type="expression" dxfId="748" priority="828">
      <formula>AND(E1360="SS",E1361&gt;48,E1365="Y")</formula>
    </cfRule>
  </conditionalFormatting>
  <conditionalFormatting sqref="I1364">
    <cfRule type="expression" dxfId="747" priority="823">
      <formula>I1364=0</formula>
    </cfRule>
    <cfRule type="expression" dxfId="746" priority="824">
      <formula>MOD(I1364,2)=0</formula>
    </cfRule>
  </conditionalFormatting>
  <conditionalFormatting sqref="E1388:E1393">
    <cfRule type="expression" dxfId="745" priority="822">
      <formula>AND(OR(C1388="NO",C1388="REV T",C1388="DBL REV",C1388="TPL REV",C1388="QD REV"),E1388&gt;12)</formula>
    </cfRule>
  </conditionalFormatting>
  <conditionalFormatting sqref="C1388:C1394">
    <cfRule type="expression" dxfId="744" priority="821">
      <formula>AND(OR(C1389="FST",C1389="REV T",C1389="DBL REV",C1389="TPL REV",C1389="QD REV"),C1388="Field SPL")</formula>
    </cfRule>
  </conditionalFormatting>
  <conditionalFormatting sqref="I1359">
    <cfRule type="expression" dxfId="743" priority="820">
      <formula>AND(E1360="EUC",E1361=432,I1359&gt;204)</formula>
    </cfRule>
  </conditionalFormatting>
  <conditionalFormatting sqref="E1361">
    <cfRule type="expression" dxfId="742" priority="816">
      <formula>(AND(E1360="EUC",E1361=432))</formula>
    </cfRule>
    <cfRule type="expression" dxfId="741" priority="817">
      <formula>AND(E1360="SS",E1361&gt;216)</formula>
    </cfRule>
    <cfRule type="expression" dxfId="740" priority="818">
      <formula>(AND(E1360="EUC",E1361&gt;216))</formula>
    </cfRule>
    <cfRule type="expression" dxfId="739" priority="819">
      <formula>AND(E1360="RPX",E1361&gt;216)</formula>
    </cfRule>
  </conditionalFormatting>
  <conditionalFormatting sqref="E1370:E1387">
    <cfRule type="expression" dxfId="738" priority="815">
      <formula>AND(OR(C1370="NO",C1370="REV T",C1370="DBL REV",C1370="TPL REV",C1370="QD REV"),E1370&gt;12)</formula>
    </cfRule>
  </conditionalFormatting>
  <conditionalFormatting sqref="C1370:C1387">
    <cfRule type="expression" dxfId="737" priority="814">
      <formula>AND(OR(C1371="FST",C1371="REV T",C1371="DBL REV",C1371="TPL REV",C1371="QD REV"),C1370="Field SPL")</formula>
    </cfRule>
  </conditionalFormatting>
  <conditionalFormatting sqref="L1402">
    <cfRule type="cellIs" dxfId="736" priority="810" operator="lessThan">
      <formula>$L$7</formula>
    </cfRule>
  </conditionalFormatting>
  <conditionalFormatting sqref="I1401">
    <cfRule type="cellIs" dxfId="735" priority="809" operator="lessThan">
      <formula>0</formula>
    </cfRule>
  </conditionalFormatting>
  <conditionalFormatting sqref="H1411:I1435">
    <cfRule type="cellIs" dxfId="734" priority="808" operator="lessThan">
      <formula>0</formula>
    </cfRule>
  </conditionalFormatting>
  <conditionalFormatting sqref="E1435">
    <cfRule type="expression" dxfId="733" priority="807">
      <formula>AND(OR(C1435="NO",C1435="REV T",C1435="DBL REV",C1435="TPL REV",C1435="QD REV"),E1435&gt;12)</formula>
    </cfRule>
  </conditionalFormatting>
  <conditionalFormatting sqref="B1423:B1435">
    <cfRule type="expression" dxfId="732" priority="805">
      <formula>Z1423="error"</formula>
    </cfRule>
  </conditionalFormatting>
  <conditionalFormatting sqref="B1423:B1435">
    <cfRule type="expression" dxfId="731" priority="804">
      <formula>AA1425="error"</formula>
    </cfRule>
  </conditionalFormatting>
  <conditionalFormatting sqref="E1435">
    <cfRule type="expression" dxfId="730" priority="803">
      <formula>AND(OR(C1435="NO",C1435="REV T",C1435="DBL REV",C1435="TPL REV",C1435="QD REV"),E1435&gt;12)</formula>
    </cfRule>
  </conditionalFormatting>
  <conditionalFormatting sqref="E1406">
    <cfRule type="expression" dxfId="729" priority="800">
      <formula>AND(E1401="EUC",E1402&gt;48,E1406="Y")</formula>
    </cfRule>
    <cfRule type="expression" dxfId="728" priority="801">
      <formula>AND(E1401="RPX",E1402&gt;48,E1406="Y")</formula>
    </cfRule>
    <cfRule type="expression" dxfId="727" priority="802">
      <formula>AND(E1401="SS",E1402&gt;48,E1406="Y")</formula>
    </cfRule>
  </conditionalFormatting>
  <conditionalFormatting sqref="I1405">
    <cfRule type="expression" dxfId="726" priority="797">
      <formula>I1405=0</formula>
    </cfRule>
    <cfRule type="expression" dxfId="725" priority="798">
      <formula>MOD(I1405,2)=0</formula>
    </cfRule>
  </conditionalFormatting>
  <conditionalFormatting sqref="E1429:E1434">
    <cfRule type="expression" dxfId="724" priority="796">
      <formula>AND(OR(C1429="NO",C1429="REV T",C1429="DBL REV",C1429="TPL REV",C1429="QD REV"),E1429&gt;12)</formula>
    </cfRule>
  </conditionalFormatting>
  <conditionalFormatting sqref="C1429:C1435">
    <cfRule type="expression" dxfId="723" priority="795">
      <formula>AND(OR(C1430="FST",C1430="REV T",C1430="DBL REV",C1430="TPL REV",C1430="QD REV"),C1429="Field SPL")</formula>
    </cfRule>
  </conditionalFormatting>
  <conditionalFormatting sqref="I1400">
    <cfRule type="expression" dxfId="722" priority="794">
      <formula>AND(E1401="EUC",E1402=432,I1400&gt;204)</formula>
    </cfRule>
  </conditionalFormatting>
  <conditionalFormatting sqref="E1402">
    <cfRule type="expression" dxfId="721" priority="790">
      <formula>(AND(E1401="EUC",E1402=432))</formula>
    </cfRule>
    <cfRule type="expression" dxfId="720" priority="791">
      <formula>AND(E1401="SS",E1402&gt;216)</formula>
    </cfRule>
    <cfRule type="expression" dxfId="719" priority="792">
      <formula>(AND(E1401="EUC",E1402&gt;216))</formula>
    </cfRule>
    <cfRule type="expression" dxfId="718" priority="793">
      <formula>AND(E1401="RPX",E1402&gt;216)</formula>
    </cfRule>
  </conditionalFormatting>
  <conditionalFormatting sqref="E1411:E1428">
    <cfRule type="expression" dxfId="717" priority="789">
      <formula>AND(OR(C1411="NO",C1411="REV T",C1411="DBL REV",C1411="TPL REV",C1411="QD REV"),E1411&gt;12)</formula>
    </cfRule>
  </conditionalFormatting>
  <conditionalFormatting sqref="C1411:C1428">
    <cfRule type="expression" dxfId="716" priority="788">
      <formula>AND(OR(C1412="FST",C1412="REV T",C1412="DBL REV",C1412="TPL REV",C1412="QD REV"),C1411="Field SPL")</formula>
    </cfRule>
  </conditionalFormatting>
  <conditionalFormatting sqref="L1443">
    <cfRule type="cellIs" dxfId="715" priority="784" operator="lessThan">
      <formula>$L$7</formula>
    </cfRule>
  </conditionalFormatting>
  <conditionalFormatting sqref="I1442">
    <cfRule type="cellIs" dxfId="714" priority="783" operator="lessThan">
      <formula>0</formula>
    </cfRule>
  </conditionalFormatting>
  <conditionalFormatting sqref="H1452:I1476">
    <cfRule type="cellIs" dxfId="713" priority="782" operator="lessThan">
      <formula>0</formula>
    </cfRule>
  </conditionalFormatting>
  <conditionalFormatting sqref="E1476">
    <cfRule type="expression" dxfId="712" priority="781">
      <formula>AND(OR(C1476="NO",C1476="REV T",C1476="DBL REV",C1476="TPL REV",C1476="QD REV"),E1476&gt;12)</formula>
    </cfRule>
  </conditionalFormatting>
  <conditionalFormatting sqref="B1464:B1476">
    <cfRule type="expression" dxfId="711" priority="779">
      <formula>Z1464="error"</formula>
    </cfRule>
  </conditionalFormatting>
  <conditionalFormatting sqref="B1464:B1476">
    <cfRule type="expression" dxfId="710" priority="778">
      <formula>AA1466="error"</formula>
    </cfRule>
  </conditionalFormatting>
  <conditionalFormatting sqref="E1476">
    <cfRule type="expression" dxfId="709" priority="777">
      <formula>AND(OR(C1476="NO",C1476="REV T",C1476="DBL REV",C1476="TPL REV",C1476="QD REV"),E1476&gt;12)</formula>
    </cfRule>
  </conditionalFormatting>
  <conditionalFormatting sqref="E1447">
    <cfRule type="expression" dxfId="708" priority="774">
      <formula>AND(E1442="EUC",E1443&gt;48,E1447="Y")</formula>
    </cfRule>
    <cfRule type="expression" dxfId="707" priority="775">
      <formula>AND(E1442="RPX",E1443&gt;48,E1447="Y")</formula>
    </cfRule>
    <cfRule type="expression" dxfId="706" priority="776">
      <formula>AND(E1442="SS",E1443&gt;48,E1447="Y")</formula>
    </cfRule>
  </conditionalFormatting>
  <conditionalFormatting sqref="I1446">
    <cfRule type="expression" dxfId="705" priority="771">
      <formula>I1446=0</formula>
    </cfRule>
    <cfRule type="expression" dxfId="704" priority="772">
      <formula>MOD(I1446,2)=0</formula>
    </cfRule>
  </conditionalFormatting>
  <conditionalFormatting sqref="E1470:E1475">
    <cfRule type="expression" dxfId="703" priority="770">
      <formula>AND(OR(C1470="NO",C1470="REV T",C1470="DBL REV",C1470="TPL REV",C1470="QD REV"),E1470&gt;12)</formula>
    </cfRule>
  </conditionalFormatting>
  <conditionalFormatting sqref="C1470:C1476">
    <cfRule type="expression" dxfId="702" priority="769">
      <formula>AND(OR(C1471="FST",C1471="REV T",C1471="DBL REV",C1471="TPL REV",C1471="QD REV"),C1470="Field SPL")</formula>
    </cfRule>
  </conditionalFormatting>
  <conditionalFormatting sqref="I1441">
    <cfRule type="expression" dxfId="701" priority="768">
      <formula>AND(E1442="EUC",E1443=432,I1441&gt;204)</formula>
    </cfRule>
  </conditionalFormatting>
  <conditionalFormatting sqref="E1443">
    <cfRule type="expression" dxfId="700" priority="764">
      <formula>(AND(E1442="EUC",E1443=432))</formula>
    </cfRule>
    <cfRule type="expression" dxfId="699" priority="765">
      <formula>AND(E1442="SS",E1443&gt;216)</formula>
    </cfRule>
    <cfRule type="expression" dxfId="698" priority="766">
      <formula>(AND(E1442="EUC",E1443&gt;216))</formula>
    </cfRule>
    <cfRule type="expression" dxfId="697" priority="767">
      <formula>AND(E1442="RPX",E1443&gt;216)</formula>
    </cfRule>
  </conditionalFormatting>
  <conditionalFormatting sqref="E1452:E1469">
    <cfRule type="expression" dxfId="696" priority="763">
      <formula>AND(OR(C1452="NO",C1452="REV T",C1452="DBL REV",C1452="TPL REV",C1452="QD REV"),E1452&gt;12)</formula>
    </cfRule>
  </conditionalFormatting>
  <conditionalFormatting sqref="C1452:C1469">
    <cfRule type="expression" dxfId="695" priority="762">
      <formula>AND(OR(C1453="FST",C1453="REV T",C1453="DBL REV",C1453="TPL REV",C1453="QD REV"),C1452="Field SPL")</formula>
    </cfRule>
  </conditionalFormatting>
  <conditionalFormatting sqref="L1484">
    <cfRule type="cellIs" dxfId="694" priority="758" operator="lessThan">
      <formula>$L$7</formula>
    </cfRule>
  </conditionalFormatting>
  <conditionalFormatting sqref="I1483">
    <cfRule type="cellIs" dxfId="693" priority="757" operator="lessThan">
      <formula>0</formula>
    </cfRule>
  </conditionalFormatting>
  <conditionalFormatting sqref="H1493:I1517">
    <cfRule type="cellIs" dxfId="692" priority="756" operator="lessThan">
      <formula>0</formula>
    </cfRule>
  </conditionalFormatting>
  <conditionalFormatting sqref="E1517">
    <cfRule type="expression" dxfId="691" priority="755">
      <formula>AND(OR(C1517="NO",C1517="REV T",C1517="DBL REV",C1517="TPL REV",C1517="QD REV"),E1517&gt;12)</formula>
    </cfRule>
  </conditionalFormatting>
  <conditionalFormatting sqref="B1505:B1517">
    <cfRule type="expression" dxfId="690" priority="753">
      <formula>Z1505="error"</formula>
    </cfRule>
  </conditionalFormatting>
  <conditionalFormatting sqref="B1505:B1517">
    <cfRule type="expression" dxfId="689" priority="752">
      <formula>AA1507="error"</formula>
    </cfRule>
  </conditionalFormatting>
  <conditionalFormatting sqref="E1517">
    <cfRule type="expression" dxfId="688" priority="751">
      <formula>AND(OR(C1517="NO",C1517="REV T",C1517="DBL REV",C1517="TPL REV",C1517="QD REV"),E1517&gt;12)</formula>
    </cfRule>
  </conditionalFormatting>
  <conditionalFormatting sqref="E1488">
    <cfRule type="expression" dxfId="687" priority="748">
      <formula>AND(E1483="EUC",E1484&gt;48,E1488="Y")</formula>
    </cfRule>
    <cfRule type="expression" dxfId="686" priority="749">
      <formula>AND(E1483="RPX",E1484&gt;48,E1488="Y")</formula>
    </cfRule>
    <cfRule type="expression" dxfId="685" priority="750">
      <formula>AND(E1483="SS",E1484&gt;48,E1488="Y")</formula>
    </cfRule>
  </conditionalFormatting>
  <conditionalFormatting sqref="I1487">
    <cfRule type="expression" dxfId="684" priority="745">
      <formula>I1487=0</formula>
    </cfRule>
    <cfRule type="expression" dxfId="683" priority="746">
      <formula>MOD(I1487,2)=0</formula>
    </cfRule>
  </conditionalFormatting>
  <conditionalFormatting sqref="E1511:E1516">
    <cfRule type="expression" dxfId="682" priority="744">
      <formula>AND(OR(C1511="NO",C1511="REV T",C1511="DBL REV",C1511="TPL REV",C1511="QD REV"),E1511&gt;12)</formula>
    </cfRule>
  </conditionalFormatting>
  <conditionalFormatting sqref="C1511:C1517">
    <cfRule type="expression" dxfId="681" priority="743">
      <formula>AND(OR(C1512="FST",C1512="REV T",C1512="DBL REV",C1512="TPL REV",C1512="QD REV"),C1511="Field SPL")</formula>
    </cfRule>
  </conditionalFormatting>
  <conditionalFormatting sqref="I1482">
    <cfRule type="expression" dxfId="680" priority="742">
      <formula>AND(E1483="EUC",E1484=432,I1482&gt;204)</formula>
    </cfRule>
  </conditionalFormatting>
  <conditionalFormatting sqref="E1484">
    <cfRule type="expression" dxfId="679" priority="738">
      <formula>(AND(E1483="EUC",E1484=432))</formula>
    </cfRule>
    <cfRule type="expression" dxfId="678" priority="739">
      <formula>AND(E1483="SS",E1484&gt;216)</formula>
    </cfRule>
    <cfRule type="expression" dxfId="677" priority="740">
      <formula>(AND(E1483="EUC",E1484&gt;216))</formula>
    </cfRule>
    <cfRule type="expression" dxfId="676" priority="741">
      <formula>AND(E1483="RPX",E1484&gt;216)</formula>
    </cfRule>
  </conditionalFormatting>
  <conditionalFormatting sqref="E1493:E1510">
    <cfRule type="expression" dxfId="675" priority="737">
      <formula>AND(OR(C1493="NO",C1493="REV T",C1493="DBL REV",C1493="TPL REV",C1493="QD REV"),E1493&gt;12)</formula>
    </cfRule>
  </conditionalFormatting>
  <conditionalFormatting sqref="C1493:C1510">
    <cfRule type="expression" dxfId="674" priority="736">
      <formula>AND(OR(C1494="FST",C1494="REV T",C1494="DBL REV",C1494="TPL REV",C1494="QD REV"),C1493="Field SPL")</formula>
    </cfRule>
  </conditionalFormatting>
  <conditionalFormatting sqref="L1525">
    <cfRule type="cellIs" dxfId="673" priority="732" operator="lessThan">
      <formula>$L$7</formula>
    </cfRule>
  </conditionalFormatting>
  <conditionalFormatting sqref="I1524">
    <cfRule type="cellIs" dxfId="672" priority="731" operator="lessThan">
      <formula>0</formula>
    </cfRule>
  </conditionalFormatting>
  <conditionalFormatting sqref="H1534:I1558">
    <cfRule type="cellIs" dxfId="671" priority="730" operator="lessThan">
      <formula>0</formula>
    </cfRule>
  </conditionalFormatting>
  <conditionalFormatting sqref="E1558">
    <cfRule type="expression" dxfId="670" priority="729">
      <formula>AND(OR(C1558="NO",C1558="REV T",C1558="DBL REV",C1558="TPL REV",C1558="QD REV"),E1558&gt;12)</formula>
    </cfRule>
  </conditionalFormatting>
  <conditionalFormatting sqref="B1546:B1558">
    <cfRule type="expression" dxfId="669" priority="727">
      <formula>Z1546="error"</formula>
    </cfRule>
  </conditionalFormatting>
  <conditionalFormatting sqref="B1546:B1558">
    <cfRule type="expression" dxfId="668" priority="726">
      <formula>AA1548="error"</formula>
    </cfRule>
  </conditionalFormatting>
  <conditionalFormatting sqref="E1558">
    <cfRule type="expression" dxfId="667" priority="725">
      <formula>AND(OR(C1558="NO",C1558="REV T",C1558="DBL REV",C1558="TPL REV",C1558="QD REV"),E1558&gt;12)</formula>
    </cfRule>
  </conditionalFormatting>
  <conditionalFormatting sqref="E1529">
    <cfRule type="expression" dxfId="666" priority="722">
      <formula>AND(E1524="EUC",E1525&gt;48,E1529="Y")</formula>
    </cfRule>
    <cfRule type="expression" dxfId="665" priority="723">
      <formula>AND(E1524="RPX",E1525&gt;48,E1529="Y")</formula>
    </cfRule>
    <cfRule type="expression" dxfId="664" priority="724">
      <formula>AND(E1524="SS",E1525&gt;48,E1529="Y")</formula>
    </cfRule>
  </conditionalFormatting>
  <conditionalFormatting sqref="I1528">
    <cfRule type="expression" dxfId="663" priority="719">
      <formula>I1528=0</formula>
    </cfRule>
    <cfRule type="expression" dxfId="662" priority="720">
      <formula>MOD(I1528,2)=0</formula>
    </cfRule>
  </conditionalFormatting>
  <conditionalFormatting sqref="E1552:E1557">
    <cfRule type="expression" dxfId="661" priority="718">
      <formula>AND(OR(C1552="NO",C1552="REV T",C1552="DBL REV",C1552="TPL REV",C1552="QD REV"),E1552&gt;12)</formula>
    </cfRule>
  </conditionalFormatting>
  <conditionalFormatting sqref="C1552:C1558">
    <cfRule type="expression" dxfId="660" priority="717">
      <formula>AND(OR(C1553="FST",C1553="REV T",C1553="DBL REV",C1553="TPL REV",C1553="QD REV"),C1552="Field SPL")</formula>
    </cfRule>
  </conditionalFormatting>
  <conditionalFormatting sqref="I1523">
    <cfRule type="expression" dxfId="659" priority="716">
      <formula>AND(E1524="EUC",E1525=432,I1523&gt;204)</formula>
    </cfRule>
  </conditionalFormatting>
  <conditionalFormatting sqref="E1525">
    <cfRule type="expression" dxfId="658" priority="712">
      <formula>(AND(E1524="EUC",E1525=432))</formula>
    </cfRule>
    <cfRule type="expression" dxfId="657" priority="713">
      <formula>AND(E1524="SS",E1525&gt;216)</formula>
    </cfRule>
    <cfRule type="expression" dxfId="656" priority="714">
      <formula>(AND(E1524="EUC",E1525&gt;216))</formula>
    </cfRule>
    <cfRule type="expression" dxfId="655" priority="715">
      <formula>AND(E1524="RPX",E1525&gt;216)</formula>
    </cfRule>
  </conditionalFormatting>
  <conditionalFormatting sqref="E1534:E1551">
    <cfRule type="expression" dxfId="654" priority="711">
      <formula>AND(OR(C1534="NO",C1534="REV T",C1534="DBL REV",C1534="TPL REV",C1534="QD REV"),E1534&gt;12)</formula>
    </cfRule>
  </conditionalFormatting>
  <conditionalFormatting sqref="C1534:C1551">
    <cfRule type="expression" dxfId="653" priority="710">
      <formula>AND(OR(C1535="FST",C1535="REV T",C1535="DBL REV",C1535="TPL REV",C1535="QD REV"),C1534="Field SPL")</formula>
    </cfRule>
  </conditionalFormatting>
  <conditionalFormatting sqref="L1566">
    <cfRule type="cellIs" dxfId="652" priority="706" operator="lessThan">
      <formula>$L$7</formula>
    </cfRule>
  </conditionalFormatting>
  <conditionalFormatting sqref="I1565">
    <cfRule type="cellIs" dxfId="651" priority="705" operator="lessThan">
      <formula>0</formula>
    </cfRule>
  </conditionalFormatting>
  <conditionalFormatting sqref="H1575:I1599">
    <cfRule type="cellIs" dxfId="650" priority="704" operator="lessThan">
      <formula>0</formula>
    </cfRule>
  </conditionalFormatting>
  <conditionalFormatting sqref="E1599">
    <cfRule type="expression" dxfId="649" priority="703">
      <formula>AND(OR(C1599="NO",C1599="REV T",C1599="DBL REV",C1599="TPL REV",C1599="QD REV"),E1599&gt;12)</formula>
    </cfRule>
  </conditionalFormatting>
  <conditionalFormatting sqref="B1587:B1599">
    <cfRule type="expression" dxfId="648" priority="701">
      <formula>Z1587="error"</formula>
    </cfRule>
  </conditionalFormatting>
  <conditionalFormatting sqref="B1587:B1599">
    <cfRule type="expression" dxfId="647" priority="700">
      <formula>AA1589="error"</formula>
    </cfRule>
  </conditionalFormatting>
  <conditionalFormatting sqref="E1599">
    <cfRule type="expression" dxfId="646" priority="699">
      <formula>AND(OR(C1599="NO",C1599="REV T",C1599="DBL REV",C1599="TPL REV",C1599="QD REV"),E1599&gt;12)</formula>
    </cfRule>
  </conditionalFormatting>
  <conditionalFormatting sqref="E1570">
    <cfRule type="expression" dxfId="645" priority="696">
      <formula>AND(E1565="EUC",E1566&gt;48,E1570="Y")</formula>
    </cfRule>
    <cfRule type="expression" dxfId="644" priority="697">
      <formula>AND(E1565="RPX",E1566&gt;48,E1570="Y")</formula>
    </cfRule>
    <cfRule type="expression" dxfId="643" priority="698">
      <formula>AND(E1565="SS",E1566&gt;48,E1570="Y")</formula>
    </cfRule>
  </conditionalFormatting>
  <conditionalFormatting sqref="I1569">
    <cfRule type="expression" dxfId="642" priority="693">
      <formula>I1569=0</formula>
    </cfRule>
    <cfRule type="expression" dxfId="641" priority="694">
      <formula>MOD(I1569,2)=0</formula>
    </cfRule>
  </conditionalFormatting>
  <conditionalFormatting sqref="E1593:E1598">
    <cfRule type="expression" dxfId="640" priority="692">
      <formula>AND(OR(C1593="NO",C1593="REV T",C1593="DBL REV",C1593="TPL REV",C1593="QD REV"),E1593&gt;12)</formula>
    </cfRule>
  </conditionalFormatting>
  <conditionalFormatting sqref="C1593:C1599">
    <cfRule type="expression" dxfId="639" priority="691">
      <formula>AND(OR(C1594="FST",C1594="REV T",C1594="DBL REV",C1594="TPL REV",C1594="QD REV"),C1593="Field SPL")</formula>
    </cfRule>
  </conditionalFormatting>
  <conditionalFormatting sqref="I1564">
    <cfRule type="expression" dxfId="638" priority="690">
      <formula>AND(E1565="EUC",E1566=432,I1564&gt;204)</formula>
    </cfRule>
  </conditionalFormatting>
  <conditionalFormatting sqref="E1566">
    <cfRule type="expression" dxfId="637" priority="686">
      <formula>(AND(E1565="EUC",E1566=432))</formula>
    </cfRule>
    <cfRule type="expression" dxfId="636" priority="687">
      <formula>AND(E1565="SS",E1566&gt;216)</formula>
    </cfRule>
    <cfRule type="expression" dxfId="635" priority="688">
      <formula>(AND(E1565="EUC",E1566&gt;216))</formula>
    </cfRule>
    <cfRule type="expression" dxfId="634" priority="689">
      <formula>AND(E1565="RPX",E1566&gt;216)</formula>
    </cfRule>
  </conditionalFormatting>
  <conditionalFormatting sqref="E1575:E1592">
    <cfRule type="expression" dxfId="633" priority="685">
      <formula>AND(OR(C1575="NO",C1575="REV T",C1575="DBL REV",C1575="TPL REV",C1575="QD REV"),E1575&gt;12)</formula>
    </cfRule>
  </conditionalFormatting>
  <conditionalFormatting sqref="C1575:C1592">
    <cfRule type="expression" dxfId="632" priority="684">
      <formula>AND(OR(C1576="FST",C1576="REV T",C1576="DBL REV",C1576="TPL REV",C1576="QD REV"),C1575="Field SPL")</formula>
    </cfRule>
  </conditionalFormatting>
  <conditionalFormatting sqref="L1607">
    <cfRule type="cellIs" dxfId="631" priority="680" operator="lessThan">
      <formula>$L$7</formula>
    </cfRule>
  </conditionalFormatting>
  <conditionalFormatting sqref="I1606">
    <cfRule type="cellIs" dxfId="630" priority="679" operator="lessThan">
      <formula>0</formula>
    </cfRule>
  </conditionalFormatting>
  <conditionalFormatting sqref="H1616:I1640">
    <cfRule type="cellIs" dxfId="629" priority="678" operator="lessThan">
      <formula>0</formula>
    </cfRule>
  </conditionalFormatting>
  <conditionalFormatting sqref="E1640">
    <cfRule type="expression" dxfId="628" priority="677">
      <formula>AND(OR(C1640="NO",C1640="REV T",C1640="DBL REV",C1640="TPL REV",C1640="QD REV"),E1640&gt;12)</formula>
    </cfRule>
  </conditionalFormatting>
  <conditionalFormatting sqref="B1628:B1640">
    <cfRule type="expression" dxfId="627" priority="675">
      <formula>Z1628="error"</formula>
    </cfRule>
  </conditionalFormatting>
  <conditionalFormatting sqref="B1628:B1640">
    <cfRule type="expression" dxfId="626" priority="674">
      <formula>AA1630="error"</formula>
    </cfRule>
  </conditionalFormatting>
  <conditionalFormatting sqref="E1640">
    <cfRule type="expression" dxfId="625" priority="673">
      <formula>AND(OR(C1640="NO",C1640="REV T",C1640="DBL REV",C1640="TPL REV",C1640="QD REV"),E1640&gt;12)</formula>
    </cfRule>
  </conditionalFormatting>
  <conditionalFormatting sqref="E1611">
    <cfRule type="expression" dxfId="624" priority="670">
      <formula>AND(E1606="EUC",E1607&gt;48,E1611="Y")</formula>
    </cfRule>
    <cfRule type="expression" dxfId="623" priority="671">
      <formula>AND(E1606="RPX",E1607&gt;48,E1611="Y")</formula>
    </cfRule>
    <cfRule type="expression" dxfId="622" priority="672">
      <formula>AND(E1606="SS",E1607&gt;48,E1611="Y")</formula>
    </cfRule>
  </conditionalFormatting>
  <conditionalFormatting sqref="I1610">
    <cfRule type="expression" dxfId="621" priority="667">
      <formula>I1610=0</formula>
    </cfRule>
    <cfRule type="expression" dxfId="620" priority="668">
      <formula>MOD(I1610,2)=0</formula>
    </cfRule>
  </conditionalFormatting>
  <conditionalFormatting sqref="E1634:E1639">
    <cfRule type="expression" dxfId="619" priority="666">
      <formula>AND(OR(C1634="NO",C1634="REV T",C1634="DBL REV",C1634="TPL REV",C1634="QD REV"),E1634&gt;12)</formula>
    </cfRule>
  </conditionalFormatting>
  <conditionalFormatting sqref="C1634:C1640">
    <cfRule type="expression" dxfId="618" priority="665">
      <formula>AND(OR(C1635="FST",C1635="REV T",C1635="DBL REV",C1635="TPL REV",C1635="QD REV"),C1634="Field SPL")</formula>
    </cfRule>
  </conditionalFormatting>
  <conditionalFormatting sqref="I1605">
    <cfRule type="expression" dxfId="617" priority="664">
      <formula>AND(E1606="EUC",E1607=432,I1605&gt;204)</formula>
    </cfRule>
  </conditionalFormatting>
  <conditionalFormatting sqref="E1607">
    <cfRule type="expression" dxfId="616" priority="660">
      <formula>(AND(E1606="EUC",E1607=432))</formula>
    </cfRule>
    <cfRule type="expression" dxfId="615" priority="661">
      <formula>AND(E1606="SS",E1607&gt;216)</formula>
    </cfRule>
    <cfRule type="expression" dxfId="614" priority="662">
      <formula>(AND(E1606="EUC",E1607&gt;216))</formula>
    </cfRule>
    <cfRule type="expression" dxfId="613" priority="663">
      <formula>AND(E1606="RPX",E1607&gt;216)</formula>
    </cfRule>
  </conditionalFormatting>
  <conditionalFormatting sqref="E1616:E1633">
    <cfRule type="expression" dxfId="612" priority="659">
      <formula>AND(OR(C1616="NO",C1616="REV T",C1616="DBL REV",C1616="TPL REV",C1616="QD REV"),E1616&gt;12)</formula>
    </cfRule>
  </conditionalFormatting>
  <conditionalFormatting sqref="C1616:C1633">
    <cfRule type="expression" dxfId="611" priority="658">
      <formula>AND(OR(C1617="FST",C1617="REV T",C1617="DBL REV",C1617="TPL REV",C1617="QD REV"),C1616="Field SPL")</formula>
    </cfRule>
  </conditionalFormatting>
  <conditionalFormatting sqref="L1648">
    <cfRule type="cellIs" dxfId="610" priority="654" operator="lessThan">
      <formula>$L$7</formula>
    </cfRule>
  </conditionalFormatting>
  <conditionalFormatting sqref="I1647">
    <cfRule type="cellIs" dxfId="609" priority="653" operator="lessThan">
      <formula>0</formula>
    </cfRule>
  </conditionalFormatting>
  <conditionalFormatting sqref="H1657:I1681">
    <cfRule type="cellIs" dxfId="608" priority="652" operator="lessThan">
      <formula>0</formula>
    </cfRule>
  </conditionalFormatting>
  <conditionalFormatting sqref="E1681">
    <cfRule type="expression" dxfId="607" priority="651">
      <formula>AND(OR(C1681="NO",C1681="REV T",C1681="DBL REV",C1681="TPL REV",C1681="QD REV"),E1681&gt;12)</formula>
    </cfRule>
  </conditionalFormatting>
  <conditionalFormatting sqref="B1669:B1681">
    <cfRule type="expression" dxfId="606" priority="649">
      <formula>Z1669="error"</formula>
    </cfRule>
  </conditionalFormatting>
  <conditionalFormatting sqref="B1669:B1681">
    <cfRule type="expression" dxfId="605" priority="648">
      <formula>AA1671="error"</formula>
    </cfRule>
  </conditionalFormatting>
  <conditionalFormatting sqref="E1681">
    <cfRule type="expression" dxfId="604" priority="647">
      <formula>AND(OR(C1681="NO",C1681="REV T",C1681="DBL REV",C1681="TPL REV",C1681="QD REV"),E1681&gt;12)</formula>
    </cfRule>
  </conditionalFormatting>
  <conditionalFormatting sqref="E1652">
    <cfRule type="expression" dxfId="603" priority="644">
      <formula>AND(E1647="EUC",E1648&gt;48,E1652="Y")</formula>
    </cfRule>
    <cfRule type="expression" dxfId="602" priority="645">
      <formula>AND(E1647="RPX",E1648&gt;48,E1652="Y")</formula>
    </cfRule>
    <cfRule type="expression" dxfId="601" priority="646">
      <formula>AND(E1647="SS",E1648&gt;48,E1652="Y")</formula>
    </cfRule>
  </conditionalFormatting>
  <conditionalFormatting sqref="I1651">
    <cfRule type="expression" dxfId="600" priority="641">
      <formula>I1651=0</formula>
    </cfRule>
    <cfRule type="expression" dxfId="599" priority="642">
      <formula>MOD(I1651,2)=0</formula>
    </cfRule>
  </conditionalFormatting>
  <conditionalFormatting sqref="E1675:E1680">
    <cfRule type="expression" dxfId="598" priority="640">
      <formula>AND(OR(C1675="NO",C1675="REV T",C1675="DBL REV",C1675="TPL REV",C1675="QD REV"),E1675&gt;12)</formula>
    </cfRule>
  </conditionalFormatting>
  <conditionalFormatting sqref="C1675:C1681">
    <cfRule type="expression" dxfId="597" priority="639">
      <formula>AND(OR(C1676="FST",C1676="REV T",C1676="DBL REV",C1676="TPL REV",C1676="QD REV"),C1675="Field SPL")</formula>
    </cfRule>
  </conditionalFormatting>
  <conditionalFormatting sqref="I1646">
    <cfRule type="expression" dxfId="596" priority="638">
      <formula>AND(E1647="EUC",E1648=432,I1646&gt;204)</formula>
    </cfRule>
  </conditionalFormatting>
  <conditionalFormatting sqref="E1648">
    <cfRule type="expression" dxfId="595" priority="634">
      <formula>(AND(E1647="EUC",E1648=432))</formula>
    </cfRule>
    <cfRule type="expression" dxfId="594" priority="635">
      <formula>AND(E1647="SS",E1648&gt;216)</formula>
    </cfRule>
    <cfRule type="expression" dxfId="593" priority="636">
      <formula>(AND(E1647="EUC",E1648&gt;216))</formula>
    </cfRule>
    <cfRule type="expression" dxfId="592" priority="637">
      <formula>AND(E1647="RPX",E1648&gt;216)</formula>
    </cfRule>
  </conditionalFormatting>
  <conditionalFormatting sqref="E1657:E1674">
    <cfRule type="expression" dxfId="591" priority="633">
      <formula>AND(OR(C1657="NO",C1657="REV T",C1657="DBL REV",C1657="TPL REV",C1657="QD REV"),E1657&gt;12)</formula>
    </cfRule>
  </conditionalFormatting>
  <conditionalFormatting sqref="C1657:C1674">
    <cfRule type="expression" dxfId="590" priority="632">
      <formula>AND(OR(C1658="FST",C1658="REV T",C1658="DBL REV",C1658="TPL REV",C1658="QD REV"),C1657="Field SPL")</formula>
    </cfRule>
  </conditionalFormatting>
  <conditionalFormatting sqref="L1689">
    <cfRule type="cellIs" dxfId="589" priority="628" operator="lessThan">
      <formula>$L$7</formula>
    </cfRule>
  </conditionalFormatting>
  <conditionalFormatting sqref="I1688">
    <cfRule type="cellIs" dxfId="588" priority="627" operator="lessThan">
      <formula>0</formula>
    </cfRule>
  </conditionalFormatting>
  <conditionalFormatting sqref="H1698:I1722">
    <cfRule type="cellIs" dxfId="587" priority="626" operator="lessThan">
      <formula>0</formula>
    </cfRule>
  </conditionalFormatting>
  <conditionalFormatting sqref="E1722">
    <cfRule type="expression" dxfId="586" priority="625">
      <formula>AND(OR(C1722="NO",C1722="REV T",C1722="DBL REV",C1722="TPL REV",C1722="QD REV"),E1722&gt;12)</formula>
    </cfRule>
  </conditionalFormatting>
  <conditionalFormatting sqref="B1710:B1722">
    <cfRule type="expression" dxfId="585" priority="623">
      <formula>Z1710="error"</formula>
    </cfRule>
  </conditionalFormatting>
  <conditionalFormatting sqref="B1710:B1722">
    <cfRule type="expression" dxfId="584" priority="622">
      <formula>AA1712="error"</formula>
    </cfRule>
  </conditionalFormatting>
  <conditionalFormatting sqref="E1722">
    <cfRule type="expression" dxfId="583" priority="621">
      <formula>AND(OR(C1722="NO",C1722="REV T",C1722="DBL REV",C1722="TPL REV",C1722="QD REV"),E1722&gt;12)</formula>
    </cfRule>
  </conditionalFormatting>
  <conditionalFormatting sqref="E1693">
    <cfRule type="expression" dxfId="582" priority="618">
      <formula>AND(E1688="EUC",E1689&gt;48,E1693="Y")</formula>
    </cfRule>
    <cfRule type="expression" dxfId="581" priority="619">
      <formula>AND(E1688="RPX",E1689&gt;48,E1693="Y")</formula>
    </cfRule>
    <cfRule type="expression" dxfId="580" priority="620">
      <formula>AND(E1688="SS",E1689&gt;48,E1693="Y")</formula>
    </cfRule>
  </conditionalFormatting>
  <conditionalFormatting sqref="I1692">
    <cfRule type="expression" dxfId="579" priority="615">
      <formula>I1692=0</formula>
    </cfRule>
    <cfRule type="expression" dxfId="578" priority="616">
      <formula>MOD(I1692,2)=0</formula>
    </cfRule>
  </conditionalFormatting>
  <conditionalFormatting sqref="E1716:E1721">
    <cfRule type="expression" dxfId="577" priority="614">
      <formula>AND(OR(C1716="NO",C1716="REV T",C1716="DBL REV",C1716="TPL REV",C1716="QD REV"),E1716&gt;12)</formula>
    </cfRule>
  </conditionalFormatting>
  <conditionalFormatting sqref="C1716:C1722">
    <cfRule type="expression" dxfId="576" priority="613">
      <formula>AND(OR(C1717="FST",C1717="REV T",C1717="DBL REV",C1717="TPL REV",C1717="QD REV"),C1716="Field SPL")</formula>
    </cfRule>
  </conditionalFormatting>
  <conditionalFormatting sqref="I1687">
    <cfRule type="expression" dxfId="575" priority="612">
      <formula>AND(E1688="EUC",E1689=432,I1687&gt;204)</formula>
    </cfRule>
  </conditionalFormatting>
  <conditionalFormatting sqref="E1689">
    <cfRule type="expression" dxfId="574" priority="608">
      <formula>(AND(E1688="EUC",E1689=432))</formula>
    </cfRule>
    <cfRule type="expression" dxfId="573" priority="609">
      <formula>AND(E1688="SS",E1689&gt;216)</formula>
    </cfRule>
    <cfRule type="expression" dxfId="572" priority="610">
      <formula>(AND(E1688="EUC",E1689&gt;216))</formula>
    </cfRule>
    <cfRule type="expression" dxfId="571" priority="611">
      <formula>AND(E1688="RPX",E1689&gt;216)</formula>
    </cfRule>
  </conditionalFormatting>
  <conditionalFormatting sqref="E1698:E1715">
    <cfRule type="expression" dxfId="570" priority="607">
      <formula>AND(OR(C1698="NO",C1698="REV T",C1698="DBL REV",C1698="TPL REV",C1698="QD REV"),E1698&gt;12)</formula>
    </cfRule>
  </conditionalFormatting>
  <conditionalFormatting sqref="C1698:C1715">
    <cfRule type="expression" dxfId="569" priority="606">
      <formula>AND(OR(C1699="FST",C1699="REV T",C1699="DBL REV",C1699="TPL REV",C1699="QD REV"),C1698="Field SPL")</formula>
    </cfRule>
  </conditionalFormatting>
  <conditionalFormatting sqref="L1730">
    <cfRule type="cellIs" dxfId="568" priority="602" operator="lessThan">
      <formula>$L$7</formula>
    </cfRule>
  </conditionalFormatting>
  <conditionalFormatting sqref="I1729">
    <cfRule type="cellIs" dxfId="567" priority="601" operator="lessThan">
      <formula>0</formula>
    </cfRule>
  </conditionalFormatting>
  <conditionalFormatting sqref="H1739:I1763">
    <cfRule type="cellIs" dxfId="566" priority="600" operator="lessThan">
      <formula>0</formula>
    </cfRule>
  </conditionalFormatting>
  <conditionalFormatting sqref="E1763">
    <cfRule type="expression" dxfId="565" priority="599">
      <formula>AND(OR(C1763="NO",C1763="REV T",C1763="DBL REV",C1763="TPL REV",C1763="QD REV"),E1763&gt;12)</formula>
    </cfRule>
  </conditionalFormatting>
  <conditionalFormatting sqref="B1751:B1763">
    <cfRule type="expression" dxfId="564" priority="597">
      <formula>Z1751="error"</formula>
    </cfRule>
  </conditionalFormatting>
  <conditionalFormatting sqref="B1751:B1763">
    <cfRule type="expression" dxfId="563" priority="596">
      <formula>AA1753="error"</formula>
    </cfRule>
  </conditionalFormatting>
  <conditionalFormatting sqref="E1763">
    <cfRule type="expression" dxfId="562" priority="595">
      <formula>AND(OR(C1763="NO",C1763="REV T",C1763="DBL REV",C1763="TPL REV",C1763="QD REV"),E1763&gt;12)</formula>
    </cfRule>
  </conditionalFormatting>
  <conditionalFormatting sqref="E1734">
    <cfRule type="expression" dxfId="561" priority="592">
      <formula>AND(E1729="EUC",E1730&gt;48,E1734="Y")</formula>
    </cfRule>
    <cfRule type="expression" dxfId="560" priority="593">
      <formula>AND(E1729="RPX",E1730&gt;48,E1734="Y")</formula>
    </cfRule>
    <cfRule type="expression" dxfId="559" priority="594">
      <formula>AND(E1729="SS",E1730&gt;48,E1734="Y")</formula>
    </cfRule>
  </conditionalFormatting>
  <conditionalFormatting sqref="I1733">
    <cfRule type="expression" dxfId="558" priority="589">
      <formula>I1733=0</formula>
    </cfRule>
    <cfRule type="expression" dxfId="557" priority="590">
      <formula>MOD(I1733,2)=0</formula>
    </cfRule>
  </conditionalFormatting>
  <conditionalFormatting sqref="E1757:E1762">
    <cfRule type="expression" dxfId="556" priority="588">
      <formula>AND(OR(C1757="NO",C1757="REV T",C1757="DBL REV",C1757="TPL REV",C1757="QD REV"),E1757&gt;12)</formula>
    </cfRule>
  </conditionalFormatting>
  <conditionalFormatting sqref="C1757:C1763">
    <cfRule type="expression" dxfId="555" priority="587">
      <formula>AND(OR(C1758="FST",C1758="REV T",C1758="DBL REV",C1758="TPL REV",C1758="QD REV"),C1757="Field SPL")</formula>
    </cfRule>
  </conditionalFormatting>
  <conditionalFormatting sqref="I1728">
    <cfRule type="expression" dxfId="554" priority="586">
      <formula>AND(E1729="EUC",E1730=432,I1728&gt;204)</formula>
    </cfRule>
  </conditionalFormatting>
  <conditionalFormatting sqref="E1730">
    <cfRule type="expression" dxfId="553" priority="582">
      <formula>(AND(E1729="EUC",E1730=432))</formula>
    </cfRule>
    <cfRule type="expression" dxfId="552" priority="583">
      <formula>AND(E1729="SS",E1730&gt;216)</formula>
    </cfRule>
    <cfRule type="expression" dxfId="551" priority="584">
      <formula>(AND(E1729="EUC",E1730&gt;216))</formula>
    </cfRule>
    <cfRule type="expression" dxfId="550" priority="585">
      <formula>AND(E1729="RPX",E1730&gt;216)</formula>
    </cfRule>
  </conditionalFormatting>
  <conditionalFormatting sqref="E1739:E1756">
    <cfRule type="expression" dxfId="549" priority="581">
      <formula>AND(OR(C1739="NO",C1739="REV T",C1739="DBL REV",C1739="TPL REV",C1739="QD REV"),E1739&gt;12)</formula>
    </cfRule>
  </conditionalFormatting>
  <conditionalFormatting sqref="C1739:C1756">
    <cfRule type="expression" dxfId="548" priority="580">
      <formula>AND(OR(C1740="FST",C1740="REV T",C1740="DBL REV",C1740="TPL REV",C1740="QD REV"),C1739="Field SPL")</formula>
    </cfRule>
  </conditionalFormatting>
  <conditionalFormatting sqref="L1771">
    <cfRule type="cellIs" dxfId="547" priority="576" operator="lessThan">
      <formula>$L$7</formula>
    </cfRule>
  </conditionalFormatting>
  <conditionalFormatting sqref="I1770">
    <cfRule type="cellIs" dxfId="546" priority="575" operator="lessThan">
      <formula>0</formula>
    </cfRule>
  </conditionalFormatting>
  <conditionalFormatting sqref="H1780:I1804">
    <cfRule type="cellIs" dxfId="545" priority="574" operator="lessThan">
      <formula>0</formula>
    </cfRule>
  </conditionalFormatting>
  <conditionalFormatting sqref="E1804">
    <cfRule type="expression" dxfId="544" priority="573">
      <formula>AND(OR(C1804="NO",C1804="REV T",C1804="DBL REV",C1804="TPL REV",C1804="QD REV"),E1804&gt;12)</formula>
    </cfRule>
  </conditionalFormatting>
  <conditionalFormatting sqref="B1792:B1804">
    <cfRule type="expression" dxfId="543" priority="571">
      <formula>Z1792="error"</formula>
    </cfRule>
  </conditionalFormatting>
  <conditionalFormatting sqref="B1792:B1804">
    <cfRule type="expression" dxfId="542" priority="570">
      <formula>AA1794="error"</formula>
    </cfRule>
  </conditionalFormatting>
  <conditionalFormatting sqref="E1804">
    <cfRule type="expression" dxfId="541" priority="569">
      <formula>AND(OR(C1804="NO",C1804="REV T",C1804="DBL REV",C1804="TPL REV",C1804="QD REV"),E1804&gt;12)</formula>
    </cfRule>
  </conditionalFormatting>
  <conditionalFormatting sqref="E1775">
    <cfRule type="expression" dxfId="540" priority="566">
      <formula>AND(E1770="EUC",E1771&gt;48,E1775="Y")</formula>
    </cfRule>
    <cfRule type="expression" dxfId="539" priority="567">
      <formula>AND(E1770="RPX",E1771&gt;48,E1775="Y")</formula>
    </cfRule>
    <cfRule type="expression" dxfId="538" priority="568">
      <formula>AND(E1770="SS",E1771&gt;48,E1775="Y")</formula>
    </cfRule>
  </conditionalFormatting>
  <conditionalFormatting sqref="I1774">
    <cfRule type="expression" dxfId="537" priority="563">
      <formula>I1774=0</formula>
    </cfRule>
    <cfRule type="expression" dxfId="536" priority="564">
      <formula>MOD(I1774,2)=0</formula>
    </cfRule>
  </conditionalFormatting>
  <conditionalFormatting sqref="E1798:E1803">
    <cfRule type="expression" dxfId="535" priority="562">
      <formula>AND(OR(C1798="NO",C1798="REV T",C1798="DBL REV",C1798="TPL REV",C1798="QD REV"),E1798&gt;12)</formula>
    </cfRule>
  </conditionalFormatting>
  <conditionalFormatting sqref="C1798:C1804">
    <cfRule type="expression" dxfId="534" priority="561">
      <formula>AND(OR(C1799="FST",C1799="REV T",C1799="DBL REV",C1799="TPL REV",C1799="QD REV"),C1798="Field SPL")</formula>
    </cfRule>
  </conditionalFormatting>
  <conditionalFormatting sqref="I1769">
    <cfRule type="expression" dxfId="533" priority="560">
      <formula>AND(E1770="EUC",E1771=432,I1769&gt;204)</formula>
    </cfRule>
  </conditionalFormatting>
  <conditionalFormatting sqref="E1771">
    <cfRule type="expression" dxfId="532" priority="556">
      <formula>(AND(E1770="EUC",E1771=432))</formula>
    </cfRule>
    <cfRule type="expression" dxfId="531" priority="557">
      <formula>AND(E1770="SS",E1771&gt;216)</formula>
    </cfRule>
    <cfRule type="expression" dxfId="530" priority="558">
      <formula>(AND(E1770="EUC",E1771&gt;216))</formula>
    </cfRule>
    <cfRule type="expression" dxfId="529" priority="559">
      <formula>AND(E1770="RPX",E1771&gt;216)</formula>
    </cfRule>
  </conditionalFormatting>
  <conditionalFormatting sqref="E1780:E1797">
    <cfRule type="expression" dxfId="528" priority="555">
      <formula>AND(OR(C1780="NO",C1780="REV T",C1780="DBL REV",C1780="TPL REV",C1780="QD REV"),E1780&gt;12)</formula>
    </cfRule>
  </conditionalFormatting>
  <conditionalFormatting sqref="C1780:C1797">
    <cfRule type="expression" dxfId="527" priority="554">
      <formula>AND(OR(C1781="FST",C1781="REV T",C1781="DBL REV",C1781="TPL REV",C1781="QD REV"),C1780="Field SPL")</formula>
    </cfRule>
  </conditionalFormatting>
  <conditionalFormatting sqref="L1812">
    <cfRule type="cellIs" dxfId="526" priority="550" operator="lessThan">
      <formula>$L$7</formula>
    </cfRule>
  </conditionalFormatting>
  <conditionalFormatting sqref="I1811">
    <cfRule type="cellIs" dxfId="525" priority="549" operator="lessThan">
      <formula>0</formula>
    </cfRule>
  </conditionalFormatting>
  <conditionalFormatting sqref="H1821:I1845">
    <cfRule type="cellIs" dxfId="524" priority="548" operator="lessThan">
      <formula>0</formula>
    </cfRule>
  </conditionalFormatting>
  <conditionalFormatting sqref="E1845">
    <cfRule type="expression" dxfId="523" priority="547">
      <formula>AND(OR(C1845="NO",C1845="REV T",C1845="DBL REV",C1845="TPL REV",C1845="QD REV"),E1845&gt;12)</formula>
    </cfRule>
  </conditionalFormatting>
  <conditionalFormatting sqref="B1833:B1845">
    <cfRule type="expression" dxfId="522" priority="545">
      <formula>Z1833="error"</formula>
    </cfRule>
  </conditionalFormatting>
  <conditionalFormatting sqref="B1833:B1845">
    <cfRule type="expression" dxfId="521" priority="544">
      <formula>AA1835="error"</formula>
    </cfRule>
  </conditionalFormatting>
  <conditionalFormatting sqref="E1845">
    <cfRule type="expression" dxfId="520" priority="543">
      <formula>AND(OR(C1845="NO",C1845="REV T",C1845="DBL REV",C1845="TPL REV",C1845="QD REV"),E1845&gt;12)</formula>
    </cfRule>
  </conditionalFormatting>
  <conditionalFormatting sqref="E1816">
    <cfRule type="expression" dxfId="519" priority="540">
      <formula>AND(E1811="EUC",E1812&gt;48,E1816="Y")</formula>
    </cfRule>
    <cfRule type="expression" dxfId="518" priority="541">
      <formula>AND(E1811="RPX",E1812&gt;48,E1816="Y")</formula>
    </cfRule>
    <cfRule type="expression" dxfId="517" priority="542">
      <formula>AND(E1811="SS",E1812&gt;48,E1816="Y")</formula>
    </cfRule>
  </conditionalFormatting>
  <conditionalFormatting sqref="I1815">
    <cfRule type="expression" dxfId="516" priority="537">
      <formula>I1815=0</formula>
    </cfRule>
    <cfRule type="expression" dxfId="515" priority="538">
      <formula>MOD(I1815,2)=0</formula>
    </cfRule>
  </conditionalFormatting>
  <conditionalFormatting sqref="E1839:E1844">
    <cfRule type="expression" dxfId="514" priority="536">
      <formula>AND(OR(C1839="NO",C1839="REV T",C1839="DBL REV",C1839="TPL REV",C1839="QD REV"),E1839&gt;12)</formula>
    </cfRule>
  </conditionalFormatting>
  <conditionalFormatting sqref="C1839:C1845">
    <cfRule type="expression" dxfId="513" priority="535">
      <formula>AND(OR(C1840="FST",C1840="REV T",C1840="DBL REV",C1840="TPL REV",C1840="QD REV"),C1839="Field SPL")</formula>
    </cfRule>
  </conditionalFormatting>
  <conditionalFormatting sqref="I1810">
    <cfRule type="expression" dxfId="512" priority="534">
      <formula>AND(E1811="EUC",E1812=432,I1810&gt;204)</formula>
    </cfRule>
  </conditionalFormatting>
  <conditionalFormatting sqref="E1812">
    <cfRule type="expression" dxfId="511" priority="530">
      <formula>(AND(E1811="EUC",E1812=432))</formula>
    </cfRule>
    <cfRule type="expression" dxfId="510" priority="531">
      <formula>AND(E1811="SS",E1812&gt;216)</formula>
    </cfRule>
    <cfRule type="expression" dxfId="509" priority="532">
      <formula>(AND(E1811="EUC",E1812&gt;216))</formula>
    </cfRule>
    <cfRule type="expression" dxfId="508" priority="533">
      <formula>AND(E1811="RPX",E1812&gt;216)</formula>
    </cfRule>
  </conditionalFormatting>
  <conditionalFormatting sqref="E1821:E1838">
    <cfRule type="expression" dxfId="507" priority="529">
      <formula>AND(OR(C1821="NO",C1821="REV T",C1821="DBL REV",C1821="TPL REV",C1821="QD REV"),E1821&gt;12)</formula>
    </cfRule>
  </conditionalFormatting>
  <conditionalFormatting sqref="C1821:C1838">
    <cfRule type="expression" dxfId="506" priority="528">
      <formula>AND(OR(C1822="FST",C1822="REV T",C1822="DBL REV",C1822="TPL REV",C1822="QD REV"),C1821="Field SPL")</formula>
    </cfRule>
  </conditionalFormatting>
  <conditionalFormatting sqref="L1853">
    <cfRule type="cellIs" dxfId="505" priority="524" operator="lessThan">
      <formula>$L$7</formula>
    </cfRule>
  </conditionalFormatting>
  <conditionalFormatting sqref="I1852">
    <cfRule type="cellIs" dxfId="504" priority="523" operator="lessThan">
      <formula>0</formula>
    </cfRule>
  </conditionalFormatting>
  <conditionalFormatting sqref="H1862:I1886">
    <cfRule type="cellIs" dxfId="503" priority="522" operator="lessThan">
      <formula>0</formula>
    </cfRule>
  </conditionalFormatting>
  <conditionalFormatting sqref="E1886">
    <cfRule type="expression" dxfId="502" priority="521">
      <formula>AND(OR(C1886="NO",C1886="REV T",C1886="DBL REV",C1886="TPL REV",C1886="QD REV"),E1886&gt;12)</formula>
    </cfRule>
  </conditionalFormatting>
  <conditionalFormatting sqref="B1874:B1886">
    <cfRule type="expression" dxfId="501" priority="519">
      <formula>Z1874="error"</formula>
    </cfRule>
  </conditionalFormatting>
  <conditionalFormatting sqref="B1874:B1886">
    <cfRule type="expression" dxfId="500" priority="518">
      <formula>AA1876="error"</formula>
    </cfRule>
  </conditionalFormatting>
  <conditionalFormatting sqref="E1886">
    <cfRule type="expression" dxfId="499" priority="517">
      <formula>AND(OR(C1886="NO",C1886="REV T",C1886="DBL REV",C1886="TPL REV",C1886="QD REV"),E1886&gt;12)</formula>
    </cfRule>
  </conditionalFormatting>
  <conditionalFormatting sqref="E1857">
    <cfRule type="expression" dxfId="498" priority="514">
      <formula>AND(E1852="EUC",E1853&gt;48,E1857="Y")</formula>
    </cfRule>
    <cfRule type="expression" dxfId="497" priority="515">
      <formula>AND(E1852="RPX",E1853&gt;48,E1857="Y")</formula>
    </cfRule>
    <cfRule type="expression" dxfId="496" priority="516">
      <formula>AND(E1852="SS",E1853&gt;48,E1857="Y")</formula>
    </cfRule>
  </conditionalFormatting>
  <conditionalFormatting sqref="I1856">
    <cfRule type="expression" dxfId="495" priority="511">
      <formula>I1856=0</formula>
    </cfRule>
    <cfRule type="expression" dxfId="494" priority="512">
      <formula>MOD(I1856,2)=0</formula>
    </cfRule>
  </conditionalFormatting>
  <conditionalFormatting sqref="E1880:E1885">
    <cfRule type="expression" dxfId="493" priority="510">
      <formula>AND(OR(C1880="NO",C1880="REV T",C1880="DBL REV",C1880="TPL REV",C1880="QD REV"),E1880&gt;12)</formula>
    </cfRule>
  </conditionalFormatting>
  <conditionalFormatting sqref="C1880:C1886">
    <cfRule type="expression" dxfId="492" priority="509">
      <formula>AND(OR(C1881="FST",C1881="REV T",C1881="DBL REV",C1881="TPL REV",C1881="QD REV"),C1880="Field SPL")</formula>
    </cfRule>
  </conditionalFormatting>
  <conditionalFormatting sqref="I1851">
    <cfRule type="expression" dxfId="491" priority="508">
      <formula>AND(E1852="EUC",E1853=432,I1851&gt;204)</formula>
    </cfRule>
  </conditionalFormatting>
  <conditionalFormatting sqref="E1853">
    <cfRule type="expression" dxfId="490" priority="504">
      <formula>(AND(E1852="EUC",E1853=432))</formula>
    </cfRule>
    <cfRule type="expression" dxfId="489" priority="505">
      <formula>AND(E1852="SS",E1853&gt;216)</formula>
    </cfRule>
    <cfRule type="expression" dxfId="488" priority="506">
      <formula>(AND(E1852="EUC",E1853&gt;216))</formula>
    </cfRule>
    <cfRule type="expression" dxfId="487" priority="507">
      <formula>AND(E1852="RPX",E1853&gt;216)</formula>
    </cfRule>
  </conditionalFormatting>
  <conditionalFormatting sqref="E1862:E1879">
    <cfRule type="expression" dxfId="486" priority="503">
      <formula>AND(OR(C1862="NO",C1862="REV T",C1862="DBL REV",C1862="TPL REV",C1862="QD REV"),E1862&gt;12)</formula>
    </cfRule>
  </conditionalFormatting>
  <conditionalFormatting sqref="C1862:C1879">
    <cfRule type="expression" dxfId="485" priority="502">
      <formula>AND(OR(C1863="FST",C1863="REV T",C1863="DBL REV",C1863="TPL REV",C1863="QD REV"),C1862="Field SPL")</formula>
    </cfRule>
  </conditionalFormatting>
  <conditionalFormatting sqref="L1894">
    <cfRule type="cellIs" dxfId="484" priority="498" operator="lessThan">
      <formula>$L$7</formula>
    </cfRule>
  </conditionalFormatting>
  <conditionalFormatting sqref="I1893">
    <cfRule type="cellIs" dxfId="483" priority="497" operator="lessThan">
      <formula>0</formula>
    </cfRule>
  </conditionalFormatting>
  <conditionalFormatting sqref="H1903:I1927">
    <cfRule type="cellIs" dxfId="482" priority="496" operator="lessThan">
      <formula>0</formula>
    </cfRule>
  </conditionalFormatting>
  <conditionalFormatting sqref="E1927">
    <cfRule type="expression" dxfId="481" priority="495">
      <formula>AND(OR(C1927="NO",C1927="REV T",C1927="DBL REV",C1927="TPL REV",C1927="QD REV"),E1927&gt;12)</formula>
    </cfRule>
  </conditionalFormatting>
  <conditionalFormatting sqref="B1915:B1927">
    <cfRule type="expression" dxfId="480" priority="493">
      <formula>Z1915="error"</formula>
    </cfRule>
  </conditionalFormatting>
  <conditionalFormatting sqref="B1915:B1927">
    <cfRule type="expression" dxfId="479" priority="492">
      <formula>AA1917="error"</formula>
    </cfRule>
  </conditionalFormatting>
  <conditionalFormatting sqref="E1927">
    <cfRule type="expression" dxfId="478" priority="491">
      <formula>AND(OR(C1927="NO",C1927="REV T",C1927="DBL REV",C1927="TPL REV",C1927="QD REV"),E1927&gt;12)</formula>
    </cfRule>
  </conditionalFormatting>
  <conditionalFormatting sqref="E1898">
    <cfRule type="expression" dxfId="477" priority="488">
      <formula>AND(E1893="EUC",E1894&gt;48,E1898="Y")</formula>
    </cfRule>
    <cfRule type="expression" dxfId="476" priority="489">
      <formula>AND(E1893="RPX",E1894&gt;48,E1898="Y")</formula>
    </cfRule>
    <cfRule type="expression" dxfId="475" priority="490">
      <formula>AND(E1893="SS",E1894&gt;48,E1898="Y")</formula>
    </cfRule>
  </conditionalFormatting>
  <conditionalFormatting sqref="I1897">
    <cfRule type="expression" dxfId="474" priority="485">
      <formula>I1897=0</formula>
    </cfRule>
    <cfRule type="expression" dxfId="473" priority="486">
      <formula>MOD(I1897,2)=0</formula>
    </cfRule>
  </conditionalFormatting>
  <conditionalFormatting sqref="E1921:E1926">
    <cfRule type="expression" dxfId="472" priority="484">
      <formula>AND(OR(C1921="NO",C1921="REV T",C1921="DBL REV",C1921="TPL REV",C1921="QD REV"),E1921&gt;12)</formula>
    </cfRule>
  </conditionalFormatting>
  <conditionalFormatting sqref="C1921:C1927">
    <cfRule type="expression" dxfId="471" priority="483">
      <formula>AND(OR(C1922="FST",C1922="REV T",C1922="DBL REV",C1922="TPL REV",C1922="QD REV"),C1921="Field SPL")</formula>
    </cfRule>
  </conditionalFormatting>
  <conditionalFormatting sqref="I1892">
    <cfRule type="expression" dxfId="470" priority="482">
      <formula>AND(E1893="EUC",E1894=432,I1892&gt;204)</formula>
    </cfRule>
  </conditionalFormatting>
  <conditionalFormatting sqref="E1894">
    <cfRule type="expression" dxfId="469" priority="478">
      <formula>(AND(E1893="EUC",E1894=432))</formula>
    </cfRule>
    <cfRule type="expression" dxfId="468" priority="479">
      <formula>AND(E1893="SS",E1894&gt;216)</formula>
    </cfRule>
    <cfRule type="expression" dxfId="467" priority="480">
      <formula>(AND(E1893="EUC",E1894&gt;216))</formula>
    </cfRule>
    <cfRule type="expression" dxfId="466" priority="481">
      <formula>AND(E1893="RPX",E1894&gt;216)</formula>
    </cfRule>
  </conditionalFormatting>
  <conditionalFormatting sqref="E1903:E1920">
    <cfRule type="expression" dxfId="465" priority="477">
      <formula>AND(OR(C1903="NO",C1903="REV T",C1903="DBL REV",C1903="TPL REV",C1903="QD REV"),E1903&gt;12)</formula>
    </cfRule>
  </conditionalFormatting>
  <conditionalFormatting sqref="C1903:C1920">
    <cfRule type="expression" dxfId="464" priority="476">
      <formula>AND(OR(C1904="FST",C1904="REV T",C1904="DBL REV",C1904="TPL REV",C1904="QD REV"),C1903="Field SPL")</formula>
    </cfRule>
  </conditionalFormatting>
  <conditionalFormatting sqref="L1935">
    <cfRule type="cellIs" dxfId="463" priority="472" operator="lessThan">
      <formula>$L$7</formula>
    </cfRule>
  </conditionalFormatting>
  <conditionalFormatting sqref="I1934">
    <cfRule type="cellIs" dxfId="462" priority="471" operator="lessThan">
      <formula>0</formula>
    </cfRule>
  </conditionalFormatting>
  <conditionalFormatting sqref="H1944:I1968">
    <cfRule type="cellIs" dxfId="461" priority="470" operator="lessThan">
      <formula>0</formula>
    </cfRule>
  </conditionalFormatting>
  <conditionalFormatting sqref="E1968">
    <cfRule type="expression" dxfId="460" priority="469">
      <formula>AND(OR(C1968="NO",C1968="REV T",C1968="DBL REV",C1968="TPL REV",C1968="QD REV"),E1968&gt;12)</formula>
    </cfRule>
  </conditionalFormatting>
  <conditionalFormatting sqref="B1956:B1968">
    <cfRule type="expression" dxfId="459" priority="467">
      <formula>Z1956="error"</formula>
    </cfRule>
  </conditionalFormatting>
  <conditionalFormatting sqref="B1956:B1968">
    <cfRule type="expression" dxfId="458" priority="466">
      <formula>AA1958="error"</formula>
    </cfRule>
  </conditionalFormatting>
  <conditionalFormatting sqref="E1968">
    <cfRule type="expression" dxfId="457" priority="465">
      <formula>AND(OR(C1968="NO",C1968="REV T",C1968="DBL REV",C1968="TPL REV",C1968="QD REV"),E1968&gt;12)</formula>
    </cfRule>
  </conditionalFormatting>
  <conditionalFormatting sqref="E1939">
    <cfRule type="expression" dxfId="456" priority="462">
      <formula>AND(E1934="EUC",E1935&gt;48,E1939="Y")</formula>
    </cfRule>
    <cfRule type="expression" dxfId="455" priority="463">
      <formula>AND(E1934="RPX",E1935&gt;48,E1939="Y")</formula>
    </cfRule>
    <cfRule type="expression" dxfId="454" priority="464">
      <formula>AND(E1934="SS",E1935&gt;48,E1939="Y")</formula>
    </cfRule>
  </conditionalFormatting>
  <conditionalFormatting sqref="I1938">
    <cfRule type="expression" dxfId="453" priority="459">
      <formula>I1938=0</formula>
    </cfRule>
    <cfRule type="expression" dxfId="452" priority="460">
      <formula>MOD(I1938,2)=0</formula>
    </cfRule>
  </conditionalFormatting>
  <conditionalFormatting sqref="E1962:E1967">
    <cfRule type="expression" dxfId="451" priority="458">
      <formula>AND(OR(C1962="NO",C1962="REV T",C1962="DBL REV",C1962="TPL REV",C1962="QD REV"),E1962&gt;12)</formula>
    </cfRule>
  </conditionalFormatting>
  <conditionalFormatting sqref="C1962:C1968">
    <cfRule type="expression" dxfId="450" priority="457">
      <formula>AND(OR(C1963="FST",C1963="REV T",C1963="DBL REV",C1963="TPL REV",C1963="QD REV"),C1962="Field SPL")</formula>
    </cfRule>
  </conditionalFormatting>
  <conditionalFormatting sqref="I1933">
    <cfRule type="expression" dxfId="449" priority="456">
      <formula>AND(E1934="EUC",E1935=432,I1933&gt;204)</formula>
    </cfRule>
  </conditionalFormatting>
  <conditionalFormatting sqref="E1935">
    <cfRule type="expression" dxfId="448" priority="452">
      <formula>(AND(E1934="EUC",E1935=432))</formula>
    </cfRule>
    <cfRule type="expression" dxfId="447" priority="453">
      <formula>AND(E1934="SS",E1935&gt;216)</formula>
    </cfRule>
    <cfRule type="expression" dxfId="446" priority="454">
      <formula>(AND(E1934="EUC",E1935&gt;216))</formula>
    </cfRule>
    <cfRule type="expression" dxfId="445" priority="455">
      <formula>AND(E1934="RPX",E1935&gt;216)</formula>
    </cfRule>
  </conditionalFormatting>
  <conditionalFormatting sqref="E1944:E1961">
    <cfRule type="expression" dxfId="444" priority="451">
      <formula>AND(OR(C1944="NO",C1944="REV T",C1944="DBL REV",C1944="TPL REV",C1944="QD REV"),E1944&gt;12)</formula>
    </cfRule>
  </conditionalFormatting>
  <conditionalFormatting sqref="C1944:C1961">
    <cfRule type="expression" dxfId="443" priority="450">
      <formula>AND(OR(C1945="FST",C1945="REV T",C1945="DBL REV",C1945="TPL REV",C1945="QD REV"),C1944="Field SPL")</formula>
    </cfRule>
  </conditionalFormatting>
  <conditionalFormatting sqref="L1976">
    <cfRule type="cellIs" dxfId="442" priority="446" operator="lessThan">
      <formula>$L$7</formula>
    </cfRule>
  </conditionalFormatting>
  <conditionalFormatting sqref="I1975">
    <cfRule type="cellIs" dxfId="441" priority="445" operator="lessThan">
      <formula>0</formula>
    </cfRule>
  </conditionalFormatting>
  <conditionalFormatting sqref="H1985:I2009">
    <cfRule type="cellIs" dxfId="440" priority="444" operator="lessThan">
      <formula>0</formula>
    </cfRule>
  </conditionalFormatting>
  <conditionalFormatting sqref="E2009">
    <cfRule type="expression" dxfId="439" priority="443">
      <formula>AND(OR(C2009="NO",C2009="REV T",C2009="DBL REV",C2009="TPL REV",C2009="QD REV"),E2009&gt;12)</formula>
    </cfRule>
  </conditionalFormatting>
  <conditionalFormatting sqref="B1997:B2009">
    <cfRule type="expression" dxfId="438" priority="441">
      <formula>Z1997="error"</formula>
    </cfRule>
  </conditionalFormatting>
  <conditionalFormatting sqref="B1997:B2009">
    <cfRule type="expression" dxfId="437" priority="440">
      <formula>AA1999="error"</formula>
    </cfRule>
  </conditionalFormatting>
  <conditionalFormatting sqref="E2009">
    <cfRule type="expression" dxfId="436" priority="439">
      <formula>AND(OR(C2009="NO",C2009="REV T",C2009="DBL REV",C2009="TPL REV",C2009="QD REV"),E2009&gt;12)</formula>
    </cfRule>
  </conditionalFormatting>
  <conditionalFormatting sqref="E1980">
    <cfRule type="expression" dxfId="435" priority="436">
      <formula>AND(E1975="EUC",E1976&gt;48,E1980="Y")</formula>
    </cfRule>
    <cfRule type="expression" dxfId="434" priority="437">
      <formula>AND(E1975="RPX",E1976&gt;48,E1980="Y")</formula>
    </cfRule>
    <cfRule type="expression" dxfId="433" priority="438">
      <formula>AND(E1975="SS",E1976&gt;48,E1980="Y")</formula>
    </cfRule>
  </conditionalFormatting>
  <conditionalFormatting sqref="I1979">
    <cfRule type="expression" dxfId="432" priority="433">
      <formula>I1979=0</formula>
    </cfRule>
    <cfRule type="expression" dxfId="431" priority="434">
      <formula>MOD(I1979,2)=0</formula>
    </cfRule>
  </conditionalFormatting>
  <conditionalFormatting sqref="E2003:E2008">
    <cfRule type="expression" dxfId="430" priority="432">
      <formula>AND(OR(C2003="NO",C2003="REV T",C2003="DBL REV",C2003="TPL REV",C2003="QD REV"),E2003&gt;12)</formula>
    </cfRule>
  </conditionalFormatting>
  <conditionalFormatting sqref="C2003:C2009">
    <cfRule type="expression" dxfId="429" priority="431">
      <formula>AND(OR(C2004="FST",C2004="REV T",C2004="DBL REV",C2004="TPL REV",C2004="QD REV"),C2003="Field SPL")</formula>
    </cfRule>
  </conditionalFormatting>
  <conditionalFormatting sqref="I1974">
    <cfRule type="expression" dxfId="428" priority="430">
      <formula>AND(E1975="EUC",E1976=432,I1974&gt;204)</formula>
    </cfRule>
  </conditionalFormatting>
  <conditionalFormatting sqref="E1976">
    <cfRule type="expression" dxfId="427" priority="426">
      <formula>(AND(E1975="EUC",E1976=432))</formula>
    </cfRule>
    <cfRule type="expression" dxfId="426" priority="427">
      <formula>AND(E1975="SS",E1976&gt;216)</formula>
    </cfRule>
    <cfRule type="expression" dxfId="425" priority="428">
      <formula>(AND(E1975="EUC",E1976&gt;216))</formula>
    </cfRule>
    <cfRule type="expression" dxfId="424" priority="429">
      <formula>AND(E1975="RPX",E1976&gt;216)</formula>
    </cfRule>
  </conditionalFormatting>
  <conditionalFormatting sqref="E1985:E2002">
    <cfRule type="expression" dxfId="423" priority="425">
      <formula>AND(OR(C1985="NO",C1985="REV T",C1985="DBL REV",C1985="TPL REV",C1985="QD REV"),E1985&gt;12)</formula>
    </cfRule>
  </conditionalFormatting>
  <conditionalFormatting sqref="C1985:C2002">
    <cfRule type="expression" dxfId="422" priority="424">
      <formula>AND(OR(C1986="FST",C1986="REV T",C1986="DBL REV",C1986="TPL REV",C1986="QD REV"),C1985="Field SPL")</formula>
    </cfRule>
  </conditionalFormatting>
  <conditionalFormatting sqref="L2017">
    <cfRule type="cellIs" dxfId="421" priority="420" operator="lessThan">
      <formula>$L$7</formula>
    </cfRule>
  </conditionalFormatting>
  <conditionalFormatting sqref="I2016">
    <cfRule type="cellIs" dxfId="420" priority="419" operator="lessThan">
      <formula>0</formula>
    </cfRule>
  </conditionalFormatting>
  <conditionalFormatting sqref="H2026:I2050">
    <cfRule type="cellIs" dxfId="419" priority="418" operator="lessThan">
      <formula>0</formula>
    </cfRule>
  </conditionalFormatting>
  <conditionalFormatting sqref="E2050">
    <cfRule type="expression" dxfId="418" priority="417">
      <formula>AND(OR(C2050="NO",C2050="REV T",C2050="DBL REV",C2050="TPL REV",C2050="QD REV"),E2050&gt;12)</formula>
    </cfRule>
  </conditionalFormatting>
  <conditionalFormatting sqref="B2038:B2050">
    <cfRule type="expression" dxfId="417" priority="415">
      <formula>Z2038="error"</formula>
    </cfRule>
  </conditionalFormatting>
  <conditionalFormatting sqref="B2038:B2050">
    <cfRule type="expression" dxfId="416" priority="414">
      <formula>AA2040="error"</formula>
    </cfRule>
  </conditionalFormatting>
  <conditionalFormatting sqref="E2050">
    <cfRule type="expression" dxfId="415" priority="413">
      <formula>AND(OR(C2050="NO",C2050="REV T",C2050="DBL REV",C2050="TPL REV",C2050="QD REV"),E2050&gt;12)</formula>
    </cfRule>
  </conditionalFormatting>
  <conditionalFormatting sqref="E2021">
    <cfRule type="expression" dxfId="414" priority="410">
      <formula>AND(E2016="EUC",E2017&gt;48,E2021="Y")</formula>
    </cfRule>
    <cfRule type="expression" dxfId="413" priority="411">
      <formula>AND(E2016="RPX",E2017&gt;48,E2021="Y")</formula>
    </cfRule>
    <cfRule type="expression" dxfId="412" priority="412">
      <formula>AND(E2016="SS",E2017&gt;48,E2021="Y")</formula>
    </cfRule>
  </conditionalFormatting>
  <conditionalFormatting sqref="I2020">
    <cfRule type="expression" dxfId="411" priority="407">
      <formula>I2020=0</formula>
    </cfRule>
    <cfRule type="expression" dxfId="410" priority="408">
      <formula>MOD(I2020,2)=0</formula>
    </cfRule>
  </conditionalFormatting>
  <conditionalFormatting sqref="E2044:E2049">
    <cfRule type="expression" dxfId="409" priority="406">
      <formula>AND(OR(C2044="NO",C2044="REV T",C2044="DBL REV",C2044="TPL REV",C2044="QD REV"),E2044&gt;12)</formula>
    </cfRule>
  </conditionalFormatting>
  <conditionalFormatting sqref="C2044:C2050">
    <cfRule type="expression" dxfId="408" priority="405">
      <formula>AND(OR(C2045="FST",C2045="REV T",C2045="DBL REV",C2045="TPL REV",C2045="QD REV"),C2044="Field SPL")</formula>
    </cfRule>
  </conditionalFormatting>
  <conditionalFormatting sqref="I2015">
    <cfRule type="expression" dxfId="407" priority="404">
      <formula>AND(E2016="EUC",E2017=432,I2015&gt;204)</formula>
    </cfRule>
  </conditionalFormatting>
  <conditionalFormatting sqref="E2017">
    <cfRule type="expression" dxfId="406" priority="400">
      <formula>(AND(E2016="EUC",E2017=432))</formula>
    </cfRule>
    <cfRule type="expression" dxfId="405" priority="401">
      <formula>AND(E2016="SS",E2017&gt;216)</formula>
    </cfRule>
    <cfRule type="expression" dxfId="404" priority="402">
      <formula>(AND(E2016="EUC",E2017&gt;216))</formula>
    </cfRule>
    <cfRule type="expression" dxfId="403" priority="403">
      <formula>AND(E2016="RPX",E2017&gt;216)</formula>
    </cfRule>
  </conditionalFormatting>
  <conditionalFormatting sqref="E2026:E2043">
    <cfRule type="expression" dxfId="402" priority="399">
      <formula>AND(OR(C2026="NO",C2026="REV T",C2026="DBL REV",C2026="TPL REV",C2026="QD REV"),E2026&gt;12)</formula>
    </cfRule>
  </conditionalFormatting>
  <conditionalFormatting sqref="C2026:C2043">
    <cfRule type="expression" dxfId="401" priority="398">
      <formula>AND(OR(C2027="FST",C2027="REV T",C2027="DBL REV",C2027="TPL REV",C2027="QD REV"),C2026="Field SPL")</formula>
    </cfRule>
  </conditionalFormatting>
  <conditionalFormatting sqref="L15 L17:L18">
    <cfRule type="containsText" dxfId="400" priority="397" operator="containsText" text="error">
      <formula>NOT(ISERROR(SEARCH("error",L15)))</formula>
    </cfRule>
  </conditionalFormatting>
  <conditionalFormatting sqref="L19:L40">
    <cfRule type="containsText" dxfId="399" priority="396" operator="containsText" text="error">
      <formula>NOT(ISERROR(SEARCH("error",L19)))</formula>
    </cfRule>
  </conditionalFormatting>
  <conditionalFormatting sqref="L41">
    <cfRule type="containsText" dxfId="398" priority="395" operator="containsText" text="error">
      <formula>NOT(ISERROR(SEARCH("error",L41)))</formula>
    </cfRule>
  </conditionalFormatting>
  <conditionalFormatting sqref="K58:K59">
    <cfRule type="containsText" dxfId="397" priority="394" operator="containsText" text="error">
      <formula>NOT(ISERROR(SEARCH("error",K58)))</formula>
    </cfRule>
  </conditionalFormatting>
  <conditionalFormatting sqref="L56 L58:L59">
    <cfRule type="containsText" dxfId="396" priority="393" operator="containsText" text="error">
      <formula>NOT(ISERROR(SEARCH("error",L56)))</formula>
    </cfRule>
  </conditionalFormatting>
  <conditionalFormatting sqref="L60:L81">
    <cfRule type="containsText" dxfId="395" priority="392" operator="containsText" text="error">
      <formula>NOT(ISERROR(SEARCH("error",L60)))</formula>
    </cfRule>
  </conditionalFormatting>
  <conditionalFormatting sqref="L82">
    <cfRule type="containsText" dxfId="394" priority="391" operator="containsText" text="error">
      <formula>NOT(ISERROR(SEARCH("error",L82)))</formula>
    </cfRule>
  </conditionalFormatting>
  <conditionalFormatting sqref="K99:K100">
    <cfRule type="containsText" dxfId="393" priority="390" operator="containsText" text="error">
      <formula>NOT(ISERROR(SEARCH("error",K99)))</formula>
    </cfRule>
  </conditionalFormatting>
  <conditionalFormatting sqref="L97 L99:L100">
    <cfRule type="containsText" dxfId="392" priority="389" operator="containsText" text="error">
      <formula>NOT(ISERROR(SEARCH("error",L97)))</formula>
    </cfRule>
  </conditionalFormatting>
  <conditionalFormatting sqref="L101:L122">
    <cfRule type="containsText" dxfId="391" priority="388" operator="containsText" text="error">
      <formula>NOT(ISERROR(SEARCH("error",L101)))</formula>
    </cfRule>
  </conditionalFormatting>
  <conditionalFormatting sqref="L123">
    <cfRule type="containsText" dxfId="390" priority="387" operator="containsText" text="error">
      <formula>NOT(ISERROR(SEARCH("error",L123)))</formula>
    </cfRule>
  </conditionalFormatting>
  <conditionalFormatting sqref="K140:K141">
    <cfRule type="containsText" dxfId="389" priority="386" operator="containsText" text="error">
      <formula>NOT(ISERROR(SEARCH("error",K140)))</formula>
    </cfRule>
  </conditionalFormatting>
  <conditionalFormatting sqref="L138 L140:L141">
    <cfRule type="containsText" dxfId="388" priority="385" operator="containsText" text="error">
      <formula>NOT(ISERROR(SEARCH("error",L138)))</formula>
    </cfRule>
  </conditionalFormatting>
  <conditionalFormatting sqref="L142:L163">
    <cfRule type="containsText" dxfId="387" priority="384" operator="containsText" text="error">
      <formula>NOT(ISERROR(SEARCH("error",L142)))</formula>
    </cfRule>
  </conditionalFormatting>
  <conditionalFormatting sqref="L164">
    <cfRule type="containsText" dxfId="386" priority="383" operator="containsText" text="error">
      <formula>NOT(ISERROR(SEARCH("error",L164)))</formula>
    </cfRule>
  </conditionalFormatting>
  <conditionalFormatting sqref="K181:K182">
    <cfRule type="containsText" dxfId="385" priority="382" operator="containsText" text="error">
      <formula>NOT(ISERROR(SEARCH("error",K181)))</formula>
    </cfRule>
  </conditionalFormatting>
  <conditionalFormatting sqref="L179 L181:L182">
    <cfRule type="containsText" dxfId="384" priority="381" operator="containsText" text="error">
      <formula>NOT(ISERROR(SEARCH("error",L179)))</formula>
    </cfRule>
  </conditionalFormatting>
  <conditionalFormatting sqref="L183:L204">
    <cfRule type="containsText" dxfId="383" priority="380" operator="containsText" text="error">
      <formula>NOT(ISERROR(SEARCH("error",L183)))</formula>
    </cfRule>
  </conditionalFormatting>
  <conditionalFormatting sqref="L205">
    <cfRule type="containsText" dxfId="382" priority="379" operator="containsText" text="error">
      <formula>NOT(ISERROR(SEARCH("error",L205)))</formula>
    </cfRule>
  </conditionalFormatting>
  <conditionalFormatting sqref="K222:K223">
    <cfRule type="containsText" dxfId="381" priority="378" operator="containsText" text="error">
      <formula>NOT(ISERROR(SEARCH("error",K222)))</formula>
    </cfRule>
  </conditionalFormatting>
  <conditionalFormatting sqref="L220 L222:L223">
    <cfRule type="containsText" dxfId="380" priority="377" operator="containsText" text="error">
      <formula>NOT(ISERROR(SEARCH("error",L220)))</formula>
    </cfRule>
  </conditionalFormatting>
  <conditionalFormatting sqref="L224:L245">
    <cfRule type="containsText" dxfId="379" priority="376" operator="containsText" text="error">
      <formula>NOT(ISERROR(SEARCH("error",L224)))</formula>
    </cfRule>
  </conditionalFormatting>
  <conditionalFormatting sqref="L246">
    <cfRule type="containsText" dxfId="378" priority="375" operator="containsText" text="error">
      <formula>NOT(ISERROR(SEARCH("error",L246)))</formula>
    </cfRule>
  </conditionalFormatting>
  <conditionalFormatting sqref="K263:K264">
    <cfRule type="containsText" dxfId="377" priority="374" operator="containsText" text="error">
      <formula>NOT(ISERROR(SEARCH("error",K263)))</formula>
    </cfRule>
  </conditionalFormatting>
  <conditionalFormatting sqref="L261 L263:L264">
    <cfRule type="containsText" dxfId="376" priority="373" operator="containsText" text="error">
      <formula>NOT(ISERROR(SEARCH("error",L261)))</formula>
    </cfRule>
  </conditionalFormatting>
  <conditionalFormatting sqref="L265:L286">
    <cfRule type="containsText" dxfId="375" priority="372" operator="containsText" text="error">
      <formula>NOT(ISERROR(SEARCH("error",L265)))</formula>
    </cfRule>
  </conditionalFormatting>
  <conditionalFormatting sqref="L287">
    <cfRule type="containsText" dxfId="374" priority="371" operator="containsText" text="error">
      <formula>NOT(ISERROR(SEARCH("error",L287)))</formula>
    </cfRule>
  </conditionalFormatting>
  <conditionalFormatting sqref="K304:K305">
    <cfRule type="containsText" dxfId="373" priority="370" operator="containsText" text="error">
      <formula>NOT(ISERROR(SEARCH("error",K304)))</formula>
    </cfRule>
  </conditionalFormatting>
  <conditionalFormatting sqref="L302 L304:L305">
    <cfRule type="containsText" dxfId="372" priority="369" operator="containsText" text="error">
      <formula>NOT(ISERROR(SEARCH("error",L302)))</formula>
    </cfRule>
  </conditionalFormatting>
  <conditionalFormatting sqref="L306:L327">
    <cfRule type="containsText" dxfId="371" priority="368" operator="containsText" text="error">
      <formula>NOT(ISERROR(SEARCH("error",L306)))</formula>
    </cfRule>
  </conditionalFormatting>
  <conditionalFormatting sqref="L328">
    <cfRule type="containsText" dxfId="370" priority="367" operator="containsText" text="error">
      <formula>NOT(ISERROR(SEARCH("error",L328)))</formula>
    </cfRule>
  </conditionalFormatting>
  <conditionalFormatting sqref="K345:K346">
    <cfRule type="containsText" dxfId="369" priority="366" operator="containsText" text="error">
      <formula>NOT(ISERROR(SEARCH("error",K345)))</formula>
    </cfRule>
  </conditionalFormatting>
  <conditionalFormatting sqref="L343 L345:L346">
    <cfRule type="containsText" dxfId="368" priority="365" operator="containsText" text="error">
      <formula>NOT(ISERROR(SEARCH("error",L343)))</formula>
    </cfRule>
  </conditionalFormatting>
  <conditionalFormatting sqref="L347:L368">
    <cfRule type="containsText" dxfId="367" priority="364" operator="containsText" text="error">
      <formula>NOT(ISERROR(SEARCH("error",L347)))</formula>
    </cfRule>
  </conditionalFormatting>
  <conditionalFormatting sqref="L369">
    <cfRule type="containsText" dxfId="366" priority="363" operator="containsText" text="error">
      <formula>NOT(ISERROR(SEARCH("error",L369)))</formula>
    </cfRule>
  </conditionalFormatting>
  <conditionalFormatting sqref="K386:K387">
    <cfRule type="containsText" dxfId="365" priority="362" operator="containsText" text="error">
      <formula>NOT(ISERROR(SEARCH("error",K386)))</formula>
    </cfRule>
  </conditionalFormatting>
  <conditionalFormatting sqref="L384 L386:L387">
    <cfRule type="containsText" dxfId="364" priority="361" operator="containsText" text="error">
      <formula>NOT(ISERROR(SEARCH("error",L384)))</formula>
    </cfRule>
  </conditionalFormatting>
  <conditionalFormatting sqref="L388:L409">
    <cfRule type="containsText" dxfId="363" priority="360" operator="containsText" text="error">
      <formula>NOT(ISERROR(SEARCH("error",L388)))</formula>
    </cfRule>
  </conditionalFormatting>
  <conditionalFormatting sqref="L410">
    <cfRule type="containsText" dxfId="362" priority="359" operator="containsText" text="error">
      <formula>NOT(ISERROR(SEARCH("error",L410)))</formula>
    </cfRule>
  </conditionalFormatting>
  <conditionalFormatting sqref="K427:K428">
    <cfRule type="containsText" dxfId="361" priority="358" operator="containsText" text="error">
      <formula>NOT(ISERROR(SEARCH("error",K427)))</formula>
    </cfRule>
  </conditionalFormatting>
  <conditionalFormatting sqref="L425 L427:L428">
    <cfRule type="containsText" dxfId="360" priority="357" operator="containsText" text="error">
      <formula>NOT(ISERROR(SEARCH("error",L425)))</formula>
    </cfRule>
  </conditionalFormatting>
  <conditionalFormatting sqref="L429:L450">
    <cfRule type="containsText" dxfId="359" priority="356" operator="containsText" text="error">
      <formula>NOT(ISERROR(SEARCH("error",L429)))</formula>
    </cfRule>
  </conditionalFormatting>
  <conditionalFormatting sqref="L451">
    <cfRule type="containsText" dxfId="358" priority="355" operator="containsText" text="error">
      <formula>NOT(ISERROR(SEARCH("error",L451)))</formula>
    </cfRule>
  </conditionalFormatting>
  <conditionalFormatting sqref="K468:K469">
    <cfRule type="containsText" dxfId="357" priority="354" operator="containsText" text="error">
      <formula>NOT(ISERROR(SEARCH("error",K468)))</formula>
    </cfRule>
  </conditionalFormatting>
  <conditionalFormatting sqref="L466 L468:L469">
    <cfRule type="containsText" dxfId="356" priority="353" operator="containsText" text="error">
      <formula>NOT(ISERROR(SEARCH("error",L466)))</formula>
    </cfRule>
  </conditionalFormatting>
  <conditionalFormatting sqref="L470:L491">
    <cfRule type="containsText" dxfId="355" priority="352" operator="containsText" text="error">
      <formula>NOT(ISERROR(SEARCH("error",L470)))</formula>
    </cfRule>
  </conditionalFormatting>
  <conditionalFormatting sqref="L492">
    <cfRule type="containsText" dxfId="354" priority="351" operator="containsText" text="error">
      <formula>NOT(ISERROR(SEARCH("error",L492)))</formula>
    </cfRule>
  </conditionalFormatting>
  <conditionalFormatting sqref="K509:K510">
    <cfRule type="containsText" dxfId="353" priority="350" operator="containsText" text="error">
      <formula>NOT(ISERROR(SEARCH("error",K509)))</formula>
    </cfRule>
  </conditionalFormatting>
  <conditionalFormatting sqref="L507 L509:L510">
    <cfRule type="containsText" dxfId="352" priority="349" operator="containsText" text="error">
      <formula>NOT(ISERROR(SEARCH("error",L507)))</formula>
    </cfRule>
  </conditionalFormatting>
  <conditionalFormatting sqref="L511:L532">
    <cfRule type="containsText" dxfId="351" priority="348" operator="containsText" text="error">
      <formula>NOT(ISERROR(SEARCH("error",L511)))</formula>
    </cfRule>
  </conditionalFormatting>
  <conditionalFormatting sqref="L533">
    <cfRule type="containsText" dxfId="350" priority="347" operator="containsText" text="error">
      <formula>NOT(ISERROR(SEARCH("error",L533)))</formula>
    </cfRule>
  </conditionalFormatting>
  <conditionalFormatting sqref="K550:K551">
    <cfRule type="containsText" dxfId="349" priority="346" operator="containsText" text="error">
      <formula>NOT(ISERROR(SEARCH("error",K550)))</formula>
    </cfRule>
  </conditionalFormatting>
  <conditionalFormatting sqref="L548 L550:L551">
    <cfRule type="containsText" dxfId="348" priority="345" operator="containsText" text="error">
      <formula>NOT(ISERROR(SEARCH("error",L548)))</formula>
    </cfRule>
  </conditionalFormatting>
  <conditionalFormatting sqref="L552:L573">
    <cfRule type="containsText" dxfId="347" priority="344" operator="containsText" text="error">
      <formula>NOT(ISERROR(SEARCH("error",L552)))</formula>
    </cfRule>
  </conditionalFormatting>
  <conditionalFormatting sqref="L574">
    <cfRule type="containsText" dxfId="346" priority="343" operator="containsText" text="error">
      <formula>NOT(ISERROR(SEARCH("error",L574)))</formula>
    </cfRule>
  </conditionalFormatting>
  <conditionalFormatting sqref="K591:K592">
    <cfRule type="containsText" dxfId="345" priority="342" operator="containsText" text="error">
      <formula>NOT(ISERROR(SEARCH("error",K591)))</formula>
    </cfRule>
  </conditionalFormatting>
  <conditionalFormatting sqref="L589 L591:L592">
    <cfRule type="containsText" dxfId="344" priority="341" operator="containsText" text="error">
      <formula>NOT(ISERROR(SEARCH("error",L589)))</formula>
    </cfRule>
  </conditionalFormatting>
  <conditionalFormatting sqref="L593:L614">
    <cfRule type="containsText" dxfId="343" priority="340" operator="containsText" text="error">
      <formula>NOT(ISERROR(SEARCH("error",L593)))</formula>
    </cfRule>
  </conditionalFormatting>
  <conditionalFormatting sqref="L615">
    <cfRule type="containsText" dxfId="342" priority="339" operator="containsText" text="error">
      <formula>NOT(ISERROR(SEARCH("error",L615)))</formula>
    </cfRule>
  </conditionalFormatting>
  <conditionalFormatting sqref="K632:K633">
    <cfRule type="containsText" dxfId="341" priority="338" operator="containsText" text="error">
      <formula>NOT(ISERROR(SEARCH("error",K632)))</formula>
    </cfRule>
  </conditionalFormatting>
  <conditionalFormatting sqref="L630 L632:L633">
    <cfRule type="containsText" dxfId="340" priority="337" operator="containsText" text="error">
      <formula>NOT(ISERROR(SEARCH("error",L630)))</formula>
    </cfRule>
  </conditionalFormatting>
  <conditionalFormatting sqref="L634:L655">
    <cfRule type="containsText" dxfId="339" priority="336" operator="containsText" text="error">
      <formula>NOT(ISERROR(SEARCH("error",L634)))</formula>
    </cfRule>
  </conditionalFormatting>
  <conditionalFormatting sqref="L656">
    <cfRule type="containsText" dxfId="338" priority="335" operator="containsText" text="error">
      <formula>NOT(ISERROR(SEARCH("error",L656)))</formula>
    </cfRule>
  </conditionalFormatting>
  <conditionalFormatting sqref="K673:K674">
    <cfRule type="containsText" dxfId="337" priority="334" operator="containsText" text="error">
      <formula>NOT(ISERROR(SEARCH("error",K673)))</formula>
    </cfRule>
  </conditionalFormatting>
  <conditionalFormatting sqref="L671 L673:L674">
    <cfRule type="containsText" dxfId="336" priority="333" operator="containsText" text="error">
      <formula>NOT(ISERROR(SEARCH("error",L671)))</formula>
    </cfRule>
  </conditionalFormatting>
  <conditionalFormatting sqref="L675:L696">
    <cfRule type="containsText" dxfId="335" priority="332" operator="containsText" text="error">
      <formula>NOT(ISERROR(SEARCH("error",L675)))</formula>
    </cfRule>
  </conditionalFormatting>
  <conditionalFormatting sqref="L697">
    <cfRule type="containsText" dxfId="334" priority="331" operator="containsText" text="error">
      <formula>NOT(ISERROR(SEARCH("error",L697)))</formula>
    </cfRule>
  </conditionalFormatting>
  <conditionalFormatting sqref="K714:K715">
    <cfRule type="containsText" dxfId="333" priority="330" operator="containsText" text="error">
      <formula>NOT(ISERROR(SEARCH("error",K714)))</formula>
    </cfRule>
  </conditionalFormatting>
  <conditionalFormatting sqref="L712 L714:L715">
    <cfRule type="containsText" dxfId="332" priority="329" operator="containsText" text="error">
      <formula>NOT(ISERROR(SEARCH("error",L712)))</formula>
    </cfRule>
  </conditionalFormatting>
  <conditionalFormatting sqref="L716:L737">
    <cfRule type="containsText" dxfId="331" priority="328" operator="containsText" text="error">
      <formula>NOT(ISERROR(SEARCH("error",L716)))</formula>
    </cfRule>
  </conditionalFormatting>
  <conditionalFormatting sqref="L738">
    <cfRule type="containsText" dxfId="330" priority="327" operator="containsText" text="error">
      <formula>NOT(ISERROR(SEARCH("error",L738)))</formula>
    </cfRule>
  </conditionalFormatting>
  <conditionalFormatting sqref="K755:K756">
    <cfRule type="containsText" dxfId="329" priority="326" operator="containsText" text="error">
      <formula>NOT(ISERROR(SEARCH("error",K755)))</formula>
    </cfRule>
  </conditionalFormatting>
  <conditionalFormatting sqref="L753 L755:L756">
    <cfRule type="containsText" dxfId="328" priority="325" operator="containsText" text="error">
      <formula>NOT(ISERROR(SEARCH("error",L753)))</formula>
    </cfRule>
  </conditionalFormatting>
  <conditionalFormatting sqref="L757:L778">
    <cfRule type="containsText" dxfId="327" priority="324" operator="containsText" text="error">
      <formula>NOT(ISERROR(SEARCH("error",L757)))</formula>
    </cfRule>
  </conditionalFormatting>
  <conditionalFormatting sqref="L779">
    <cfRule type="containsText" dxfId="326" priority="323" operator="containsText" text="error">
      <formula>NOT(ISERROR(SEARCH("error",L779)))</formula>
    </cfRule>
  </conditionalFormatting>
  <conditionalFormatting sqref="K796:K797">
    <cfRule type="containsText" dxfId="325" priority="322" operator="containsText" text="error">
      <formula>NOT(ISERROR(SEARCH("error",K796)))</formula>
    </cfRule>
  </conditionalFormatting>
  <conditionalFormatting sqref="L794 L796:L797">
    <cfRule type="containsText" dxfId="324" priority="321" operator="containsText" text="error">
      <formula>NOT(ISERROR(SEARCH("error",L794)))</formula>
    </cfRule>
  </conditionalFormatting>
  <conditionalFormatting sqref="L798:L819">
    <cfRule type="containsText" dxfId="323" priority="320" operator="containsText" text="error">
      <formula>NOT(ISERROR(SEARCH("error",L798)))</formula>
    </cfRule>
  </conditionalFormatting>
  <conditionalFormatting sqref="L820">
    <cfRule type="containsText" dxfId="322" priority="319" operator="containsText" text="error">
      <formula>NOT(ISERROR(SEARCH("error",L820)))</formula>
    </cfRule>
  </conditionalFormatting>
  <conditionalFormatting sqref="K837:K838">
    <cfRule type="containsText" dxfId="321" priority="318" operator="containsText" text="error">
      <formula>NOT(ISERROR(SEARCH("error",K837)))</formula>
    </cfRule>
  </conditionalFormatting>
  <conditionalFormatting sqref="L835 L837:L838">
    <cfRule type="containsText" dxfId="320" priority="317" operator="containsText" text="error">
      <formula>NOT(ISERROR(SEARCH("error",L835)))</formula>
    </cfRule>
  </conditionalFormatting>
  <conditionalFormatting sqref="L839:L860">
    <cfRule type="containsText" dxfId="319" priority="316" operator="containsText" text="error">
      <formula>NOT(ISERROR(SEARCH("error",L839)))</formula>
    </cfRule>
  </conditionalFormatting>
  <conditionalFormatting sqref="L861">
    <cfRule type="containsText" dxfId="318" priority="315" operator="containsText" text="error">
      <formula>NOT(ISERROR(SEARCH("error",L861)))</formula>
    </cfRule>
  </conditionalFormatting>
  <conditionalFormatting sqref="K878:K879">
    <cfRule type="containsText" dxfId="317" priority="314" operator="containsText" text="error">
      <formula>NOT(ISERROR(SEARCH("error",K878)))</formula>
    </cfRule>
  </conditionalFormatting>
  <conditionalFormatting sqref="L876 L878:L879">
    <cfRule type="containsText" dxfId="316" priority="313" operator="containsText" text="error">
      <formula>NOT(ISERROR(SEARCH("error",L876)))</formula>
    </cfRule>
  </conditionalFormatting>
  <conditionalFormatting sqref="L880:L901">
    <cfRule type="containsText" dxfId="315" priority="312" operator="containsText" text="error">
      <formula>NOT(ISERROR(SEARCH("error",L880)))</formula>
    </cfRule>
  </conditionalFormatting>
  <conditionalFormatting sqref="L902">
    <cfRule type="containsText" dxfId="314" priority="311" operator="containsText" text="error">
      <formula>NOT(ISERROR(SEARCH("error",L902)))</formula>
    </cfRule>
  </conditionalFormatting>
  <conditionalFormatting sqref="K919:K920">
    <cfRule type="containsText" dxfId="313" priority="310" operator="containsText" text="error">
      <formula>NOT(ISERROR(SEARCH("error",K919)))</formula>
    </cfRule>
  </conditionalFormatting>
  <conditionalFormatting sqref="L917 L919:L920">
    <cfRule type="containsText" dxfId="312" priority="309" operator="containsText" text="error">
      <formula>NOT(ISERROR(SEARCH("error",L917)))</formula>
    </cfRule>
  </conditionalFormatting>
  <conditionalFormatting sqref="L921:L942">
    <cfRule type="containsText" dxfId="311" priority="308" operator="containsText" text="error">
      <formula>NOT(ISERROR(SEARCH("error",L921)))</formula>
    </cfRule>
  </conditionalFormatting>
  <conditionalFormatting sqref="L943">
    <cfRule type="containsText" dxfId="310" priority="307" operator="containsText" text="error">
      <formula>NOT(ISERROR(SEARCH("error",L943)))</formula>
    </cfRule>
  </conditionalFormatting>
  <conditionalFormatting sqref="K960:K961">
    <cfRule type="containsText" dxfId="309" priority="306" operator="containsText" text="error">
      <formula>NOT(ISERROR(SEARCH("error",K960)))</formula>
    </cfRule>
  </conditionalFormatting>
  <conditionalFormatting sqref="L958 L960:L961">
    <cfRule type="containsText" dxfId="308" priority="305" operator="containsText" text="error">
      <formula>NOT(ISERROR(SEARCH("error",L958)))</formula>
    </cfRule>
  </conditionalFormatting>
  <conditionalFormatting sqref="L962:L983">
    <cfRule type="containsText" dxfId="307" priority="304" operator="containsText" text="error">
      <formula>NOT(ISERROR(SEARCH("error",L962)))</formula>
    </cfRule>
  </conditionalFormatting>
  <conditionalFormatting sqref="L984">
    <cfRule type="containsText" dxfId="306" priority="303" operator="containsText" text="error">
      <formula>NOT(ISERROR(SEARCH("error",L984)))</formula>
    </cfRule>
  </conditionalFormatting>
  <conditionalFormatting sqref="K1001:K1002">
    <cfRule type="containsText" dxfId="305" priority="302" operator="containsText" text="error">
      <formula>NOT(ISERROR(SEARCH("error",K1001)))</formula>
    </cfRule>
  </conditionalFormatting>
  <conditionalFormatting sqref="L999 L1001:L1002">
    <cfRule type="containsText" dxfId="304" priority="301" operator="containsText" text="error">
      <formula>NOT(ISERROR(SEARCH("error",L999)))</formula>
    </cfRule>
  </conditionalFormatting>
  <conditionalFormatting sqref="L1003:L1024">
    <cfRule type="containsText" dxfId="303" priority="300" operator="containsText" text="error">
      <formula>NOT(ISERROR(SEARCH("error",L1003)))</formula>
    </cfRule>
  </conditionalFormatting>
  <conditionalFormatting sqref="L1025">
    <cfRule type="containsText" dxfId="302" priority="299" operator="containsText" text="error">
      <formula>NOT(ISERROR(SEARCH("error",L1025)))</formula>
    </cfRule>
  </conditionalFormatting>
  <conditionalFormatting sqref="K1042:K1043">
    <cfRule type="containsText" dxfId="301" priority="298" operator="containsText" text="error">
      <formula>NOT(ISERROR(SEARCH("error",K1042)))</formula>
    </cfRule>
  </conditionalFormatting>
  <conditionalFormatting sqref="L1040 L1042:L1043">
    <cfRule type="containsText" dxfId="300" priority="297" operator="containsText" text="error">
      <formula>NOT(ISERROR(SEARCH("error",L1040)))</formula>
    </cfRule>
  </conditionalFormatting>
  <conditionalFormatting sqref="L1044:L1065">
    <cfRule type="containsText" dxfId="299" priority="296" operator="containsText" text="error">
      <formula>NOT(ISERROR(SEARCH("error",L1044)))</formula>
    </cfRule>
  </conditionalFormatting>
  <conditionalFormatting sqref="L1066">
    <cfRule type="containsText" dxfId="298" priority="295" operator="containsText" text="error">
      <formula>NOT(ISERROR(SEARCH("error",L1066)))</formula>
    </cfRule>
  </conditionalFormatting>
  <conditionalFormatting sqref="K1083:K1084">
    <cfRule type="containsText" dxfId="297" priority="294" operator="containsText" text="error">
      <formula>NOT(ISERROR(SEARCH("error",K1083)))</formula>
    </cfRule>
  </conditionalFormatting>
  <conditionalFormatting sqref="L1081 L1083:L1084">
    <cfRule type="containsText" dxfId="296" priority="293" operator="containsText" text="error">
      <formula>NOT(ISERROR(SEARCH("error",L1081)))</formula>
    </cfRule>
  </conditionalFormatting>
  <conditionalFormatting sqref="L1085:L1106">
    <cfRule type="containsText" dxfId="295" priority="292" operator="containsText" text="error">
      <formula>NOT(ISERROR(SEARCH("error",L1085)))</formula>
    </cfRule>
  </conditionalFormatting>
  <conditionalFormatting sqref="L1107">
    <cfRule type="containsText" dxfId="294" priority="291" operator="containsText" text="error">
      <formula>NOT(ISERROR(SEARCH("error",L1107)))</formula>
    </cfRule>
  </conditionalFormatting>
  <conditionalFormatting sqref="K1124:K1125">
    <cfRule type="containsText" dxfId="293" priority="290" operator="containsText" text="error">
      <formula>NOT(ISERROR(SEARCH("error",K1124)))</formula>
    </cfRule>
  </conditionalFormatting>
  <conditionalFormatting sqref="L1122 L1124:L1125">
    <cfRule type="containsText" dxfId="292" priority="289" operator="containsText" text="error">
      <formula>NOT(ISERROR(SEARCH("error",L1122)))</formula>
    </cfRule>
  </conditionalFormatting>
  <conditionalFormatting sqref="L1126:L1147">
    <cfRule type="containsText" dxfId="291" priority="288" operator="containsText" text="error">
      <formula>NOT(ISERROR(SEARCH("error",L1126)))</formula>
    </cfRule>
  </conditionalFormatting>
  <conditionalFormatting sqref="L1148">
    <cfRule type="containsText" dxfId="290" priority="287" operator="containsText" text="error">
      <formula>NOT(ISERROR(SEARCH("error",L1148)))</formula>
    </cfRule>
  </conditionalFormatting>
  <conditionalFormatting sqref="K1165:K1166">
    <cfRule type="containsText" dxfId="289" priority="286" operator="containsText" text="error">
      <formula>NOT(ISERROR(SEARCH("error",K1165)))</formula>
    </cfRule>
  </conditionalFormatting>
  <conditionalFormatting sqref="L1163 L1165:L1166">
    <cfRule type="containsText" dxfId="288" priority="285" operator="containsText" text="error">
      <formula>NOT(ISERROR(SEARCH("error",L1163)))</formula>
    </cfRule>
  </conditionalFormatting>
  <conditionalFormatting sqref="L1167:L1188">
    <cfRule type="containsText" dxfId="287" priority="284" operator="containsText" text="error">
      <formula>NOT(ISERROR(SEARCH("error",L1167)))</formula>
    </cfRule>
  </conditionalFormatting>
  <conditionalFormatting sqref="L1189">
    <cfRule type="containsText" dxfId="286" priority="283" operator="containsText" text="error">
      <formula>NOT(ISERROR(SEARCH("error",L1189)))</formula>
    </cfRule>
  </conditionalFormatting>
  <conditionalFormatting sqref="K1206:K1207">
    <cfRule type="containsText" dxfId="285" priority="282" operator="containsText" text="error">
      <formula>NOT(ISERROR(SEARCH("error",K1206)))</formula>
    </cfRule>
  </conditionalFormatting>
  <conditionalFormatting sqref="L1204 L1206:L1207">
    <cfRule type="containsText" dxfId="284" priority="281" operator="containsText" text="error">
      <formula>NOT(ISERROR(SEARCH("error",L1204)))</formula>
    </cfRule>
  </conditionalFormatting>
  <conditionalFormatting sqref="L1208:L1229">
    <cfRule type="containsText" dxfId="283" priority="280" operator="containsText" text="error">
      <formula>NOT(ISERROR(SEARCH("error",L1208)))</formula>
    </cfRule>
  </conditionalFormatting>
  <conditionalFormatting sqref="L1230">
    <cfRule type="containsText" dxfId="282" priority="279" operator="containsText" text="error">
      <formula>NOT(ISERROR(SEARCH("error",L1230)))</formula>
    </cfRule>
  </conditionalFormatting>
  <conditionalFormatting sqref="K1247:K1248">
    <cfRule type="containsText" dxfId="281" priority="278" operator="containsText" text="error">
      <formula>NOT(ISERROR(SEARCH("error",K1247)))</formula>
    </cfRule>
  </conditionalFormatting>
  <conditionalFormatting sqref="L1245 L1247:L1248">
    <cfRule type="containsText" dxfId="280" priority="277" operator="containsText" text="error">
      <formula>NOT(ISERROR(SEARCH("error",L1245)))</formula>
    </cfRule>
  </conditionalFormatting>
  <conditionalFormatting sqref="L1249:L1270">
    <cfRule type="containsText" dxfId="279" priority="276" operator="containsText" text="error">
      <formula>NOT(ISERROR(SEARCH("error",L1249)))</formula>
    </cfRule>
  </conditionalFormatting>
  <conditionalFormatting sqref="L1271">
    <cfRule type="containsText" dxfId="278" priority="275" operator="containsText" text="error">
      <formula>NOT(ISERROR(SEARCH("error",L1271)))</formula>
    </cfRule>
  </conditionalFormatting>
  <conditionalFormatting sqref="K1288:K1289">
    <cfRule type="containsText" dxfId="277" priority="274" operator="containsText" text="error">
      <formula>NOT(ISERROR(SEARCH("error",K1288)))</formula>
    </cfRule>
  </conditionalFormatting>
  <conditionalFormatting sqref="L1286 L1288:L1289">
    <cfRule type="containsText" dxfId="276" priority="273" operator="containsText" text="error">
      <formula>NOT(ISERROR(SEARCH("error",L1286)))</formula>
    </cfRule>
  </conditionalFormatting>
  <conditionalFormatting sqref="L1290:L1311">
    <cfRule type="containsText" dxfId="275" priority="272" operator="containsText" text="error">
      <formula>NOT(ISERROR(SEARCH("error",L1290)))</formula>
    </cfRule>
  </conditionalFormatting>
  <conditionalFormatting sqref="L1312">
    <cfRule type="containsText" dxfId="274" priority="271" operator="containsText" text="error">
      <formula>NOT(ISERROR(SEARCH("error",L1312)))</formula>
    </cfRule>
  </conditionalFormatting>
  <conditionalFormatting sqref="K1329:K1330">
    <cfRule type="containsText" dxfId="273" priority="270" operator="containsText" text="error">
      <formula>NOT(ISERROR(SEARCH("error",K1329)))</formula>
    </cfRule>
  </conditionalFormatting>
  <conditionalFormatting sqref="L1327 L1329:L1330">
    <cfRule type="containsText" dxfId="272" priority="269" operator="containsText" text="error">
      <formula>NOT(ISERROR(SEARCH("error",L1327)))</formula>
    </cfRule>
  </conditionalFormatting>
  <conditionalFormatting sqref="L1331:L1352">
    <cfRule type="containsText" dxfId="271" priority="268" operator="containsText" text="error">
      <formula>NOT(ISERROR(SEARCH("error",L1331)))</formula>
    </cfRule>
  </conditionalFormatting>
  <conditionalFormatting sqref="L1353">
    <cfRule type="containsText" dxfId="270" priority="267" operator="containsText" text="error">
      <formula>NOT(ISERROR(SEARCH("error",L1353)))</formula>
    </cfRule>
  </conditionalFormatting>
  <conditionalFormatting sqref="K1370:K1371">
    <cfRule type="containsText" dxfId="269" priority="266" operator="containsText" text="error">
      <formula>NOT(ISERROR(SEARCH("error",K1370)))</formula>
    </cfRule>
  </conditionalFormatting>
  <conditionalFormatting sqref="L1368 L1370:L1371">
    <cfRule type="containsText" dxfId="268" priority="265" operator="containsText" text="error">
      <formula>NOT(ISERROR(SEARCH("error",L1368)))</formula>
    </cfRule>
  </conditionalFormatting>
  <conditionalFormatting sqref="L1372:L1393">
    <cfRule type="containsText" dxfId="267" priority="264" operator="containsText" text="error">
      <formula>NOT(ISERROR(SEARCH("error",L1372)))</formula>
    </cfRule>
  </conditionalFormatting>
  <conditionalFormatting sqref="L1394">
    <cfRule type="containsText" dxfId="266" priority="263" operator="containsText" text="error">
      <formula>NOT(ISERROR(SEARCH("error",L1394)))</formula>
    </cfRule>
  </conditionalFormatting>
  <conditionalFormatting sqref="K1411:K1412">
    <cfRule type="containsText" dxfId="265" priority="262" operator="containsText" text="error">
      <formula>NOT(ISERROR(SEARCH("error",K1411)))</formula>
    </cfRule>
  </conditionalFormatting>
  <conditionalFormatting sqref="L1409 L1411:L1412">
    <cfRule type="containsText" dxfId="264" priority="261" operator="containsText" text="error">
      <formula>NOT(ISERROR(SEARCH("error",L1409)))</formula>
    </cfRule>
  </conditionalFormatting>
  <conditionalFormatting sqref="L1413:L1434">
    <cfRule type="containsText" dxfId="263" priority="260" operator="containsText" text="error">
      <formula>NOT(ISERROR(SEARCH("error",L1413)))</formula>
    </cfRule>
  </conditionalFormatting>
  <conditionalFormatting sqref="L1435">
    <cfRule type="containsText" dxfId="262" priority="259" operator="containsText" text="error">
      <formula>NOT(ISERROR(SEARCH("error",L1435)))</formula>
    </cfRule>
  </conditionalFormatting>
  <conditionalFormatting sqref="K1452:K1453">
    <cfRule type="containsText" dxfId="261" priority="258" operator="containsText" text="error">
      <formula>NOT(ISERROR(SEARCH("error",K1452)))</formula>
    </cfRule>
  </conditionalFormatting>
  <conditionalFormatting sqref="L1450 L1452:L1453">
    <cfRule type="containsText" dxfId="260" priority="257" operator="containsText" text="error">
      <formula>NOT(ISERROR(SEARCH("error",L1450)))</formula>
    </cfRule>
  </conditionalFormatting>
  <conditionalFormatting sqref="L1454:L1475">
    <cfRule type="containsText" dxfId="259" priority="256" operator="containsText" text="error">
      <formula>NOT(ISERROR(SEARCH("error",L1454)))</formula>
    </cfRule>
  </conditionalFormatting>
  <conditionalFormatting sqref="L1476">
    <cfRule type="containsText" dxfId="258" priority="255" operator="containsText" text="error">
      <formula>NOT(ISERROR(SEARCH("error",L1476)))</formula>
    </cfRule>
  </conditionalFormatting>
  <conditionalFormatting sqref="K1493:K1494">
    <cfRule type="containsText" dxfId="257" priority="254" operator="containsText" text="error">
      <formula>NOT(ISERROR(SEARCH("error",K1493)))</formula>
    </cfRule>
  </conditionalFormatting>
  <conditionalFormatting sqref="L1491 L1493:L1494">
    <cfRule type="containsText" dxfId="256" priority="253" operator="containsText" text="error">
      <formula>NOT(ISERROR(SEARCH("error",L1491)))</formula>
    </cfRule>
  </conditionalFormatting>
  <conditionalFormatting sqref="L1495:L1516">
    <cfRule type="containsText" dxfId="255" priority="252" operator="containsText" text="error">
      <formula>NOT(ISERROR(SEARCH("error",L1495)))</formula>
    </cfRule>
  </conditionalFormatting>
  <conditionalFormatting sqref="L1517">
    <cfRule type="containsText" dxfId="254" priority="251" operator="containsText" text="error">
      <formula>NOT(ISERROR(SEARCH("error",L1517)))</formula>
    </cfRule>
  </conditionalFormatting>
  <conditionalFormatting sqref="K1534:K1535">
    <cfRule type="containsText" dxfId="253" priority="250" operator="containsText" text="error">
      <formula>NOT(ISERROR(SEARCH("error",K1534)))</formula>
    </cfRule>
  </conditionalFormatting>
  <conditionalFormatting sqref="L1532 L1534:L1535">
    <cfRule type="containsText" dxfId="252" priority="249" operator="containsText" text="error">
      <formula>NOT(ISERROR(SEARCH("error",L1532)))</formula>
    </cfRule>
  </conditionalFormatting>
  <conditionalFormatting sqref="L1536:L1557">
    <cfRule type="containsText" dxfId="251" priority="248" operator="containsText" text="error">
      <formula>NOT(ISERROR(SEARCH("error",L1536)))</formula>
    </cfRule>
  </conditionalFormatting>
  <conditionalFormatting sqref="L1558">
    <cfRule type="containsText" dxfId="250" priority="247" operator="containsText" text="error">
      <formula>NOT(ISERROR(SEARCH("error",L1558)))</formula>
    </cfRule>
  </conditionalFormatting>
  <conditionalFormatting sqref="K1575:K1576">
    <cfRule type="containsText" dxfId="249" priority="246" operator="containsText" text="error">
      <formula>NOT(ISERROR(SEARCH("error",K1575)))</formula>
    </cfRule>
  </conditionalFormatting>
  <conditionalFormatting sqref="L1573 L1575:L1576">
    <cfRule type="containsText" dxfId="248" priority="245" operator="containsText" text="error">
      <formula>NOT(ISERROR(SEARCH("error",L1573)))</formula>
    </cfRule>
  </conditionalFormatting>
  <conditionalFormatting sqref="L1577:L1598">
    <cfRule type="containsText" dxfId="247" priority="244" operator="containsText" text="error">
      <formula>NOT(ISERROR(SEARCH("error",L1577)))</formula>
    </cfRule>
  </conditionalFormatting>
  <conditionalFormatting sqref="L1599">
    <cfRule type="containsText" dxfId="246" priority="243" operator="containsText" text="error">
      <formula>NOT(ISERROR(SEARCH("error",L1599)))</formula>
    </cfRule>
  </conditionalFormatting>
  <conditionalFormatting sqref="K1616:K1617">
    <cfRule type="containsText" dxfId="245" priority="242" operator="containsText" text="error">
      <formula>NOT(ISERROR(SEARCH("error",K1616)))</formula>
    </cfRule>
  </conditionalFormatting>
  <conditionalFormatting sqref="L1614 L1616:L1617">
    <cfRule type="containsText" dxfId="244" priority="241" operator="containsText" text="error">
      <formula>NOT(ISERROR(SEARCH("error",L1614)))</formula>
    </cfRule>
  </conditionalFormatting>
  <conditionalFormatting sqref="L1618:L1639">
    <cfRule type="containsText" dxfId="243" priority="240" operator="containsText" text="error">
      <formula>NOT(ISERROR(SEARCH("error",L1618)))</formula>
    </cfRule>
  </conditionalFormatting>
  <conditionalFormatting sqref="L1640">
    <cfRule type="containsText" dxfId="242" priority="239" operator="containsText" text="error">
      <formula>NOT(ISERROR(SEARCH("error",L1640)))</formula>
    </cfRule>
  </conditionalFormatting>
  <conditionalFormatting sqref="K1657:K1658">
    <cfRule type="containsText" dxfId="241" priority="238" operator="containsText" text="error">
      <formula>NOT(ISERROR(SEARCH("error",K1657)))</formula>
    </cfRule>
  </conditionalFormatting>
  <conditionalFormatting sqref="L1655 L1657:L1658">
    <cfRule type="containsText" dxfId="240" priority="237" operator="containsText" text="error">
      <formula>NOT(ISERROR(SEARCH("error",L1655)))</formula>
    </cfRule>
  </conditionalFormatting>
  <conditionalFormatting sqref="L1659:L1680">
    <cfRule type="containsText" dxfId="239" priority="236" operator="containsText" text="error">
      <formula>NOT(ISERROR(SEARCH("error",L1659)))</formula>
    </cfRule>
  </conditionalFormatting>
  <conditionalFormatting sqref="L1681">
    <cfRule type="containsText" dxfId="238" priority="235" operator="containsText" text="error">
      <formula>NOT(ISERROR(SEARCH("error",L1681)))</formula>
    </cfRule>
  </conditionalFormatting>
  <conditionalFormatting sqref="K1698:K1699">
    <cfRule type="containsText" dxfId="237" priority="234" operator="containsText" text="error">
      <formula>NOT(ISERROR(SEARCH("error",K1698)))</formula>
    </cfRule>
  </conditionalFormatting>
  <conditionalFormatting sqref="L1696 L1698:L1699">
    <cfRule type="containsText" dxfId="236" priority="233" operator="containsText" text="error">
      <formula>NOT(ISERROR(SEARCH("error",L1696)))</formula>
    </cfRule>
  </conditionalFormatting>
  <conditionalFormatting sqref="L1700:L1721">
    <cfRule type="containsText" dxfId="235" priority="232" operator="containsText" text="error">
      <formula>NOT(ISERROR(SEARCH("error",L1700)))</formula>
    </cfRule>
  </conditionalFormatting>
  <conditionalFormatting sqref="L1722">
    <cfRule type="containsText" dxfId="234" priority="231" operator="containsText" text="error">
      <formula>NOT(ISERROR(SEARCH("error",L1722)))</formula>
    </cfRule>
  </conditionalFormatting>
  <conditionalFormatting sqref="K1739:K1740">
    <cfRule type="containsText" dxfId="233" priority="230" operator="containsText" text="error">
      <formula>NOT(ISERROR(SEARCH("error",K1739)))</formula>
    </cfRule>
  </conditionalFormatting>
  <conditionalFormatting sqref="L1737 L1739:L1740">
    <cfRule type="containsText" dxfId="232" priority="229" operator="containsText" text="error">
      <formula>NOT(ISERROR(SEARCH("error",L1737)))</formula>
    </cfRule>
  </conditionalFormatting>
  <conditionalFormatting sqref="L1741:L1762">
    <cfRule type="containsText" dxfId="231" priority="228" operator="containsText" text="error">
      <formula>NOT(ISERROR(SEARCH("error",L1741)))</formula>
    </cfRule>
  </conditionalFormatting>
  <conditionalFormatting sqref="L1763">
    <cfRule type="containsText" dxfId="230" priority="227" operator="containsText" text="error">
      <formula>NOT(ISERROR(SEARCH("error",L1763)))</formula>
    </cfRule>
  </conditionalFormatting>
  <conditionalFormatting sqref="K1780:K1781">
    <cfRule type="containsText" dxfId="229" priority="226" operator="containsText" text="error">
      <formula>NOT(ISERROR(SEARCH("error",K1780)))</formula>
    </cfRule>
  </conditionalFormatting>
  <conditionalFormatting sqref="L1778 L1780:L1781">
    <cfRule type="containsText" dxfId="228" priority="225" operator="containsText" text="error">
      <formula>NOT(ISERROR(SEARCH("error",L1778)))</formula>
    </cfRule>
  </conditionalFormatting>
  <conditionalFormatting sqref="L1782:L1803">
    <cfRule type="containsText" dxfId="227" priority="224" operator="containsText" text="error">
      <formula>NOT(ISERROR(SEARCH("error",L1782)))</formula>
    </cfRule>
  </conditionalFormatting>
  <conditionalFormatting sqref="L1804">
    <cfRule type="containsText" dxfId="226" priority="223" operator="containsText" text="error">
      <formula>NOT(ISERROR(SEARCH("error",L1804)))</formula>
    </cfRule>
  </conditionalFormatting>
  <conditionalFormatting sqref="K1821:K1822">
    <cfRule type="containsText" dxfId="225" priority="222" operator="containsText" text="error">
      <formula>NOT(ISERROR(SEARCH("error",K1821)))</formula>
    </cfRule>
  </conditionalFormatting>
  <conditionalFormatting sqref="L1819 L1821:L1822">
    <cfRule type="containsText" dxfId="224" priority="221" operator="containsText" text="error">
      <formula>NOT(ISERROR(SEARCH("error",L1819)))</formula>
    </cfRule>
  </conditionalFormatting>
  <conditionalFormatting sqref="L1823:L1844">
    <cfRule type="containsText" dxfId="223" priority="220" operator="containsText" text="error">
      <formula>NOT(ISERROR(SEARCH("error",L1823)))</formula>
    </cfRule>
  </conditionalFormatting>
  <conditionalFormatting sqref="L1845">
    <cfRule type="containsText" dxfId="222" priority="219" operator="containsText" text="error">
      <formula>NOT(ISERROR(SEARCH("error",L1845)))</formula>
    </cfRule>
  </conditionalFormatting>
  <conditionalFormatting sqref="K1862:K1863">
    <cfRule type="containsText" dxfId="221" priority="218" operator="containsText" text="error">
      <formula>NOT(ISERROR(SEARCH("error",K1862)))</formula>
    </cfRule>
  </conditionalFormatting>
  <conditionalFormatting sqref="L1860 L1862:L1863">
    <cfRule type="containsText" dxfId="220" priority="217" operator="containsText" text="error">
      <formula>NOT(ISERROR(SEARCH("error",L1860)))</formula>
    </cfRule>
  </conditionalFormatting>
  <conditionalFormatting sqref="L1864:L1885">
    <cfRule type="containsText" dxfId="219" priority="216" operator="containsText" text="error">
      <formula>NOT(ISERROR(SEARCH("error",L1864)))</formula>
    </cfRule>
  </conditionalFormatting>
  <conditionalFormatting sqref="L1886">
    <cfRule type="containsText" dxfId="218" priority="215" operator="containsText" text="error">
      <formula>NOT(ISERROR(SEARCH("error",L1886)))</formula>
    </cfRule>
  </conditionalFormatting>
  <conditionalFormatting sqref="K1903:K1904">
    <cfRule type="containsText" dxfId="217" priority="214" operator="containsText" text="error">
      <formula>NOT(ISERROR(SEARCH("error",K1903)))</formula>
    </cfRule>
  </conditionalFormatting>
  <conditionalFormatting sqref="L1901 L1903:L1904">
    <cfRule type="containsText" dxfId="216" priority="213" operator="containsText" text="error">
      <formula>NOT(ISERROR(SEARCH("error",L1901)))</formula>
    </cfRule>
  </conditionalFormatting>
  <conditionalFormatting sqref="L1905:L1926">
    <cfRule type="containsText" dxfId="215" priority="212" operator="containsText" text="error">
      <formula>NOT(ISERROR(SEARCH("error",L1905)))</formula>
    </cfRule>
  </conditionalFormatting>
  <conditionalFormatting sqref="L1927">
    <cfRule type="containsText" dxfId="214" priority="211" operator="containsText" text="error">
      <formula>NOT(ISERROR(SEARCH("error",L1927)))</formula>
    </cfRule>
  </conditionalFormatting>
  <conditionalFormatting sqref="K1944:K1945">
    <cfRule type="containsText" dxfId="213" priority="210" operator="containsText" text="error">
      <formula>NOT(ISERROR(SEARCH("error",K1944)))</formula>
    </cfRule>
  </conditionalFormatting>
  <conditionalFormatting sqref="L1942 L1944:L1945">
    <cfRule type="containsText" dxfId="212" priority="209" operator="containsText" text="error">
      <formula>NOT(ISERROR(SEARCH("error",L1942)))</formula>
    </cfRule>
  </conditionalFormatting>
  <conditionalFormatting sqref="L1946:L1967">
    <cfRule type="containsText" dxfId="211" priority="208" operator="containsText" text="error">
      <formula>NOT(ISERROR(SEARCH("error",L1946)))</formula>
    </cfRule>
  </conditionalFormatting>
  <conditionalFormatting sqref="L1968">
    <cfRule type="containsText" dxfId="210" priority="207" operator="containsText" text="error">
      <formula>NOT(ISERROR(SEARCH("error",L1968)))</formula>
    </cfRule>
  </conditionalFormatting>
  <conditionalFormatting sqref="K1985:K1986">
    <cfRule type="containsText" dxfId="209" priority="206" operator="containsText" text="error">
      <formula>NOT(ISERROR(SEARCH("error",K1985)))</formula>
    </cfRule>
  </conditionalFormatting>
  <conditionalFormatting sqref="L1983 L1985:L1986">
    <cfRule type="containsText" dxfId="208" priority="205" operator="containsText" text="error">
      <formula>NOT(ISERROR(SEARCH("error",L1983)))</formula>
    </cfRule>
  </conditionalFormatting>
  <conditionalFormatting sqref="L1987:L2008">
    <cfRule type="containsText" dxfId="207" priority="204" operator="containsText" text="error">
      <formula>NOT(ISERROR(SEARCH("error",L1987)))</formula>
    </cfRule>
  </conditionalFormatting>
  <conditionalFormatting sqref="L2009">
    <cfRule type="containsText" dxfId="206" priority="203" operator="containsText" text="error">
      <formula>NOT(ISERROR(SEARCH("error",L2009)))</formula>
    </cfRule>
  </conditionalFormatting>
  <conditionalFormatting sqref="K2026:K2027">
    <cfRule type="containsText" dxfId="205" priority="202" operator="containsText" text="error">
      <formula>NOT(ISERROR(SEARCH("error",K2026)))</formula>
    </cfRule>
  </conditionalFormatting>
  <conditionalFormatting sqref="L2024 L2026:L2027">
    <cfRule type="containsText" dxfId="204" priority="201" operator="containsText" text="error">
      <formula>NOT(ISERROR(SEARCH("error",L2024)))</formula>
    </cfRule>
  </conditionalFormatting>
  <conditionalFormatting sqref="L2028:L2049">
    <cfRule type="containsText" dxfId="203" priority="200" operator="containsText" text="error">
      <formula>NOT(ISERROR(SEARCH("error",L2028)))</formula>
    </cfRule>
  </conditionalFormatting>
  <conditionalFormatting sqref="L2050">
    <cfRule type="containsText" dxfId="202" priority="199" operator="containsText" text="error">
      <formula>NOT(ISERROR(SEARCH("error",L2050)))</formula>
    </cfRule>
  </conditionalFormatting>
  <conditionalFormatting sqref="J58:J82">
    <cfRule type="containsText" dxfId="201" priority="198" operator="containsText" text="error">
      <formula>NOT(ISERROR(SEARCH("error",J58)))</formula>
    </cfRule>
  </conditionalFormatting>
  <conditionalFormatting sqref="J58:J82">
    <cfRule type="cellIs" dxfId="200" priority="196" operator="lessThan">
      <formula>12</formula>
    </cfRule>
    <cfRule type="cellIs" dxfId="199" priority="197" operator="equal">
      <formula>"4,6,8"</formula>
    </cfRule>
  </conditionalFormatting>
  <conditionalFormatting sqref="J58">
    <cfRule type="expression" dxfId="198" priority="195">
      <formula>AND(C58="NO",E58&lt;12,C59="")</formula>
    </cfRule>
  </conditionalFormatting>
  <conditionalFormatting sqref="J99:J123">
    <cfRule type="containsText" dxfId="197" priority="194" operator="containsText" text="error">
      <formula>NOT(ISERROR(SEARCH("error",J99)))</formula>
    </cfRule>
  </conditionalFormatting>
  <conditionalFormatting sqref="J99:J123">
    <cfRule type="cellIs" dxfId="196" priority="192" operator="lessThan">
      <formula>12</formula>
    </cfRule>
    <cfRule type="cellIs" dxfId="195" priority="193" operator="equal">
      <formula>"4,6,8"</formula>
    </cfRule>
  </conditionalFormatting>
  <conditionalFormatting sqref="J99">
    <cfRule type="expression" dxfId="194" priority="191">
      <formula>AND(C99="NO",E99&lt;12,C100="")</formula>
    </cfRule>
  </conditionalFormatting>
  <conditionalFormatting sqref="J140:J164">
    <cfRule type="containsText" dxfId="193" priority="190" operator="containsText" text="error">
      <formula>NOT(ISERROR(SEARCH("error",J140)))</formula>
    </cfRule>
  </conditionalFormatting>
  <conditionalFormatting sqref="J140:J164">
    <cfRule type="cellIs" dxfId="192" priority="188" operator="lessThan">
      <formula>12</formula>
    </cfRule>
    <cfRule type="cellIs" dxfId="191" priority="189" operator="equal">
      <formula>"4,6,8"</formula>
    </cfRule>
  </conditionalFormatting>
  <conditionalFormatting sqref="J140">
    <cfRule type="expression" dxfId="190" priority="187">
      <formula>AND(C140="NO",E140&lt;12,C141="")</formula>
    </cfRule>
  </conditionalFormatting>
  <conditionalFormatting sqref="J181:J205">
    <cfRule type="containsText" dxfId="189" priority="186" operator="containsText" text="error">
      <formula>NOT(ISERROR(SEARCH("error",J181)))</formula>
    </cfRule>
  </conditionalFormatting>
  <conditionalFormatting sqref="J181:J205">
    <cfRule type="cellIs" dxfId="188" priority="184" operator="lessThan">
      <formula>12</formula>
    </cfRule>
    <cfRule type="cellIs" dxfId="187" priority="185" operator="equal">
      <formula>"4,6,8"</formula>
    </cfRule>
  </conditionalFormatting>
  <conditionalFormatting sqref="J181">
    <cfRule type="expression" dxfId="186" priority="183">
      <formula>AND(C181="NO",E181&lt;12,C182="")</formula>
    </cfRule>
  </conditionalFormatting>
  <conditionalFormatting sqref="J222:J246">
    <cfRule type="containsText" dxfId="185" priority="182" operator="containsText" text="error">
      <formula>NOT(ISERROR(SEARCH("error",J222)))</formula>
    </cfRule>
  </conditionalFormatting>
  <conditionalFormatting sqref="J222:J246">
    <cfRule type="cellIs" dxfId="184" priority="180" operator="lessThan">
      <formula>12</formula>
    </cfRule>
    <cfRule type="cellIs" dxfId="183" priority="181" operator="equal">
      <formula>"4,6,8"</formula>
    </cfRule>
  </conditionalFormatting>
  <conditionalFormatting sqref="J222">
    <cfRule type="expression" dxfId="182" priority="179">
      <formula>AND(C222="NO",E222&lt;12,C223="")</formula>
    </cfRule>
  </conditionalFormatting>
  <conditionalFormatting sqref="J263:J287">
    <cfRule type="containsText" dxfId="181" priority="178" operator="containsText" text="error">
      <formula>NOT(ISERROR(SEARCH("error",J263)))</formula>
    </cfRule>
  </conditionalFormatting>
  <conditionalFormatting sqref="J263:J287">
    <cfRule type="cellIs" dxfId="180" priority="176" operator="lessThan">
      <formula>12</formula>
    </cfRule>
    <cfRule type="cellIs" dxfId="179" priority="177" operator="equal">
      <formula>"4,6,8"</formula>
    </cfRule>
  </conditionalFormatting>
  <conditionalFormatting sqref="J263">
    <cfRule type="expression" dxfId="178" priority="175">
      <formula>AND(C263="NO",E263&lt;12,C264="")</formula>
    </cfRule>
  </conditionalFormatting>
  <conditionalFormatting sqref="J304:J328">
    <cfRule type="containsText" dxfId="177" priority="174" operator="containsText" text="error">
      <formula>NOT(ISERROR(SEARCH("error",J304)))</formula>
    </cfRule>
  </conditionalFormatting>
  <conditionalFormatting sqref="J304:J328">
    <cfRule type="cellIs" dxfId="176" priority="172" operator="lessThan">
      <formula>12</formula>
    </cfRule>
    <cfRule type="cellIs" dxfId="175" priority="173" operator="equal">
      <formula>"4,6,8"</formula>
    </cfRule>
  </conditionalFormatting>
  <conditionalFormatting sqref="J304">
    <cfRule type="expression" dxfId="174" priority="171">
      <formula>AND(C304="NO",E304&lt;12,C305="")</formula>
    </cfRule>
  </conditionalFormatting>
  <conditionalFormatting sqref="J345:J369">
    <cfRule type="containsText" dxfId="173" priority="170" operator="containsText" text="error">
      <formula>NOT(ISERROR(SEARCH("error",J345)))</formula>
    </cfRule>
  </conditionalFormatting>
  <conditionalFormatting sqref="J345:J369">
    <cfRule type="cellIs" dxfId="172" priority="168" operator="lessThan">
      <formula>12</formula>
    </cfRule>
    <cfRule type="cellIs" dxfId="171" priority="169" operator="equal">
      <formula>"4,6,8"</formula>
    </cfRule>
  </conditionalFormatting>
  <conditionalFormatting sqref="J345">
    <cfRule type="expression" dxfId="170" priority="167">
      <formula>AND(C345="NO",E345&lt;12,C346="")</formula>
    </cfRule>
  </conditionalFormatting>
  <conditionalFormatting sqref="J386:J410">
    <cfRule type="containsText" dxfId="169" priority="166" operator="containsText" text="error">
      <formula>NOT(ISERROR(SEARCH("error",J386)))</formula>
    </cfRule>
  </conditionalFormatting>
  <conditionalFormatting sqref="J386:J410">
    <cfRule type="cellIs" dxfId="168" priority="164" operator="lessThan">
      <formula>12</formula>
    </cfRule>
    <cfRule type="cellIs" dxfId="167" priority="165" operator="equal">
      <formula>"4,6,8"</formula>
    </cfRule>
  </conditionalFormatting>
  <conditionalFormatting sqref="J386">
    <cfRule type="expression" dxfId="166" priority="163">
      <formula>AND(C386="NO",E386&lt;12,C387="")</formula>
    </cfRule>
  </conditionalFormatting>
  <conditionalFormatting sqref="J427:J451">
    <cfRule type="containsText" dxfId="165" priority="162" operator="containsText" text="error">
      <formula>NOT(ISERROR(SEARCH("error",J427)))</formula>
    </cfRule>
  </conditionalFormatting>
  <conditionalFormatting sqref="J427:J451">
    <cfRule type="cellIs" dxfId="164" priority="160" operator="lessThan">
      <formula>12</formula>
    </cfRule>
    <cfRule type="cellIs" dxfId="163" priority="161" operator="equal">
      <formula>"4,6,8"</formula>
    </cfRule>
  </conditionalFormatting>
  <conditionalFormatting sqref="J427">
    <cfRule type="expression" dxfId="162" priority="159">
      <formula>AND(C427="NO",E427&lt;12,C428="")</formula>
    </cfRule>
  </conditionalFormatting>
  <conditionalFormatting sqref="J468:J492">
    <cfRule type="containsText" dxfId="161" priority="158" operator="containsText" text="error">
      <formula>NOT(ISERROR(SEARCH("error",J468)))</formula>
    </cfRule>
  </conditionalFormatting>
  <conditionalFormatting sqref="J468:J492">
    <cfRule type="cellIs" dxfId="160" priority="156" operator="lessThan">
      <formula>12</formula>
    </cfRule>
    <cfRule type="cellIs" dxfId="159" priority="157" operator="equal">
      <formula>"4,6,8"</formula>
    </cfRule>
  </conditionalFormatting>
  <conditionalFormatting sqref="J468">
    <cfRule type="expression" dxfId="158" priority="155">
      <formula>AND(C468="NO",E468&lt;12,C469="")</formula>
    </cfRule>
  </conditionalFormatting>
  <conditionalFormatting sqref="J509:J533">
    <cfRule type="containsText" dxfId="157" priority="154" operator="containsText" text="error">
      <formula>NOT(ISERROR(SEARCH("error",J509)))</formula>
    </cfRule>
  </conditionalFormatting>
  <conditionalFormatting sqref="J509:J533">
    <cfRule type="cellIs" dxfId="156" priority="152" operator="lessThan">
      <formula>12</formula>
    </cfRule>
    <cfRule type="cellIs" dxfId="155" priority="153" operator="equal">
      <formula>"4,6,8"</formula>
    </cfRule>
  </conditionalFormatting>
  <conditionalFormatting sqref="J509">
    <cfRule type="expression" dxfId="154" priority="151">
      <formula>AND(C509="NO",E509&lt;12,C510="")</formula>
    </cfRule>
  </conditionalFormatting>
  <conditionalFormatting sqref="J550:J574">
    <cfRule type="containsText" dxfId="153" priority="150" operator="containsText" text="error">
      <formula>NOT(ISERROR(SEARCH("error",J550)))</formula>
    </cfRule>
  </conditionalFormatting>
  <conditionalFormatting sqref="J550:J574">
    <cfRule type="cellIs" dxfId="152" priority="148" operator="lessThan">
      <formula>12</formula>
    </cfRule>
    <cfRule type="cellIs" dxfId="151" priority="149" operator="equal">
      <formula>"4,6,8"</formula>
    </cfRule>
  </conditionalFormatting>
  <conditionalFormatting sqref="J550">
    <cfRule type="expression" dxfId="150" priority="147">
      <formula>AND(C550="NO",E550&lt;12,C551="")</formula>
    </cfRule>
  </conditionalFormatting>
  <conditionalFormatting sqref="J591:J615">
    <cfRule type="containsText" dxfId="149" priority="146" operator="containsText" text="error">
      <formula>NOT(ISERROR(SEARCH("error",J591)))</formula>
    </cfRule>
  </conditionalFormatting>
  <conditionalFormatting sqref="J591:J615">
    <cfRule type="cellIs" dxfId="148" priority="144" operator="lessThan">
      <formula>12</formula>
    </cfRule>
    <cfRule type="cellIs" dxfId="147" priority="145" operator="equal">
      <formula>"4,6,8"</formula>
    </cfRule>
  </conditionalFormatting>
  <conditionalFormatting sqref="J591">
    <cfRule type="expression" dxfId="146" priority="143">
      <formula>AND(C591="NO",E591&lt;12,C592="")</formula>
    </cfRule>
  </conditionalFormatting>
  <conditionalFormatting sqref="J632:J656">
    <cfRule type="containsText" dxfId="145" priority="142" operator="containsText" text="error">
      <formula>NOT(ISERROR(SEARCH("error",J632)))</formula>
    </cfRule>
  </conditionalFormatting>
  <conditionalFormatting sqref="J632:J656">
    <cfRule type="cellIs" dxfId="144" priority="140" operator="lessThan">
      <formula>12</formula>
    </cfRule>
    <cfRule type="cellIs" dxfId="143" priority="141" operator="equal">
      <formula>"4,6,8"</formula>
    </cfRule>
  </conditionalFormatting>
  <conditionalFormatting sqref="J632">
    <cfRule type="expression" dxfId="142" priority="139">
      <formula>AND(C632="NO",E632&lt;12,C633="")</formula>
    </cfRule>
  </conditionalFormatting>
  <conditionalFormatting sqref="J673:J697">
    <cfRule type="containsText" dxfId="141" priority="138" operator="containsText" text="error">
      <formula>NOT(ISERROR(SEARCH("error",J673)))</formula>
    </cfRule>
  </conditionalFormatting>
  <conditionalFormatting sqref="J673:J697">
    <cfRule type="cellIs" dxfId="140" priority="136" operator="lessThan">
      <formula>12</formula>
    </cfRule>
    <cfRule type="cellIs" dxfId="139" priority="137" operator="equal">
      <formula>"4,6,8"</formula>
    </cfRule>
  </conditionalFormatting>
  <conditionalFormatting sqref="J673">
    <cfRule type="expression" dxfId="138" priority="135">
      <formula>AND(C673="NO",E673&lt;12,C674="")</formula>
    </cfRule>
  </conditionalFormatting>
  <conditionalFormatting sqref="J714:J738">
    <cfRule type="containsText" dxfId="137" priority="134" operator="containsText" text="error">
      <formula>NOT(ISERROR(SEARCH("error",J714)))</formula>
    </cfRule>
  </conditionalFormatting>
  <conditionalFormatting sqref="J714:J738">
    <cfRule type="cellIs" dxfId="136" priority="132" operator="lessThan">
      <formula>12</formula>
    </cfRule>
    <cfRule type="cellIs" dxfId="135" priority="133" operator="equal">
      <formula>"4,6,8"</formula>
    </cfRule>
  </conditionalFormatting>
  <conditionalFormatting sqref="J714">
    <cfRule type="expression" dxfId="134" priority="131">
      <formula>AND(C714="NO",E714&lt;12,C715="")</formula>
    </cfRule>
  </conditionalFormatting>
  <conditionalFormatting sqref="J755:J779">
    <cfRule type="containsText" dxfId="133" priority="130" operator="containsText" text="error">
      <formula>NOT(ISERROR(SEARCH("error",J755)))</formula>
    </cfRule>
  </conditionalFormatting>
  <conditionalFormatting sqref="J755:J779">
    <cfRule type="cellIs" dxfId="132" priority="128" operator="lessThan">
      <formula>12</formula>
    </cfRule>
    <cfRule type="cellIs" dxfId="131" priority="129" operator="equal">
      <formula>"4,6,8"</formula>
    </cfRule>
  </conditionalFormatting>
  <conditionalFormatting sqref="J755">
    <cfRule type="expression" dxfId="130" priority="127">
      <formula>AND(C755="NO",E755&lt;12,C756="")</formula>
    </cfRule>
  </conditionalFormatting>
  <conditionalFormatting sqref="J796:J820">
    <cfRule type="containsText" dxfId="129" priority="126" operator="containsText" text="error">
      <formula>NOT(ISERROR(SEARCH("error",J796)))</formula>
    </cfRule>
  </conditionalFormatting>
  <conditionalFormatting sqref="J796:J820">
    <cfRule type="cellIs" dxfId="128" priority="124" operator="lessThan">
      <formula>12</formula>
    </cfRule>
    <cfRule type="cellIs" dxfId="127" priority="125" operator="equal">
      <formula>"4,6,8"</formula>
    </cfRule>
  </conditionalFormatting>
  <conditionalFormatting sqref="J796">
    <cfRule type="expression" dxfId="126" priority="123">
      <formula>AND(C796="NO",E796&lt;12,C797="")</formula>
    </cfRule>
  </conditionalFormatting>
  <conditionalFormatting sqref="J837:J861">
    <cfRule type="containsText" dxfId="125" priority="122" operator="containsText" text="error">
      <formula>NOT(ISERROR(SEARCH("error",J837)))</formula>
    </cfRule>
  </conditionalFormatting>
  <conditionalFormatting sqref="J837:J861">
    <cfRule type="cellIs" dxfId="124" priority="120" operator="lessThan">
      <formula>12</formula>
    </cfRule>
    <cfRule type="cellIs" dxfId="123" priority="121" operator="equal">
      <formula>"4,6,8"</formula>
    </cfRule>
  </conditionalFormatting>
  <conditionalFormatting sqref="J837">
    <cfRule type="expression" dxfId="122" priority="119">
      <formula>AND(C837="NO",E837&lt;12,C838="")</formula>
    </cfRule>
  </conditionalFormatting>
  <conditionalFormatting sqref="J878:J902">
    <cfRule type="containsText" dxfId="121" priority="118" operator="containsText" text="error">
      <formula>NOT(ISERROR(SEARCH("error",J878)))</formula>
    </cfRule>
  </conditionalFormatting>
  <conditionalFormatting sqref="J878:J902">
    <cfRule type="cellIs" dxfId="120" priority="116" operator="lessThan">
      <formula>12</formula>
    </cfRule>
    <cfRule type="cellIs" dxfId="119" priority="117" operator="equal">
      <formula>"4,6,8"</formula>
    </cfRule>
  </conditionalFormatting>
  <conditionalFormatting sqref="J878">
    <cfRule type="expression" dxfId="118" priority="115">
      <formula>AND(C878="NO",E878&lt;12,C879="")</formula>
    </cfRule>
  </conditionalFormatting>
  <conditionalFormatting sqref="J919:J943">
    <cfRule type="containsText" dxfId="117" priority="114" operator="containsText" text="error">
      <formula>NOT(ISERROR(SEARCH("error",J919)))</formula>
    </cfRule>
  </conditionalFormatting>
  <conditionalFormatting sqref="J919:J943">
    <cfRule type="cellIs" dxfId="116" priority="112" operator="lessThan">
      <formula>12</formula>
    </cfRule>
    <cfRule type="cellIs" dxfId="115" priority="113" operator="equal">
      <formula>"4,6,8"</formula>
    </cfRule>
  </conditionalFormatting>
  <conditionalFormatting sqref="J919">
    <cfRule type="expression" dxfId="114" priority="111">
      <formula>AND(C919="NO",E919&lt;12,C920="")</formula>
    </cfRule>
  </conditionalFormatting>
  <conditionalFormatting sqref="J960:J984">
    <cfRule type="containsText" dxfId="113" priority="110" operator="containsText" text="error">
      <formula>NOT(ISERROR(SEARCH("error",J960)))</formula>
    </cfRule>
  </conditionalFormatting>
  <conditionalFormatting sqref="J960:J984">
    <cfRule type="cellIs" dxfId="112" priority="108" operator="lessThan">
      <formula>12</formula>
    </cfRule>
    <cfRule type="cellIs" dxfId="111" priority="109" operator="equal">
      <formula>"4,6,8"</formula>
    </cfRule>
  </conditionalFormatting>
  <conditionalFormatting sqref="J960">
    <cfRule type="expression" dxfId="110" priority="107">
      <formula>AND(C960="NO",E960&lt;12,C961="")</formula>
    </cfRule>
  </conditionalFormatting>
  <conditionalFormatting sqref="J1001:J1025">
    <cfRule type="containsText" dxfId="109" priority="106" operator="containsText" text="error">
      <formula>NOT(ISERROR(SEARCH("error",J1001)))</formula>
    </cfRule>
  </conditionalFormatting>
  <conditionalFormatting sqref="J1001:J1025">
    <cfRule type="cellIs" dxfId="108" priority="104" operator="lessThan">
      <formula>12</formula>
    </cfRule>
    <cfRule type="cellIs" dxfId="107" priority="105" operator="equal">
      <formula>"4,6,8"</formula>
    </cfRule>
  </conditionalFormatting>
  <conditionalFormatting sqref="J1001">
    <cfRule type="expression" dxfId="106" priority="103">
      <formula>AND(C1001="NO",E1001&lt;12,C1002="")</formula>
    </cfRule>
  </conditionalFormatting>
  <conditionalFormatting sqref="J1042:J1066">
    <cfRule type="containsText" dxfId="105" priority="102" operator="containsText" text="error">
      <formula>NOT(ISERROR(SEARCH("error",J1042)))</formula>
    </cfRule>
  </conditionalFormatting>
  <conditionalFormatting sqref="J1042:J1066">
    <cfRule type="cellIs" dxfId="104" priority="100" operator="lessThan">
      <formula>12</formula>
    </cfRule>
    <cfRule type="cellIs" dxfId="103" priority="101" operator="equal">
      <formula>"4,6,8"</formula>
    </cfRule>
  </conditionalFormatting>
  <conditionalFormatting sqref="J1042">
    <cfRule type="expression" dxfId="102" priority="99">
      <formula>AND(C1042="NO",E1042&lt;12,C1043="")</formula>
    </cfRule>
  </conditionalFormatting>
  <conditionalFormatting sqref="J1083:J1107">
    <cfRule type="containsText" dxfId="101" priority="98" operator="containsText" text="error">
      <formula>NOT(ISERROR(SEARCH("error",J1083)))</formula>
    </cfRule>
  </conditionalFormatting>
  <conditionalFormatting sqref="J1083:J1107">
    <cfRule type="cellIs" dxfId="100" priority="96" operator="lessThan">
      <formula>12</formula>
    </cfRule>
    <cfRule type="cellIs" dxfId="99" priority="97" operator="equal">
      <formula>"4,6,8"</formula>
    </cfRule>
  </conditionalFormatting>
  <conditionalFormatting sqref="J1083">
    <cfRule type="expression" dxfId="98" priority="95">
      <formula>AND(C1083="NO",E1083&lt;12,C1084="")</formula>
    </cfRule>
  </conditionalFormatting>
  <conditionalFormatting sqref="J1124:J1148">
    <cfRule type="containsText" dxfId="97" priority="94" operator="containsText" text="error">
      <formula>NOT(ISERROR(SEARCH("error",J1124)))</formula>
    </cfRule>
  </conditionalFormatting>
  <conditionalFormatting sqref="J1124:J1148">
    <cfRule type="cellIs" dxfId="96" priority="92" operator="lessThan">
      <formula>12</formula>
    </cfRule>
    <cfRule type="cellIs" dxfId="95" priority="93" operator="equal">
      <formula>"4,6,8"</formula>
    </cfRule>
  </conditionalFormatting>
  <conditionalFormatting sqref="J1124">
    <cfRule type="expression" dxfId="94" priority="91">
      <formula>AND(C1124="NO",E1124&lt;12,C1125="")</formula>
    </cfRule>
  </conditionalFormatting>
  <conditionalFormatting sqref="J1165:J1189">
    <cfRule type="containsText" dxfId="93" priority="90" operator="containsText" text="error">
      <formula>NOT(ISERROR(SEARCH("error",J1165)))</formula>
    </cfRule>
  </conditionalFormatting>
  <conditionalFormatting sqref="J1165:J1189">
    <cfRule type="cellIs" dxfId="92" priority="88" operator="lessThan">
      <formula>12</formula>
    </cfRule>
    <cfRule type="cellIs" dxfId="91" priority="89" operator="equal">
      <formula>"4,6,8"</formula>
    </cfRule>
  </conditionalFormatting>
  <conditionalFormatting sqref="J1165">
    <cfRule type="expression" dxfId="90" priority="87">
      <formula>AND(C1165="NO",E1165&lt;12,C1166="")</formula>
    </cfRule>
  </conditionalFormatting>
  <conditionalFormatting sqref="J1206:J1230">
    <cfRule type="containsText" dxfId="89" priority="86" operator="containsText" text="error">
      <formula>NOT(ISERROR(SEARCH("error",J1206)))</formula>
    </cfRule>
  </conditionalFormatting>
  <conditionalFormatting sqref="J1206:J1230">
    <cfRule type="cellIs" dxfId="88" priority="84" operator="lessThan">
      <formula>12</formula>
    </cfRule>
    <cfRule type="cellIs" dxfId="87" priority="85" operator="equal">
      <formula>"4,6,8"</formula>
    </cfRule>
  </conditionalFormatting>
  <conditionalFormatting sqref="J1206">
    <cfRule type="expression" dxfId="86" priority="83">
      <formula>AND(C1206="NO",E1206&lt;12,C1207="")</formula>
    </cfRule>
  </conditionalFormatting>
  <conditionalFormatting sqref="J1247:J1271">
    <cfRule type="containsText" dxfId="85" priority="82" operator="containsText" text="error">
      <formula>NOT(ISERROR(SEARCH("error",J1247)))</formula>
    </cfRule>
  </conditionalFormatting>
  <conditionalFormatting sqref="J1247:J1271">
    <cfRule type="cellIs" dxfId="84" priority="80" operator="lessThan">
      <formula>12</formula>
    </cfRule>
    <cfRule type="cellIs" dxfId="83" priority="81" operator="equal">
      <formula>"4,6,8"</formula>
    </cfRule>
  </conditionalFormatting>
  <conditionalFormatting sqref="J1247">
    <cfRule type="expression" dxfId="82" priority="79">
      <formula>AND(C1247="NO",E1247&lt;12,C1248="")</formula>
    </cfRule>
  </conditionalFormatting>
  <conditionalFormatting sqref="J1288:J1312">
    <cfRule type="containsText" dxfId="81" priority="78" operator="containsText" text="error">
      <formula>NOT(ISERROR(SEARCH("error",J1288)))</formula>
    </cfRule>
  </conditionalFormatting>
  <conditionalFormatting sqref="J1288:J1312">
    <cfRule type="cellIs" dxfId="80" priority="76" operator="lessThan">
      <formula>12</formula>
    </cfRule>
    <cfRule type="cellIs" dxfId="79" priority="77" operator="equal">
      <formula>"4,6,8"</formula>
    </cfRule>
  </conditionalFormatting>
  <conditionalFormatting sqref="J1288">
    <cfRule type="expression" dxfId="78" priority="75">
      <formula>AND(C1288="NO",E1288&lt;12,C1289="")</formula>
    </cfRule>
  </conditionalFormatting>
  <conditionalFormatting sqref="J1329:J1353">
    <cfRule type="containsText" dxfId="77" priority="74" operator="containsText" text="error">
      <formula>NOT(ISERROR(SEARCH("error",J1329)))</formula>
    </cfRule>
  </conditionalFormatting>
  <conditionalFormatting sqref="J1329:J1353">
    <cfRule type="cellIs" dxfId="76" priority="72" operator="lessThan">
      <formula>12</formula>
    </cfRule>
    <cfRule type="cellIs" dxfId="75" priority="73" operator="equal">
      <formula>"4,6,8"</formula>
    </cfRule>
  </conditionalFormatting>
  <conditionalFormatting sqref="J1329">
    <cfRule type="expression" dxfId="74" priority="71">
      <formula>AND(C1329="NO",E1329&lt;12,C1330="")</formula>
    </cfRule>
  </conditionalFormatting>
  <conditionalFormatting sqref="J1370:J1394">
    <cfRule type="containsText" dxfId="73" priority="70" operator="containsText" text="error">
      <formula>NOT(ISERROR(SEARCH("error",J1370)))</formula>
    </cfRule>
  </conditionalFormatting>
  <conditionalFormatting sqref="J1370:J1394">
    <cfRule type="cellIs" dxfId="72" priority="68" operator="lessThan">
      <formula>12</formula>
    </cfRule>
    <cfRule type="cellIs" dxfId="71" priority="69" operator="equal">
      <formula>"4,6,8"</formula>
    </cfRule>
  </conditionalFormatting>
  <conditionalFormatting sqref="J1370">
    <cfRule type="expression" dxfId="70" priority="67">
      <formula>AND(C1370="NO",E1370&lt;12,C1371="")</formula>
    </cfRule>
  </conditionalFormatting>
  <conditionalFormatting sqref="J1411:J1435">
    <cfRule type="containsText" dxfId="69" priority="66" operator="containsText" text="error">
      <formula>NOT(ISERROR(SEARCH("error",J1411)))</formula>
    </cfRule>
  </conditionalFormatting>
  <conditionalFormatting sqref="J1411:J1435">
    <cfRule type="cellIs" dxfId="68" priority="64" operator="lessThan">
      <formula>12</formula>
    </cfRule>
    <cfRule type="cellIs" dxfId="67" priority="65" operator="equal">
      <formula>"4,6,8"</formula>
    </cfRule>
  </conditionalFormatting>
  <conditionalFormatting sqref="J1411">
    <cfRule type="expression" dxfId="66" priority="63">
      <formula>AND(C1411="NO",E1411&lt;12,C1412="")</formula>
    </cfRule>
  </conditionalFormatting>
  <conditionalFormatting sqref="J1452:J1476">
    <cfRule type="containsText" dxfId="65" priority="62" operator="containsText" text="error">
      <formula>NOT(ISERROR(SEARCH("error",J1452)))</formula>
    </cfRule>
  </conditionalFormatting>
  <conditionalFormatting sqref="J1452:J1476">
    <cfRule type="cellIs" dxfId="64" priority="60" operator="lessThan">
      <formula>12</formula>
    </cfRule>
    <cfRule type="cellIs" dxfId="63" priority="61" operator="equal">
      <formula>"4,6,8"</formula>
    </cfRule>
  </conditionalFormatting>
  <conditionalFormatting sqref="J1452">
    <cfRule type="expression" dxfId="62" priority="59">
      <formula>AND(C1452="NO",E1452&lt;12,C1453="")</formula>
    </cfRule>
  </conditionalFormatting>
  <conditionalFormatting sqref="J1493:J1517">
    <cfRule type="containsText" dxfId="61" priority="58" operator="containsText" text="error">
      <formula>NOT(ISERROR(SEARCH("error",J1493)))</formula>
    </cfRule>
  </conditionalFormatting>
  <conditionalFormatting sqref="J1493:J1517">
    <cfRule type="cellIs" dxfId="60" priority="56" operator="lessThan">
      <formula>12</formula>
    </cfRule>
    <cfRule type="cellIs" dxfId="59" priority="57" operator="equal">
      <formula>"4,6,8"</formula>
    </cfRule>
  </conditionalFormatting>
  <conditionalFormatting sqref="J1493">
    <cfRule type="expression" dxfId="58" priority="55">
      <formula>AND(C1493="NO",E1493&lt;12,C1494="")</formula>
    </cfRule>
  </conditionalFormatting>
  <conditionalFormatting sqref="J1534:J1558">
    <cfRule type="containsText" dxfId="57" priority="54" operator="containsText" text="error">
      <formula>NOT(ISERROR(SEARCH("error",J1534)))</formula>
    </cfRule>
  </conditionalFormatting>
  <conditionalFormatting sqref="J1534:J1558">
    <cfRule type="cellIs" dxfId="56" priority="52" operator="lessThan">
      <formula>12</formula>
    </cfRule>
    <cfRule type="cellIs" dxfId="55" priority="53" operator="equal">
      <formula>"4,6,8"</formula>
    </cfRule>
  </conditionalFormatting>
  <conditionalFormatting sqref="J1534">
    <cfRule type="expression" dxfId="54" priority="51">
      <formula>AND(C1534="NO",E1534&lt;12,C1535="")</formula>
    </cfRule>
  </conditionalFormatting>
  <conditionalFormatting sqref="J1575:J1599">
    <cfRule type="containsText" dxfId="53" priority="50" operator="containsText" text="error">
      <formula>NOT(ISERROR(SEARCH("error",J1575)))</formula>
    </cfRule>
  </conditionalFormatting>
  <conditionalFormatting sqref="J1575:J1599">
    <cfRule type="cellIs" dxfId="52" priority="48" operator="lessThan">
      <formula>12</formula>
    </cfRule>
    <cfRule type="cellIs" dxfId="51" priority="49" operator="equal">
      <formula>"4,6,8"</formula>
    </cfRule>
  </conditionalFormatting>
  <conditionalFormatting sqref="J1575">
    <cfRule type="expression" dxfId="50" priority="47">
      <formula>AND(C1575="NO",E1575&lt;12,C1576="")</formula>
    </cfRule>
  </conditionalFormatting>
  <conditionalFormatting sqref="J1616:J1640">
    <cfRule type="containsText" dxfId="49" priority="46" operator="containsText" text="error">
      <formula>NOT(ISERROR(SEARCH("error",J1616)))</formula>
    </cfRule>
  </conditionalFormatting>
  <conditionalFormatting sqref="J1616:J1640">
    <cfRule type="cellIs" dxfId="48" priority="44" operator="lessThan">
      <formula>12</formula>
    </cfRule>
    <cfRule type="cellIs" dxfId="47" priority="45" operator="equal">
      <formula>"4,6,8"</formula>
    </cfRule>
  </conditionalFormatting>
  <conditionalFormatting sqref="J1616">
    <cfRule type="expression" dxfId="46" priority="43">
      <formula>AND(C1616="NO",E1616&lt;12,C1617="")</formula>
    </cfRule>
  </conditionalFormatting>
  <conditionalFormatting sqref="J1657:J1681">
    <cfRule type="containsText" dxfId="45" priority="42" operator="containsText" text="error">
      <formula>NOT(ISERROR(SEARCH("error",J1657)))</formula>
    </cfRule>
  </conditionalFormatting>
  <conditionalFormatting sqref="J1657:J1681">
    <cfRule type="cellIs" dxfId="44" priority="40" operator="lessThan">
      <formula>12</formula>
    </cfRule>
    <cfRule type="cellIs" dxfId="43" priority="41" operator="equal">
      <formula>"4,6,8"</formula>
    </cfRule>
  </conditionalFormatting>
  <conditionalFormatting sqref="J1657">
    <cfRule type="expression" dxfId="42" priority="39">
      <formula>AND(C1657="NO",E1657&lt;12,C1658="")</formula>
    </cfRule>
  </conditionalFormatting>
  <conditionalFormatting sqref="J1698:J1722">
    <cfRule type="containsText" dxfId="41" priority="38" operator="containsText" text="error">
      <formula>NOT(ISERROR(SEARCH("error",J1698)))</formula>
    </cfRule>
  </conditionalFormatting>
  <conditionalFormatting sqref="J1698:J1722">
    <cfRule type="cellIs" dxfId="40" priority="36" operator="lessThan">
      <formula>12</formula>
    </cfRule>
    <cfRule type="cellIs" dxfId="39" priority="37" operator="equal">
      <formula>"4,6,8"</formula>
    </cfRule>
  </conditionalFormatting>
  <conditionalFormatting sqref="J1698">
    <cfRule type="expression" dxfId="38" priority="35">
      <formula>AND(C1698="NO",E1698&lt;12,C1699="")</formula>
    </cfRule>
  </conditionalFormatting>
  <conditionalFormatting sqref="J1739:J1763">
    <cfRule type="containsText" dxfId="37" priority="34" operator="containsText" text="error">
      <formula>NOT(ISERROR(SEARCH("error",J1739)))</formula>
    </cfRule>
  </conditionalFormatting>
  <conditionalFormatting sqref="J1739:J1763">
    <cfRule type="cellIs" dxfId="36" priority="32" operator="lessThan">
      <formula>12</formula>
    </cfRule>
    <cfRule type="cellIs" dxfId="35" priority="33" operator="equal">
      <formula>"4,6,8"</formula>
    </cfRule>
  </conditionalFormatting>
  <conditionalFormatting sqref="J1739">
    <cfRule type="expression" dxfId="34" priority="31">
      <formula>AND(C1739="NO",E1739&lt;12,C1740="")</formula>
    </cfRule>
  </conditionalFormatting>
  <conditionalFormatting sqref="J1780:J1804">
    <cfRule type="containsText" dxfId="33" priority="30" operator="containsText" text="error">
      <formula>NOT(ISERROR(SEARCH("error",J1780)))</formula>
    </cfRule>
  </conditionalFormatting>
  <conditionalFormatting sqref="J1780:J1804">
    <cfRule type="cellIs" dxfId="32" priority="28" operator="lessThan">
      <formula>12</formula>
    </cfRule>
    <cfRule type="cellIs" dxfId="31" priority="29" operator="equal">
      <formula>"4,6,8"</formula>
    </cfRule>
  </conditionalFormatting>
  <conditionalFormatting sqref="J1780">
    <cfRule type="expression" dxfId="30" priority="27">
      <formula>AND(C1780="NO",E1780&lt;12,C1781="")</formula>
    </cfRule>
  </conditionalFormatting>
  <conditionalFormatting sqref="J1821:J1845">
    <cfRule type="containsText" dxfId="29" priority="26" operator="containsText" text="error">
      <formula>NOT(ISERROR(SEARCH("error",J1821)))</formula>
    </cfRule>
  </conditionalFormatting>
  <conditionalFormatting sqref="J1821:J1845">
    <cfRule type="cellIs" dxfId="28" priority="24" operator="lessThan">
      <formula>12</formula>
    </cfRule>
    <cfRule type="cellIs" dxfId="27" priority="25" operator="equal">
      <formula>"4,6,8"</formula>
    </cfRule>
  </conditionalFormatting>
  <conditionalFormatting sqref="J1821">
    <cfRule type="expression" dxfId="26" priority="23">
      <formula>AND(C1821="NO",E1821&lt;12,C1822="")</formula>
    </cfRule>
  </conditionalFormatting>
  <conditionalFormatting sqref="J1862:J1886">
    <cfRule type="containsText" dxfId="25" priority="22" operator="containsText" text="error">
      <formula>NOT(ISERROR(SEARCH("error",J1862)))</formula>
    </cfRule>
  </conditionalFormatting>
  <conditionalFormatting sqref="J1862:J1886">
    <cfRule type="cellIs" dxfId="24" priority="20" operator="lessThan">
      <formula>12</formula>
    </cfRule>
    <cfRule type="cellIs" dxfId="23" priority="21" operator="equal">
      <formula>"4,6,8"</formula>
    </cfRule>
  </conditionalFormatting>
  <conditionalFormatting sqref="J1862">
    <cfRule type="expression" dxfId="22" priority="19">
      <formula>AND(C1862="NO",E1862&lt;12,C1863="")</formula>
    </cfRule>
  </conditionalFormatting>
  <conditionalFormatting sqref="J1903:J1927">
    <cfRule type="containsText" dxfId="21" priority="18" operator="containsText" text="error">
      <formula>NOT(ISERROR(SEARCH("error",J1903)))</formula>
    </cfRule>
  </conditionalFormatting>
  <conditionalFormatting sqref="J1903:J1927">
    <cfRule type="cellIs" dxfId="20" priority="16" operator="lessThan">
      <formula>12</formula>
    </cfRule>
    <cfRule type="cellIs" dxfId="19" priority="17" operator="equal">
      <formula>"4,6,8"</formula>
    </cfRule>
  </conditionalFormatting>
  <conditionalFormatting sqref="J1903">
    <cfRule type="expression" dxfId="18" priority="15">
      <formula>AND(C1903="NO",E1903&lt;12,C1904="")</formula>
    </cfRule>
  </conditionalFormatting>
  <conditionalFormatting sqref="J1944:J1968">
    <cfRule type="containsText" dxfId="17" priority="14" operator="containsText" text="error">
      <formula>NOT(ISERROR(SEARCH("error",J1944)))</formula>
    </cfRule>
  </conditionalFormatting>
  <conditionalFormatting sqref="J1944:J1968">
    <cfRule type="cellIs" dxfId="16" priority="12" operator="lessThan">
      <formula>12</formula>
    </cfRule>
    <cfRule type="cellIs" dxfId="15" priority="13" operator="equal">
      <formula>"4,6,8"</formula>
    </cfRule>
  </conditionalFormatting>
  <conditionalFormatting sqref="J1944">
    <cfRule type="expression" dxfId="14" priority="11">
      <formula>AND(C1944="NO",E1944&lt;12,C1945="")</formula>
    </cfRule>
  </conditionalFormatting>
  <conditionalFormatting sqref="J1985:J2009">
    <cfRule type="containsText" dxfId="13" priority="10" operator="containsText" text="error">
      <formula>NOT(ISERROR(SEARCH("error",J1985)))</formula>
    </cfRule>
  </conditionalFormatting>
  <conditionalFormatting sqref="J1985:J2009">
    <cfRule type="cellIs" dxfId="12" priority="8" operator="lessThan">
      <formula>12</formula>
    </cfRule>
    <cfRule type="cellIs" dxfId="11" priority="9" operator="equal">
      <formula>"4,6,8"</formula>
    </cfRule>
  </conditionalFormatting>
  <conditionalFormatting sqref="J1985">
    <cfRule type="expression" dxfId="10" priority="7">
      <formula>AND(C1985="NO",E1985&lt;12,C1986="")</formula>
    </cfRule>
  </conditionalFormatting>
  <conditionalFormatting sqref="J2026:J2050">
    <cfRule type="containsText" dxfId="9" priority="6" operator="containsText" text="error">
      <formula>NOT(ISERROR(SEARCH("error",J2026)))</formula>
    </cfRule>
  </conditionalFormatting>
  <conditionalFormatting sqref="J2026:J2050">
    <cfRule type="cellIs" dxfId="8" priority="4" operator="lessThan">
      <formula>12</formula>
    </cfRule>
    <cfRule type="cellIs" dxfId="7" priority="5" operator="equal">
      <formula>"4,6,8"</formula>
    </cfRule>
  </conditionalFormatting>
  <conditionalFormatting sqref="J2026">
    <cfRule type="expression" dxfId="6" priority="3">
      <formula>AND(C2026="NO",E2026&lt;12,C2027="")</formula>
    </cfRule>
  </conditionalFormatting>
  <conditionalFormatting sqref="E1085:E1088">
    <cfRule type="expression" dxfId="5" priority="2">
      <formula>AND(OR(C1085="NO",C1085="REV T",C1085="DBL REV",C1085="TPL REV",C1085="QD REV"),E1085&gt;12)</formula>
    </cfRule>
  </conditionalFormatting>
  <conditionalFormatting sqref="C1085:C1088">
    <cfRule type="expression" dxfId="4" priority="1">
      <formula>AND(OR(C1086="FST",C1086="REV T",C1086="DBL REV",C1086="TPL REV",C1086="QD REV"),C1085="Field SPL")</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1" t="s">
        <v>403</v>
      </c>
      <c r="B1" s="332"/>
      <c r="C1" s="332"/>
      <c r="D1" s="333"/>
      <c r="E1" s="331" t="s">
        <v>404</v>
      </c>
      <c r="F1" s="332"/>
      <c r="G1" s="332"/>
      <c r="H1" s="333"/>
      <c r="I1" s="331" t="s">
        <v>405</v>
      </c>
      <c r="J1" s="332"/>
      <c r="K1" s="332"/>
      <c r="L1" s="333"/>
      <c r="M1" s="331" t="s">
        <v>406</v>
      </c>
      <c r="N1" s="332"/>
      <c r="O1" s="332"/>
      <c r="P1" s="333"/>
      <c r="Q1" s="331" t="s">
        <v>407</v>
      </c>
      <c r="R1" s="332"/>
      <c r="S1" s="332"/>
      <c r="T1" s="333"/>
      <c r="U1" s="331" t="s">
        <v>408</v>
      </c>
      <c r="V1" s="332"/>
      <c r="W1" s="332"/>
      <c r="X1" s="333"/>
      <c r="Y1" s="331" t="s">
        <v>409</v>
      </c>
      <c r="Z1" s="332"/>
      <c r="AA1" s="332"/>
      <c r="AB1" s="333"/>
      <c r="AC1" s="331" t="s">
        <v>410</v>
      </c>
      <c r="AD1" s="332"/>
      <c r="AE1" s="332"/>
      <c r="AF1" s="333"/>
      <c r="AG1" s="331" t="s">
        <v>411</v>
      </c>
      <c r="AH1" s="332"/>
      <c r="AI1" s="332"/>
      <c r="AJ1" s="333"/>
      <c r="AK1" s="331" t="s">
        <v>412</v>
      </c>
      <c r="AL1" s="332"/>
      <c r="AM1" s="332"/>
      <c r="AN1" s="333"/>
      <c r="AO1" s="331" t="s">
        <v>413</v>
      </c>
      <c r="AP1" s="332"/>
      <c r="AQ1" s="332"/>
      <c r="AR1" s="333"/>
      <c r="AS1" s="331" t="s">
        <v>414</v>
      </c>
      <c r="AT1" s="332"/>
      <c r="AU1" s="332"/>
      <c r="AV1" s="333"/>
      <c r="AW1" s="331" t="s">
        <v>415</v>
      </c>
      <c r="AX1" s="332"/>
      <c r="AY1" s="332"/>
      <c r="AZ1" s="333"/>
      <c r="BA1" s="331" t="s">
        <v>416</v>
      </c>
      <c r="BB1" s="332"/>
      <c r="BC1" s="332"/>
      <c r="BD1" s="333"/>
      <c r="BE1" s="331" t="s">
        <v>417</v>
      </c>
      <c r="BF1" s="332"/>
      <c r="BG1" s="332"/>
      <c r="BH1" s="333"/>
      <c r="BI1" s="331" t="s">
        <v>418</v>
      </c>
      <c r="BJ1" s="332"/>
      <c r="BK1" s="332"/>
      <c r="BL1" s="333"/>
      <c r="BM1" s="331" t="s">
        <v>419</v>
      </c>
      <c r="BN1" s="332"/>
      <c r="BO1" s="332"/>
      <c r="BP1" s="333"/>
      <c r="BQ1" s="331" t="s">
        <v>420</v>
      </c>
      <c r="BR1" s="332"/>
      <c r="BS1" s="332"/>
      <c r="BT1" s="333"/>
      <c r="BU1" s="331" t="s">
        <v>421</v>
      </c>
      <c r="BV1" s="332"/>
      <c r="BW1" s="332"/>
      <c r="BX1" s="333"/>
      <c r="BY1" s="331" t="s">
        <v>422</v>
      </c>
      <c r="BZ1" s="332"/>
      <c r="CA1" s="332"/>
      <c r="CB1" s="333"/>
      <c r="CC1" s="331" t="s">
        <v>423</v>
      </c>
      <c r="CD1" s="332"/>
      <c r="CE1" s="332"/>
      <c r="CF1" s="333"/>
      <c r="CG1" s="331" t="s">
        <v>424</v>
      </c>
      <c r="CH1" s="332"/>
      <c r="CI1" s="332"/>
      <c r="CJ1" s="333"/>
      <c r="CK1" s="331" t="s">
        <v>425</v>
      </c>
      <c r="CL1" s="332"/>
      <c r="CM1" s="332"/>
      <c r="CN1" s="333"/>
      <c r="CO1" s="331" t="s">
        <v>426</v>
      </c>
      <c r="CP1" s="332"/>
      <c r="CQ1" s="332"/>
      <c r="CR1" s="333"/>
      <c r="CS1" s="331" t="s">
        <v>427</v>
      </c>
      <c r="CT1" s="332"/>
      <c r="CU1" s="332"/>
      <c r="CV1" s="333"/>
      <c r="CW1" s="331" t="s">
        <v>428</v>
      </c>
      <c r="CX1" s="332"/>
      <c r="CY1" s="332"/>
      <c r="CZ1" s="333"/>
      <c r="DA1" s="331" t="s">
        <v>429</v>
      </c>
      <c r="DB1" s="332"/>
      <c r="DC1" s="332"/>
      <c r="DD1" s="333"/>
      <c r="DE1" s="331" t="s">
        <v>430</v>
      </c>
      <c r="DF1" s="332"/>
      <c r="DG1" s="332"/>
      <c r="DH1" s="333"/>
      <c r="DI1" s="331" t="s">
        <v>431</v>
      </c>
      <c r="DJ1" s="332"/>
      <c r="DK1" s="332"/>
      <c r="DL1" s="333"/>
      <c r="DM1" s="331" t="s">
        <v>432</v>
      </c>
      <c r="DN1" s="332"/>
      <c r="DO1" s="332"/>
      <c r="DP1" s="333"/>
      <c r="DQ1" s="331" t="s">
        <v>433</v>
      </c>
      <c r="DR1" s="332"/>
      <c r="DS1" s="332"/>
      <c r="DT1" s="333"/>
      <c r="DU1" s="331" t="s">
        <v>434</v>
      </c>
      <c r="DV1" s="332"/>
      <c r="DW1" s="332"/>
      <c r="DX1" s="333"/>
      <c r="DY1" s="331" t="s">
        <v>435</v>
      </c>
      <c r="DZ1" s="332"/>
      <c r="EA1" s="332"/>
      <c r="EB1" s="333"/>
      <c r="EC1" s="331" t="s">
        <v>436</v>
      </c>
      <c r="ED1" s="332"/>
      <c r="EE1" s="332"/>
      <c r="EF1" s="333"/>
      <c r="EG1" s="331" t="s">
        <v>437</v>
      </c>
      <c r="EH1" s="332"/>
      <c r="EI1" s="332"/>
      <c r="EJ1" s="333"/>
      <c r="EK1" s="331" t="s">
        <v>438</v>
      </c>
      <c r="EL1" s="332"/>
      <c r="EM1" s="332"/>
      <c r="EN1" s="333"/>
      <c r="EO1" s="331" t="s">
        <v>439</v>
      </c>
      <c r="EP1" s="332"/>
      <c r="EQ1" s="332"/>
      <c r="ER1" s="333"/>
      <c r="ES1" s="331" t="s">
        <v>440</v>
      </c>
      <c r="ET1" s="332"/>
      <c r="EU1" s="332"/>
      <c r="EV1" s="333"/>
      <c r="EW1" s="331" t="s">
        <v>441</v>
      </c>
      <c r="EX1" s="332"/>
      <c r="EY1" s="332"/>
      <c r="EZ1" s="333"/>
      <c r="FA1" s="331" t="s">
        <v>442</v>
      </c>
      <c r="FB1" s="332"/>
      <c r="FC1" s="332"/>
      <c r="FD1" s="333"/>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abSelected="1" topLeftCell="B2" workbookViewId="0">
      <selection activeCell="I17" sqref="I17"/>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6" t="s">
        <v>451</v>
      </c>
      <c r="C2" s="336"/>
      <c r="D2" s="336"/>
      <c r="E2" s="336"/>
      <c r="F2" s="336"/>
      <c r="G2" s="336"/>
      <c r="H2" s="336"/>
      <c r="I2" s="336"/>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5" t="s">
        <v>453</v>
      </c>
      <c r="D3" s="335"/>
      <c r="E3" s="335"/>
      <c r="F3" s="335"/>
      <c r="G3" s="335"/>
      <c r="H3" s="335"/>
      <c r="I3" s="335"/>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4" t="s">
        <v>454</v>
      </c>
      <c r="D4" s="334"/>
      <c r="E4" s="334" t="s">
        <v>455</v>
      </c>
      <c r="F4" s="334"/>
      <c r="G4" s="334"/>
      <c r="H4" s="334"/>
      <c r="I4" s="148">
        <f>Data!Q2</f>
        <v>49582.55</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4" t="s">
        <v>454</v>
      </c>
      <c r="D5" s="334"/>
      <c r="E5" s="334" t="s">
        <v>457</v>
      </c>
      <c r="F5" s="334"/>
      <c r="G5" s="334"/>
      <c r="H5" s="334"/>
      <c r="I5" s="148">
        <f>Data!P2</f>
        <v>7117.329999999999</v>
      </c>
      <c r="J5" s="146"/>
      <c r="K5" s="146"/>
      <c r="L5" s="146"/>
      <c r="M5" s="146"/>
      <c r="N5" s="146"/>
      <c r="O5" s="146"/>
      <c r="P5" s="146"/>
      <c r="Q5" s="146"/>
      <c r="R5" s="146"/>
      <c r="S5" s="146"/>
      <c r="T5" s="146"/>
      <c r="U5" s="146"/>
      <c r="V5" s="146"/>
      <c r="W5" s="146"/>
      <c r="X5" s="146"/>
      <c r="Y5" s="146"/>
      <c r="Z5" s="146"/>
      <c r="AA5" s="146"/>
    </row>
    <row r="6" spans="1:27" ht="18.75" x14ac:dyDescent="0.3">
      <c r="A6" s="146"/>
      <c r="B6" s="147"/>
      <c r="C6" s="335" t="s">
        <v>458</v>
      </c>
      <c r="D6" s="335"/>
      <c r="E6" s="335"/>
      <c r="F6" s="335"/>
      <c r="G6" s="335"/>
      <c r="H6" s="335"/>
      <c r="I6" s="335"/>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4" t="s">
        <v>454</v>
      </c>
      <c r="D7" s="334"/>
      <c r="E7" s="334" t="s">
        <v>460</v>
      </c>
      <c r="F7" s="334"/>
      <c r="G7" s="334"/>
      <c r="H7" s="334"/>
      <c r="I7" s="148">
        <f>Data!R2</f>
        <v>3575.84</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5" t="s">
        <v>461</v>
      </c>
      <c r="D9" s="335"/>
      <c r="E9" s="335"/>
      <c r="F9" s="335"/>
      <c r="G9" s="335"/>
      <c r="H9" s="335"/>
      <c r="I9" s="335"/>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4" t="s">
        <v>462</v>
      </c>
      <c r="D10" s="334"/>
      <c r="E10" s="334" t="s">
        <v>463</v>
      </c>
      <c r="F10" s="334"/>
      <c r="G10" s="334"/>
      <c r="H10" s="334"/>
      <c r="I10" s="148">
        <f>PRODUCT(SUM('Construction Exempt Material'!B10,'Construction Exempt Material'!B12),20)</f>
        <v>80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53</v>
      </c>
      <c r="F2" s="186">
        <f>PRODUCT(D2:E2)</f>
        <v>5943.9500000000007</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5</v>
      </c>
      <c r="J2" s="181">
        <f>COUNTIFS('Assignment Tool'!$E$17:$E$2050, "4",'Assignment Tool'!$F$17:$F$2050,"POLE", 'Assignment Tool'!$C$17:$C$2050, "FST",'Assignment Tool'!$K$17:$K$2050,"")</f>
        <v>13</v>
      </c>
      <c r="K2" s="180">
        <f>COUNTIFS('Assignment Tool'!$E$17:$E$2050, "4",'Assignment Tool'!$F$17:$F$2050,"PED", 'Assignment Tool'!$C$17:$C$2050, "FST",'Assignment Tool'!$K$17:$K$2050,"")</f>
        <v>0</v>
      </c>
      <c r="L2" s="180">
        <f>COUNTIFS('Assignment Tool'!$E$17:$E$2050, "4",'Assignment Tool'!$F$17:$F$2050,"HH", 'Assignment Tool'!$C$17:$C$2050, "FST",'Assignment Tool'!$K$17:$K$2050,"")</f>
        <v>35</v>
      </c>
      <c r="N2" s="181">
        <f>PRODUCT(SUM(G2,J2),D2)</f>
        <v>1457.95</v>
      </c>
      <c r="O2" s="180">
        <f>PRODUCT(SUM(H2:I2,K2:L2),D2)</f>
        <v>4486</v>
      </c>
      <c r="P2" s="183">
        <f>SUM(N2:N5,F11:F16,F27:F36,F43:F46,F51:F54,N88:N135)</f>
        <v>7117.329999999999</v>
      </c>
      <c r="Q2" s="182">
        <f>SUM(O2:O5,F17:F26,F37:F42,F47:F50,F55:F58,F60:F67,O88:O135)</f>
        <v>49582.55</v>
      </c>
      <c r="R2" s="126">
        <f>SUM(F69:F71)</f>
        <v>3575.84</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SUM(G3:J3)</f>
        <v>5</v>
      </c>
      <c r="F3" s="186">
        <f>PRODUCT(D3:E3)</f>
        <v>697.09999999999991</v>
      </c>
      <c r="G3" s="181">
        <f>COUNTIFS('Assignment Tool'!$E$17:$E$2050, "6", 'Assignment Tool'!$F$17:$F$2050, "POLE", 'Assignment Tool'!$C$17:$C$2050, "FST",'Assignment Tool'!$K$17:$K$2050,"")</f>
        <v>4</v>
      </c>
      <c r="H3" s="180">
        <f>COUNTIFS('Assignment Tool'!$E$17:$E$2050, "6", 'Assignment Tool'!$F$17:$F$2050, "PED", 'Assignment Tool'!$C$17:$C$2050, "FST",'Assignment Tool'!$K$17:$K$2050,"")</f>
        <v>0</v>
      </c>
      <c r="I3" s="180">
        <f>COUNTIFS('Assignment Tool'!$E$17:$E$2050, "6", 'Assignment Tool'!$F$17:$F$2050, "HH", 'Assignment Tool'!$C$17:$C$2050, "FST",'Assignment Tool'!$K$17:$K$2050,"")</f>
        <v>1</v>
      </c>
      <c r="N3" s="181">
        <f>PRODUCT(G3,D3)</f>
        <v>557.67999999999995</v>
      </c>
      <c r="O3" s="180">
        <f>PRODUCT(SUM(H3:I3),D3)</f>
        <v>139.41999999999999</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SUM(G4:J4)</f>
        <v>21</v>
      </c>
      <c r="F4" s="186">
        <f>PRODUCT(D4:E4)</f>
        <v>3565.17</v>
      </c>
      <c r="G4" s="181">
        <f>COUNTIFS('Assignment Tool'!$E$17:$E$2050, "8", 'Assignment Tool'!$F$17:$F$2050, "POLE", 'Assignment Tool'!$C$17:$C$2050, "FST",'Assignment Tool'!$K$17:$K$2050,"")</f>
        <v>4</v>
      </c>
      <c r="H4" s="180">
        <f>COUNTIFS('Assignment Tool'!$E$17:$E$2050, "8", 'Assignment Tool'!$F$17:$F$2050, "PED", 'Assignment Tool'!$C$17:$C$2050, "FST",'Assignment Tool'!$K$17:$K$2050,"")</f>
        <v>0</v>
      </c>
      <c r="I4" s="180">
        <f>COUNTIFS('Assignment Tool'!$E$17:$E$2050, "8", 'Assignment Tool'!$F$17:$F$2050, "HH", 'Assignment Tool'!$C$17:$C$2050, "FST",'Assignment Tool'!$K$17:$K$2050,"")</f>
        <v>17</v>
      </c>
      <c r="N4" s="181">
        <f>PRODUCT(G4,D4)</f>
        <v>679.08</v>
      </c>
      <c r="O4" s="180">
        <f>PRODUCT(SUM(H4:I4),D4)</f>
        <v>2886.09</v>
      </c>
      <c r="S4" s="1" t="s">
        <v>491</v>
      </c>
      <c r="T4" s="1" t="s">
        <v>459</v>
      </c>
      <c r="U4" s="1" t="s">
        <v>492</v>
      </c>
      <c r="W4" s="1" t="s">
        <v>493</v>
      </c>
      <c r="X4" s="1" t="s">
        <v>494</v>
      </c>
      <c r="Y4" s="1">
        <v>4</v>
      </c>
      <c r="AA4" s="1">
        <f t="shared" ref="AA4:AA21" si="0">12+AA3</f>
        <v>36</v>
      </c>
      <c r="AB4" s="1">
        <v>72</v>
      </c>
      <c r="AC4" s="1">
        <v>100</v>
      </c>
    </row>
    <row r="5" spans="1:29" x14ac:dyDescent="0.25">
      <c r="A5" s="1">
        <v>200009003</v>
      </c>
      <c r="B5" s="1" t="s">
        <v>87</v>
      </c>
      <c r="C5" s="1" t="s">
        <v>495</v>
      </c>
      <c r="D5" s="1">
        <v>227.95</v>
      </c>
      <c r="E5" s="1">
        <f>SUM(G5:J5)</f>
        <v>4</v>
      </c>
      <c r="F5" s="186">
        <f>PRODUCT(D5:E5)</f>
        <v>911.8</v>
      </c>
      <c r="G5" s="181">
        <f>COUNTIFS('Assignment Tool'!$E$17:$E$2050, "12", 'Assignment Tool'!$F$17:$F$2050, "POLE", 'Assignment Tool'!$C$17:$C$2050, "FST",'Assignment Tool'!$K$17:$K$2050,"")</f>
        <v>0</v>
      </c>
      <c r="H5" s="180">
        <f>COUNTIFS('Assignment Tool'!$E$17:$E$2050, "12", 'Assignment Tool'!$F$17:$F$2050, "PED", 'Assignment Tool'!$C$17:$C$2050, "FST",'Assignment Tool'!$K$17:$K$2050,"")</f>
        <v>0</v>
      </c>
      <c r="I5" s="180">
        <f>COUNTIFS('Assignment Tool'!$E$17:$E$2050, "12", 'Assignment Tool'!$F$17:$F$2050, "HH", 'Assignment Tool'!$C$17:$C$2050, "FST",'Assignment Tool'!$K$17:$K$2050,"")</f>
        <v>4</v>
      </c>
      <c r="N5" s="181">
        <f>PRODUCT(G5,D5)</f>
        <v>0</v>
      </c>
      <c r="O5" s="180">
        <f>PRODUCT(SUM(H5:I5),D5)</f>
        <v>911.8</v>
      </c>
      <c r="S5" s="1" t="s">
        <v>496</v>
      </c>
      <c r="T5" s="1" t="s">
        <v>497</v>
      </c>
      <c r="U5" s="1" t="s">
        <v>498</v>
      </c>
      <c r="X5" s="1" t="s">
        <v>499</v>
      </c>
      <c r="Y5" s="1">
        <v>6</v>
      </c>
      <c r="AA5" s="1">
        <f t="shared" si="0"/>
        <v>48</v>
      </c>
      <c r="AB5" s="1">
        <v>144</v>
      </c>
      <c r="AC5" s="1">
        <v>200</v>
      </c>
    </row>
    <row r="6" spans="1:29" x14ac:dyDescent="0.25">
      <c r="F6" s="186"/>
      <c r="X6" s="1" t="s">
        <v>500</v>
      </c>
      <c r="Y6" s="1">
        <v>8</v>
      </c>
      <c r="AA6" s="1">
        <f t="shared" si="0"/>
        <v>60</v>
      </c>
      <c r="AB6" s="1">
        <v>216</v>
      </c>
      <c r="AC6" s="1">
        <v>300</v>
      </c>
    </row>
    <row r="7" spans="1:29" x14ac:dyDescent="0.25">
      <c r="F7" s="186"/>
      <c r="X7" s="1" t="s">
        <v>501</v>
      </c>
      <c r="Y7" s="1">
        <v>12</v>
      </c>
      <c r="AA7" s="1">
        <f t="shared" si="0"/>
        <v>72</v>
      </c>
      <c r="AB7" s="1">
        <v>288</v>
      </c>
      <c r="AC7" s="1">
        <v>400</v>
      </c>
    </row>
    <row r="8" spans="1:29" x14ac:dyDescent="0.25">
      <c r="F8" s="186"/>
      <c r="X8" s="1" t="s">
        <v>502</v>
      </c>
      <c r="Y8" s="1">
        <v>24</v>
      </c>
      <c r="AA8" s="1">
        <f t="shared" si="0"/>
        <v>84</v>
      </c>
      <c r="AB8" s="1">
        <v>360</v>
      </c>
      <c r="AC8" s="1">
        <v>500</v>
      </c>
    </row>
    <row r="9" spans="1:29" x14ac:dyDescent="0.25">
      <c r="F9" s="186"/>
      <c r="Y9" s="1">
        <v>36</v>
      </c>
      <c r="AA9" s="1">
        <f t="shared" si="0"/>
        <v>96</v>
      </c>
      <c r="AB9" s="1">
        <v>432</v>
      </c>
      <c r="AC9" s="1">
        <v>600</v>
      </c>
    </row>
    <row r="10" spans="1:29" x14ac:dyDescent="0.25">
      <c r="Q10" s="21"/>
      <c r="R10" s="21"/>
      <c r="Y10" s="1">
        <v>48</v>
      </c>
      <c r="AA10" s="1">
        <f t="shared" si="0"/>
        <v>108</v>
      </c>
      <c r="AB10" s="1">
        <v>576</v>
      </c>
      <c r="AC10" s="1">
        <v>700</v>
      </c>
    </row>
    <row r="11" spans="1:29" x14ac:dyDescent="0.25">
      <c r="A11" s="181">
        <v>100083495</v>
      </c>
      <c r="B11" s="181"/>
      <c r="C11" s="181" t="s">
        <v>503</v>
      </c>
      <c r="D11" s="1">
        <v>247.18</v>
      </c>
      <c r="E11" s="162">
        <f>'Construction Exempt Material'!B17</f>
        <v>3</v>
      </c>
      <c r="F11" s="181">
        <f>E11*D11</f>
        <v>741.54</v>
      </c>
      <c r="Q11" s="21"/>
      <c r="R11" s="21"/>
      <c r="Y11" s="1">
        <v>60</v>
      </c>
      <c r="AA11" s="1">
        <f t="shared" si="0"/>
        <v>120</v>
      </c>
      <c r="AB11" s="1">
        <v>864</v>
      </c>
      <c r="AC11" s="1">
        <v>800</v>
      </c>
    </row>
    <row r="12" spans="1:29" x14ac:dyDescent="0.25">
      <c r="A12" s="181">
        <v>100083494</v>
      </c>
      <c r="B12" s="181"/>
      <c r="C12" s="181" t="s">
        <v>504</v>
      </c>
      <c r="D12" s="1">
        <v>215.15</v>
      </c>
      <c r="E12" s="162">
        <f>'Construction Exempt Material'!B18</f>
        <v>2</v>
      </c>
      <c r="F12" s="181">
        <f t="shared" ref="F12:F58" si="1">E12*D12</f>
        <v>430.3</v>
      </c>
      <c r="Q12" s="21"/>
      <c r="R12" s="21"/>
      <c r="Y12" s="1">
        <v>72</v>
      </c>
      <c r="AA12" s="1">
        <f t="shared" si="0"/>
        <v>132</v>
      </c>
      <c r="AC12" s="1">
        <v>900</v>
      </c>
    </row>
    <row r="13" spans="1:29" x14ac:dyDescent="0.25">
      <c r="A13" s="181">
        <v>100083493</v>
      </c>
      <c r="B13" s="181"/>
      <c r="C13" s="181" t="s">
        <v>505</v>
      </c>
      <c r="D13" s="1">
        <v>183.1</v>
      </c>
      <c r="E13" s="162">
        <f>'Construction Exempt Material'!B19</f>
        <v>11</v>
      </c>
      <c r="F13" s="181">
        <f t="shared" si="1"/>
        <v>2014.1</v>
      </c>
      <c r="Q13" s="21"/>
      <c r="R13" s="21"/>
      <c r="Y13" s="1">
        <v>84</v>
      </c>
      <c r="AA13" s="1">
        <f t="shared" si="0"/>
        <v>144</v>
      </c>
      <c r="AC13" s="1">
        <v>1000</v>
      </c>
    </row>
    <row r="14" spans="1:29" x14ac:dyDescent="0.25">
      <c r="A14" s="181">
        <v>100089023</v>
      </c>
      <c r="B14" s="181"/>
      <c r="C14" s="181" t="s">
        <v>506</v>
      </c>
      <c r="D14" s="1">
        <v>247.18</v>
      </c>
      <c r="E14" s="162">
        <f>'Construction Exempt Material'!B20</f>
        <v>2</v>
      </c>
      <c r="F14" s="181">
        <f t="shared" si="1"/>
        <v>494.36</v>
      </c>
      <c r="Q14" s="21"/>
      <c r="R14" s="21"/>
      <c r="Y14" s="1">
        <v>96</v>
      </c>
      <c r="AA14" s="1">
        <f t="shared" si="0"/>
        <v>156</v>
      </c>
    </row>
    <row r="15" spans="1:29" x14ac:dyDescent="0.25">
      <c r="A15" s="181">
        <v>200000002</v>
      </c>
      <c r="B15" s="181"/>
      <c r="C15" s="181" t="s">
        <v>507</v>
      </c>
      <c r="D15" s="1">
        <v>215.15</v>
      </c>
      <c r="E15" s="162">
        <f>'Construction Exempt Material'!B21</f>
        <v>0</v>
      </c>
      <c r="F15" s="181">
        <f t="shared" si="1"/>
        <v>0</v>
      </c>
      <c r="Q15" s="21"/>
      <c r="R15" s="21"/>
      <c r="Y15" s="1">
        <v>108</v>
      </c>
      <c r="AA15" s="1">
        <f t="shared" si="0"/>
        <v>168</v>
      </c>
    </row>
    <row r="16" spans="1:29" x14ac:dyDescent="0.25">
      <c r="A16" s="181">
        <v>200000003</v>
      </c>
      <c r="B16" s="181"/>
      <c r="C16" s="181" t="s">
        <v>508</v>
      </c>
      <c r="D16" s="1">
        <v>183.1</v>
      </c>
      <c r="E16" s="162">
        <f>'Construction Exempt Material'!B22</f>
        <v>0</v>
      </c>
      <c r="F16" s="181">
        <f t="shared" si="1"/>
        <v>0</v>
      </c>
      <c r="Q16" s="21"/>
      <c r="R16" s="21"/>
      <c r="Y16" s="1">
        <v>120</v>
      </c>
      <c r="AA16" s="1">
        <f t="shared" si="0"/>
        <v>180</v>
      </c>
    </row>
    <row r="17" spans="1:27" x14ac:dyDescent="0.25">
      <c r="A17" s="180">
        <v>100083595</v>
      </c>
      <c r="B17" s="180"/>
      <c r="C17" s="180" t="s">
        <v>509</v>
      </c>
      <c r="D17" s="1">
        <v>266.77</v>
      </c>
      <c r="E17" s="162">
        <f>'Construction Exempt Material'!B23</f>
        <v>11</v>
      </c>
      <c r="F17" s="180">
        <f t="shared" si="1"/>
        <v>2934.47</v>
      </c>
      <c r="Q17" s="21"/>
      <c r="Y17" s="1">
        <v>132</v>
      </c>
      <c r="AA17" s="1">
        <f t="shared" si="0"/>
        <v>192</v>
      </c>
    </row>
    <row r="18" spans="1:27" x14ac:dyDescent="0.25">
      <c r="A18" s="180">
        <v>100083594</v>
      </c>
      <c r="B18" s="180"/>
      <c r="C18" s="180" t="s">
        <v>510</v>
      </c>
      <c r="D18" s="1">
        <v>233.96</v>
      </c>
      <c r="E18" s="162">
        <f>'Construction Exempt Material'!B24</f>
        <v>20</v>
      </c>
      <c r="F18" s="180">
        <f t="shared" si="1"/>
        <v>4679.2</v>
      </c>
      <c r="Q18" s="21"/>
      <c r="Y18" s="1">
        <v>144</v>
      </c>
      <c r="AA18" s="1">
        <f t="shared" si="0"/>
        <v>204</v>
      </c>
    </row>
    <row r="19" spans="1:27" x14ac:dyDescent="0.25">
      <c r="A19" s="180">
        <v>100083593</v>
      </c>
      <c r="B19" s="180"/>
      <c r="C19" s="180" t="s">
        <v>511</v>
      </c>
      <c r="D19" s="1">
        <v>226.44</v>
      </c>
      <c r="E19" s="162">
        <f>'Construction Exempt Material'!B25</f>
        <v>5</v>
      </c>
      <c r="F19" s="180">
        <f t="shared" si="1"/>
        <v>1132.2</v>
      </c>
      <c r="Y19" s="1">
        <v>216</v>
      </c>
      <c r="AA19" s="1">
        <f t="shared" si="0"/>
        <v>216</v>
      </c>
    </row>
    <row r="20" spans="1:27" x14ac:dyDescent="0.25">
      <c r="A20" s="180">
        <v>100083592</v>
      </c>
      <c r="B20" s="180"/>
      <c r="C20" s="180" t="s">
        <v>512</v>
      </c>
      <c r="D20" s="1">
        <v>199.86</v>
      </c>
      <c r="E20" s="162">
        <f>'Construction Exempt Material'!B26</f>
        <v>37</v>
      </c>
      <c r="F20" s="180">
        <f t="shared" si="1"/>
        <v>7394.8200000000006</v>
      </c>
      <c r="AA20" s="1">
        <f t="shared" si="0"/>
        <v>228</v>
      </c>
    </row>
    <row r="21" spans="1:27" x14ac:dyDescent="0.25">
      <c r="A21" s="180">
        <v>200008456</v>
      </c>
      <c r="B21" s="180"/>
      <c r="C21" s="180" t="s">
        <v>513</v>
      </c>
      <c r="D21" s="1">
        <v>201.13</v>
      </c>
      <c r="E21" s="162">
        <f>'Construction Exempt Material'!B27</f>
        <v>5</v>
      </c>
      <c r="F21" s="180">
        <f t="shared" si="1"/>
        <v>1005.65</v>
      </c>
      <c r="AA21" s="1">
        <f t="shared" si="0"/>
        <v>240</v>
      </c>
    </row>
    <row r="22" spans="1:27" x14ac:dyDescent="0.25">
      <c r="A22" s="180">
        <v>100089396</v>
      </c>
      <c r="B22" s="180"/>
      <c r="C22" s="180" t="s">
        <v>514</v>
      </c>
      <c r="D22" s="1">
        <v>266.77</v>
      </c>
      <c r="E22" s="162">
        <f>'Construction Exempt Material'!B28</f>
        <v>2</v>
      </c>
      <c r="F22" s="180">
        <f t="shared" si="1"/>
        <v>533.54</v>
      </c>
      <c r="AA22" s="1">
        <f>12+AA21</f>
        <v>252</v>
      </c>
    </row>
    <row r="23" spans="1:27" x14ac:dyDescent="0.25">
      <c r="A23" s="180">
        <v>100089548</v>
      </c>
      <c r="B23" s="180"/>
      <c r="C23" s="180" t="s">
        <v>515</v>
      </c>
      <c r="D23" s="1">
        <v>233.96</v>
      </c>
      <c r="E23" s="162">
        <f>'Construction Exempt Material'!B29</f>
        <v>0</v>
      </c>
      <c r="F23" s="180">
        <f t="shared" si="1"/>
        <v>0</v>
      </c>
      <c r="AA23" s="1">
        <f>12+AA22</f>
        <v>264</v>
      </c>
    </row>
    <row r="24" spans="1:27" x14ac:dyDescent="0.25">
      <c r="A24" s="180">
        <v>100089397</v>
      </c>
      <c r="B24" s="180"/>
      <c r="C24" s="180" t="s">
        <v>516</v>
      </c>
      <c r="D24" s="1">
        <v>226.44</v>
      </c>
      <c r="E24" s="162">
        <f>'Construction Exempt Material'!B30</f>
        <v>0</v>
      </c>
      <c r="F24" s="180">
        <f t="shared" si="1"/>
        <v>0</v>
      </c>
      <c r="AA24" s="1">
        <f>12+AA23</f>
        <v>276</v>
      </c>
    </row>
    <row r="25" spans="1:27" x14ac:dyDescent="0.25">
      <c r="A25" s="180">
        <v>100089549</v>
      </c>
      <c r="B25" s="180"/>
      <c r="C25" s="180" t="s">
        <v>517</v>
      </c>
      <c r="D25" s="1">
        <v>199.86</v>
      </c>
      <c r="E25" s="162">
        <f>'Construction Exempt Material'!B31</f>
        <v>0</v>
      </c>
      <c r="F25" s="180">
        <f t="shared" si="1"/>
        <v>0</v>
      </c>
    </row>
    <row r="26" spans="1:27" x14ac:dyDescent="0.25">
      <c r="A26" s="180">
        <v>200008455</v>
      </c>
      <c r="B26" s="180"/>
      <c r="C26" s="180" t="s">
        <v>518</v>
      </c>
      <c r="D26" s="1">
        <v>201.13</v>
      </c>
      <c r="E26" s="162">
        <f>'Construction Exempt Material'!B32</f>
        <v>0</v>
      </c>
      <c r="F26" s="180">
        <f t="shared" si="1"/>
        <v>0</v>
      </c>
    </row>
    <row r="27" spans="1:27" x14ac:dyDescent="0.25">
      <c r="A27" s="181">
        <v>200002278</v>
      </c>
      <c r="B27" s="181"/>
      <c r="C27" s="181" t="s">
        <v>519</v>
      </c>
      <c r="D27" s="1">
        <v>323.39</v>
      </c>
      <c r="E27" s="162">
        <f>'Construction Exempt Material'!B33</f>
        <v>0</v>
      </c>
      <c r="F27" s="181">
        <f t="shared" si="1"/>
        <v>0</v>
      </c>
    </row>
    <row r="28" spans="1:27" x14ac:dyDescent="0.25">
      <c r="A28" s="181">
        <v>200002276</v>
      </c>
      <c r="B28" s="181"/>
      <c r="C28" s="181" t="s">
        <v>520</v>
      </c>
      <c r="D28" s="1">
        <v>282.69</v>
      </c>
      <c r="E28" s="162">
        <f>'Construction Exempt Material'!B34</f>
        <v>0</v>
      </c>
      <c r="F28" s="181">
        <f t="shared" si="1"/>
        <v>0</v>
      </c>
    </row>
    <row r="29" spans="1:27" x14ac:dyDescent="0.25">
      <c r="A29" s="181">
        <v>200002273</v>
      </c>
      <c r="B29" s="181"/>
      <c r="C29" s="181" t="s">
        <v>521</v>
      </c>
      <c r="D29" s="1">
        <v>268.75</v>
      </c>
      <c r="E29" s="162">
        <f>'Construction Exempt Material'!B35</f>
        <v>0</v>
      </c>
      <c r="F29" s="181">
        <f t="shared" si="1"/>
        <v>0</v>
      </c>
    </row>
    <row r="30" spans="1:27" x14ac:dyDescent="0.25">
      <c r="A30" s="181">
        <v>200002272</v>
      </c>
      <c r="B30" s="181"/>
      <c r="C30" s="181" t="s">
        <v>522</v>
      </c>
      <c r="D30" s="1">
        <v>242.07</v>
      </c>
      <c r="E30" s="162">
        <f>'Construction Exempt Material'!B36</f>
        <v>0</v>
      </c>
      <c r="F30" s="181">
        <f t="shared" si="1"/>
        <v>0</v>
      </c>
    </row>
    <row r="31" spans="1:27" x14ac:dyDescent="0.25">
      <c r="A31" s="181">
        <v>200008457</v>
      </c>
      <c r="B31" s="181"/>
      <c r="C31" s="181" t="s">
        <v>523</v>
      </c>
      <c r="D31" s="1">
        <v>232.72</v>
      </c>
      <c r="E31" s="162">
        <f>'Construction Exempt Material'!B37</f>
        <v>0</v>
      </c>
      <c r="F31" s="181">
        <f t="shared" si="1"/>
        <v>0</v>
      </c>
    </row>
    <row r="32" spans="1:27" x14ac:dyDescent="0.25">
      <c r="A32" s="181">
        <v>200002284</v>
      </c>
      <c r="B32" s="181"/>
      <c r="C32" s="181" t="s">
        <v>524</v>
      </c>
      <c r="D32" s="1">
        <v>323.39</v>
      </c>
      <c r="E32" s="162">
        <f>'Construction Exempt Material'!B38</f>
        <v>0</v>
      </c>
      <c r="F32" s="181">
        <f t="shared" si="1"/>
        <v>0</v>
      </c>
    </row>
    <row r="33" spans="1:6" x14ac:dyDescent="0.25">
      <c r="A33" s="181">
        <v>200002283</v>
      </c>
      <c r="B33" s="181"/>
      <c r="C33" s="181" t="s">
        <v>525</v>
      </c>
      <c r="D33" s="1">
        <v>282.69</v>
      </c>
      <c r="E33" s="162">
        <f>'Construction Exempt Material'!B39</f>
        <v>0</v>
      </c>
      <c r="F33" s="181">
        <f t="shared" si="1"/>
        <v>0</v>
      </c>
    </row>
    <row r="34" spans="1:6" x14ac:dyDescent="0.25">
      <c r="A34" s="181">
        <v>200002282</v>
      </c>
      <c r="B34" s="181"/>
      <c r="C34" s="181" t="s">
        <v>526</v>
      </c>
      <c r="D34" s="1">
        <v>268.75</v>
      </c>
      <c r="E34" s="162">
        <f>'Construction Exempt Material'!B40</f>
        <v>0</v>
      </c>
      <c r="F34" s="181">
        <f t="shared" si="1"/>
        <v>0</v>
      </c>
    </row>
    <row r="35" spans="1:6" x14ac:dyDescent="0.25">
      <c r="A35" s="181">
        <v>200002279</v>
      </c>
      <c r="B35" s="181"/>
      <c r="C35" s="181" t="s">
        <v>527</v>
      </c>
      <c r="D35" s="1">
        <v>242.07</v>
      </c>
      <c r="E35" s="162">
        <f>'Construction Exempt Material'!B41</f>
        <v>0</v>
      </c>
      <c r="F35" s="181">
        <f t="shared" si="1"/>
        <v>0</v>
      </c>
    </row>
    <row r="36" spans="1:6" x14ac:dyDescent="0.25">
      <c r="A36" s="181">
        <v>200008458</v>
      </c>
      <c r="B36" s="181"/>
      <c r="C36" s="181" t="s">
        <v>528</v>
      </c>
      <c r="D36" s="1">
        <v>232.72</v>
      </c>
      <c r="E36" s="162">
        <f>'Construction Exempt Material'!B42</f>
        <v>0</v>
      </c>
      <c r="F36" s="181">
        <f t="shared" si="1"/>
        <v>0</v>
      </c>
    </row>
    <row r="37" spans="1:6" x14ac:dyDescent="0.25">
      <c r="A37" s="180">
        <v>200002409</v>
      </c>
      <c r="B37" s="180"/>
      <c r="C37" s="180" t="s">
        <v>529</v>
      </c>
      <c r="D37" s="1">
        <v>271.56</v>
      </c>
      <c r="E37" s="162">
        <f>'Construction Exempt Material'!B43</f>
        <v>0</v>
      </c>
      <c r="F37" s="180">
        <f t="shared" si="1"/>
        <v>0</v>
      </c>
    </row>
    <row r="38" spans="1:6" x14ac:dyDescent="0.25">
      <c r="A38" s="180">
        <v>200002407</v>
      </c>
      <c r="B38" s="180"/>
      <c r="C38" s="180" t="s">
        <v>530</v>
      </c>
      <c r="D38" s="1">
        <v>236.35</v>
      </c>
      <c r="E38" s="162">
        <f>'Construction Exempt Material'!B44</f>
        <v>0</v>
      </c>
      <c r="F38" s="180">
        <f t="shared" si="1"/>
        <v>0</v>
      </c>
    </row>
    <row r="39" spans="1:6" x14ac:dyDescent="0.25">
      <c r="A39" s="180">
        <v>200002408</v>
      </c>
      <c r="B39" s="180"/>
      <c r="C39" s="180" t="s">
        <v>531</v>
      </c>
      <c r="D39" s="1">
        <v>201.17</v>
      </c>
      <c r="E39" s="162">
        <f>'Construction Exempt Material'!B45</f>
        <v>0</v>
      </c>
      <c r="F39" s="180">
        <f t="shared" si="1"/>
        <v>0</v>
      </c>
    </row>
    <row r="40" spans="1:6" x14ac:dyDescent="0.25">
      <c r="A40" s="180">
        <v>200002414</v>
      </c>
      <c r="B40" s="180"/>
      <c r="C40" s="180" t="s">
        <v>532</v>
      </c>
      <c r="D40" s="1">
        <v>271.56</v>
      </c>
      <c r="E40" s="162">
        <f>'Construction Exempt Material'!B46</f>
        <v>0</v>
      </c>
      <c r="F40" s="180">
        <f t="shared" si="1"/>
        <v>0</v>
      </c>
    </row>
    <row r="41" spans="1:6" x14ac:dyDescent="0.25">
      <c r="A41" s="180">
        <v>200002404</v>
      </c>
      <c r="B41" s="180"/>
      <c r="C41" s="180" t="s">
        <v>533</v>
      </c>
      <c r="D41" s="1">
        <v>236.35</v>
      </c>
      <c r="E41" s="162">
        <f>'Construction Exempt Material'!B47</f>
        <v>0</v>
      </c>
      <c r="F41" s="180">
        <f t="shared" si="1"/>
        <v>0</v>
      </c>
    </row>
    <row r="42" spans="1:6" x14ac:dyDescent="0.25">
      <c r="A42" s="180">
        <v>200002411</v>
      </c>
      <c r="B42" s="180"/>
      <c r="C42" s="180" t="s">
        <v>534</v>
      </c>
      <c r="D42" s="1">
        <v>201.17</v>
      </c>
      <c r="E42" s="162">
        <f>'Construction Exempt Material'!B48</f>
        <v>0</v>
      </c>
      <c r="F42" s="180">
        <f t="shared" si="1"/>
        <v>0</v>
      </c>
    </row>
    <row r="43" spans="1:6" x14ac:dyDescent="0.25">
      <c r="A43" s="181">
        <v>100088379</v>
      </c>
      <c r="B43" s="181"/>
      <c r="C43" s="181" t="s">
        <v>535</v>
      </c>
      <c r="D43" s="1">
        <v>247.44</v>
      </c>
      <c r="E43" s="162">
        <f>'Construction Exempt Material'!B49</f>
        <v>0</v>
      </c>
      <c r="F43" s="181">
        <f t="shared" si="1"/>
        <v>0</v>
      </c>
    </row>
    <row r="44" spans="1:6" x14ac:dyDescent="0.25">
      <c r="A44" s="181">
        <v>100088380</v>
      </c>
      <c r="B44" s="181"/>
      <c r="C44" s="181" t="s">
        <v>536</v>
      </c>
      <c r="D44" s="1">
        <v>494.87</v>
      </c>
      <c r="E44" s="162">
        <f>'Construction Exempt Material'!B50</f>
        <v>0</v>
      </c>
      <c r="F44" s="181">
        <f t="shared" si="1"/>
        <v>0</v>
      </c>
    </row>
    <row r="45" spans="1:6" x14ac:dyDescent="0.25">
      <c r="A45" s="181">
        <v>200002564</v>
      </c>
      <c r="B45" s="181"/>
      <c r="C45" s="181" t="s">
        <v>537</v>
      </c>
      <c r="D45" s="1">
        <v>742.32</v>
      </c>
      <c r="E45" s="162">
        <f>'Construction Exempt Material'!B51</f>
        <v>1</v>
      </c>
      <c r="F45" s="181">
        <f t="shared" si="1"/>
        <v>742.32</v>
      </c>
    </row>
    <row r="46" spans="1:6" x14ac:dyDescent="0.25">
      <c r="A46" s="181">
        <v>200002567</v>
      </c>
      <c r="B46" s="181"/>
      <c r="C46" s="181" t="s">
        <v>538</v>
      </c>
      <c r="D46" s="1">
        <v>989.75</v>
      </c>
      <c r="E46" s="162">
        <f>'Construction Exempt Material'!B52</f>
        <v>0</v>
      </c>
      <c r="F46" s="181">
        <f t="shared" si="1"/>
        <v>0</v>
      </c>
    </row>
    <row r="47" spans="1:6" x14ac:dyDescent="0.25">
      <c r="A47" s="180">
        <v>100089546</v>
      </c>
      <c r="B47" s="180"/>
      <c r="C47" s="180" t="s">
        <v>539</v>
      </c>
      <c r="D47" s="1">
        <v>266.77</v>
      </c>
      <c r="E47" s="162">
        <f>'Construction Exempt Material'!B53</f>
        <v>4</v>
      </c>
      <c r="F47" s="180">
        <f t="shared" si="1"/>
        <v>1067.08</v>
      </c>
    </row>
    <row r="48" spans="1:6" x14ac:dyDescent="0.25">
      <c r="A48" s="180">
        <v>100089547</v>
      </c>
      <c r="B48" s="180"/>
      <c r="C48" s="180" t="s">
        <v>540</v>
      </c>
      <c r="D48" s="1">
        <v>533.53</v>
      </c>
      <c r="E48" s="162">
        <f>'Construction Exempt Material'!B54</f>
        <v>2</v>
      </c>
      <c r="F48" s="180">
        <f t="shared" si="1"/>
        <v>1067.06</v>
      </c>
    </row>
    <row r="49" spans="1:10" x14ac:dyDescent="0.25">
      <c r="A49" s="180">
        <v>200002565</v>
      </c>
      <c r="B49" s="180"/>
      <c r="C49" s="180" t="s">
        <v>541</v>
      </c>
      <c r="D49" s="1">
        <v>804.41</v>
      </c>
      <c r="E49" s="162">
        <f>'Construction Exempt Material'!B55</f>
        <v>1</v>
      </c>
      <c r="F49" s="180">
        <f t="shared" si="1"/>
        <v>804.41</v>
      </c>
    </row>
    <row r="50" spans="1:10" x14ac:dyDescent="0.25">
      <c r="A50" s="180">
        <v>200002568</v>
      </c>
      <c r="B50" s="180"/>
      <c r="C50" s="180" t="s">
        <v>542</v>
      </c>
      <c r="D50" s="1">
        <v>1067.08</v>
      </c>
      <c r="E50" s="162">
        <f>'Construction Exempt Material'!B56</f>
        <v>0</v>
      </c>
      <c r="F50" s="180">
        <f t="shared" si="1"/>
        <v>0</v>
      </c>
    </row>
    <row r="51" spans="1:10" x14ac:dyDescent="0.25">
      <c r="A51" s="181">
        <v>200002285</v>
      </c>
      <c r="B51" s="181"/>
      <c r="C51" s="181" t="s">
        <v>543</v>
      </c>
      <c r="D51" s="1">
        <v>323.39</v>
      </c>
      <c r="E51" s="162">
        <f>'Construction Exempt Material'!B57</f>
        <v>0</v>
      </c>
      <c r="F51" s="181">
        <f t="shared" si="1"/>
        <v>0</v>
      </c>
      <c r="J51" s="1" t="s">
        <v>544</v>
      </c>
    </row>
    <row r="52" spans="1:10" x14ac:dyDescent="0.25">
      <c r="A52" s="181">
        <v>200002286</v>
      </c>
      <c r="B52" s="181"/>
      <c r="C52" s="181" t="s">
        <v>545</v>
      </c>
      <c r="D52" s="1">
        <v>646.77</v>
      </c>
      <c r="E52" s="162">
        <f>'Construction Exempt Material'!B58</f>
        <v>0</v>
      </c>
      <c r="F52" s="181">
        <f t="shared" si="1"/>
        <v>0</v>
      </c>
    </row>
    <row r="53" spans="1:10" x14ac:dyDescent="0.25">
      <c r="A53" s="181">
        <v>200004243</v>
      </c>
      <c r="B53" s="181"/>
      <c r="C53" s="181" t="s">
        <v>546</v>
      </c>
      <c r="D53" s="1">
        <v>970.16</v>
      </c>
      <c r="E53" s="162">
        <f>'Construction Exempt Material'!B59</f>
        <v>0</v>
      </c>
      <c r="F53" s="181">
        <f t="shared" si="1"/>
        <v>0</v>
      </c>
    </row>
    <row r="54" spans="1:10" x14ac:dyDescent="0.25">
      <c r="A54" s="181">
        <v>200004245</v>
      </c>
      <c r="B54" s="181"/>
      <c r="C54" s="181" t="s">
        <v>547</v>
      </c>
      <c r="D54" s="1">
        <v>1293.55</v>
      </c>
      <c r="E54" s="162">
        <f>'Construction Exempt Material'!B60</f>
        <v>0</v>
      </c>
      <c r="F54" s="181">
        <f t="shared" si="1"/>
        <v>0</v>
      </c>
    </row>
    <row r="55" spans="1:10" x14ac:dyDescent="0.25">
      <c r="A55" s="180">
        <v>200002410</v>
      </c>
      <c r="B55" s="180"/>
      <c r="C55" s="180" t="s">
        <v>548</v>
      </c>
      <c r="D55" s="1">
        <v>271.56</v>
      </c>
      <c r="E55" s="162">
        <f>'Construction Exempt Material'!B61</f>
        <v>0</v>
      </c>
      <c r="F55" s="180">
        <f t="shared" si="1"/>
        <v>0</v>
      </c>
    </row>
    <row r="56" spans="1:10" x14ac:dyDescent="0.25">
      <c r="A56" s="180">
        <v>200002412</v>
      </c>
      <c r="B56" s="180"/>
      <c r="C56" s="180" t="s">
        <v>549</v>
      </c>
      <c r="D56" s="1">
        <v>543.11</v>
      </c>
      <c r="E56" s="162">
        <f>'Construction Exempt Material'!B62</f>
        <v>0</v>
      </c>
      <c r="F56" s="180">
        <f t="shared" si="1"/>
        <v>0</v>
      </c>
    </row>
    <row r="57" spans="1:10" x14ac:dyDescent="0.25">
      <c r="A57" s="180">
        <v>200002566</v>
      </c>
      <c r="B57" s="180"/>
      <c r="C57" s="180" t="s">
        <v>550</v>
      </c>
      <c r="D57" s="1">
        <v>814.67</v>
      </c>
      <c r="E57" s="162">
        <f>'Construction Exempt Material'!B63</f>
        <v>0</v>
      </c>
      <c r="F57" s="180">
        <f t="shared" si="1"/>
        <v>0</v>
      </c>
    </row>
    <row r="58" spans="1:10" x14ac:dyDescent="0.25">
      <c r="A58" s="180">
        <v>200002569</v>
      </c>
      <c r="B58" s="180"/>
      <c r="C58" s="180" t="s">
        <v>551</v>
      </c>
      <c r="D58" s="1">
        <v>1086.21</v>
      </c>
      <c r="E58" s="162">
        <f>'Construction Exempt Material'!B64</f>
        <v>0</v>
      </c>
      <c r="F58" s="180">
        <f t="shared" si="1"/>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2">E61*D61</f>
        <v>0</v>
      </c>
      <c r="G61" s="1">
        <f>SUM(I2:I4,L2,I88:I123,L88:L99,I61:I64)</f>
        <v>59</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50</v>
      </c>
      <c r="F62" s="180">
        <f t="shared" si="2"/>
        <v>7197</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18</v>
      </c>
      <c r="F63" s="180">
        <f t="shared" si="2"/>
        <v>8887.86</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2"/>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6</v>
      </c>
      <c r="F65" s="180">
        <f>E65*D65</f>
        <v>3929.7000000000003</v>
      </c>
    </row>
    <row r="66" spans="1:16" x14ac:dyDescent="0.25">
      <c r="A66" s="180">
        <v>100006155</v>
      </c>
      <c r="B66" s="180"/>
      <c r="C66" s="180" t="s">
        <v>562</v>
      </c>
      <c r="D66" s="1">
        <v>87.96</v>
      </c>
      <c r="E66" s="1">
        <f>'Construction Exempt Material'!B12</f>
        <v>4</v>
      </c>
      <c r="F66" s="180">
        <f t="shared" si="2"/>
        <v>351.84</v>
      </c>
      <c r="G66" s="1">
        <f>SUM(I5,I124:I135,J61)</f>
        <v>4</v>
      </c>
    </row>
    <row r="67" spans="1:16" x14ac:dyDescent="0.25">
      <c r="A67" s="180">
        <v>100006173</v>
      </c>
      <c r="B67" s="180"/>
      <c r="C67" s="180" t="s">
        <v>563</v>
      </c>
      <c r="D67" s="1">
        <v>424.23</v>
      </c>
      <c r="E67" s="1">
        <f>'Construction Exempt Material'!B14</f>
        <v>0</v>
      </c>
      <c r="F67" s="180">
        <f t="shared" si="2"/>
        <v>0</v>
      </c>
    </row>
    <row r="69" spans="1:16" x14ac:dyDescent="0.25">
      <c r="A69" s="1">
        <v>100006143</v>
      </c>
      <c r="B69" s="1" t="s">
        <v>90</v>
      </c>
      <c r="C69" s="1" t="s">
        <v>564</v>
      </c>
      <c r="D69" s="1">
        <v>22.66</v>
      </c>
      <c r="E69" s="1">
        <f>'Construction Exempt Material'!B70</f>
        <v>34</v>
      </c>
      <c r="F69" s="126">
        <f>E69*D69</f>
        <v>770.44</v>
      </c>
    </row>
    <row r="70" spans="1:16" x14ac:dyDescent="0.25">
      <c r="A70" s="1">
        <v>100069989</v>
      </c>
      <c r="B70" s="1" t="s">
        <v>565</v>
      </c>
      <c r="C70" s="1" t="s">
        <v>566</v>
      </c>
      <c r="D70" s="1">
        <v>0.65</v>
      </c>
      <c r="E70" s="1">
        <f>'Construction Exempt Material'!B69</f>
        <v>4316</v>
      </c>
      <c r="F70" s="126">
        <f>E70*D70</f>
        <v>2805.4</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7" t="s">
        <v>571</v>
      </c>
      <c r="D76" s="337">
        <v>1.08</v>
      </c>
    </row>
    <row r="77" spans="1:16" x14ac:dyDescent="0.25">
      <c r="A77" s="1">
        <v>100001338</v>
      </c>
      <c r="B77" s="124" t="s">
        <v>572</v>
      </c>
      <c r="C77" s="337"/>
      <c r="D77" s="337"/>
    </row>
    <row r="78" spans="1:16" x14ac:dyDescent="0.25">
      <c r="A78" s="1">
        <v>100001308</v>
      </c>
      <c r="B78" s="124" t="s">
        <v>573</v>
      </c>
      <c r="C78" s="337" t="s">
        <v>574</v>
      </c>
      <c r="D78" s="337">
        <v>1.62</v>
      </c>
    </row>
    <row r="79" spans="1:16" x14ac:dyDescent="0.25">
      <c r="A79" s="1">
        <v>100001310</v>
      </c>
      <c r="B79" s="124" t="s">
        <v>575</v>
      </c>
      <c r="C79" s="337"/>
      <c r="D79" s="337"/>
    </row>
    <row r="80" spans="1:16" x14ac:dyDescent="0.25">
      <c r="A80" s="1">
        <v>100001338</v>
      </c>
      <c r="B80" s="124"/>
      <c r="C80" s="337"/>
      <c r="D80" s="337"/>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3">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4" xml:space="preserve"> PRODUCT(SUM(G89,J89),D89)</f>
        <v>0</v>
      </c>
      <c r="O89" s="1">
        <f t="shared" ref="O89:O99" si="5">PRODUCT(SUM(H89:I89,K89:L89),D89)</f>
        <v>0</v>
      </c>
    </row>
    <row r="90" spans="1:15" x14ac:dyDescent="0.25">
      <c r="A90" s="1">
        <v>200008932</v>
      </c>
      <c r="B90" s="1" t="s">
        <v>588</v>
      </c>
      <c r="C90" s="1" t="s">
        <v>589</v>
      </c>
      <c r="D90" s="1">
        <v>110.36</v>
      </c>
      <c r="E90" s="1">
        <f t="shared" si="3"/>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4"/>
        <v>0</v>
      </c>
      <c r="O90" s="1">
        <f t="shared" si="5"/>
        <v>0</v>
      </c>
    </row>
    <row r="91" spans="1:15" x14ac:dyDescent="0.25">
      <c r="A91" s="1">
        <v>200008986</v>
      </c>
      <c r="B91" s="1" t="s">
        <v>590</v>
      </c>
      <c r="C91" s="1" t="s">
        <v>591</v>
      </c>
      <c r="D91" s="1">
        <v>117.44</v>
      </c>
      <c r="E91" s="1">
        <f t="shared" si="3"/>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4"/>
        <v>0</v>
      </c>
      <c r="O91" s="1">
        <f t="shared" si="5"/>
        <v>0</v>
      </c>
    </row>
    <row r="92" spans="1:15" x14ac:dyDescent="0.25">
      <c r="A92" s="1">
        <v>200008966</v>
      </c>
      <c r="B92" s="1" t="s">
        <v>592</v>
      </c>
      <c r="C92" s="1" t="s">
        <v>593</v>
      </c>
      <c r="D92" s="1">
        <v>144.24</v>
      </c>
      <c r="E92" s="1">
        <f t="shared" si="3"/>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4"/>
        <v>0</v>
      </c>
      <c r="O92" s="1">
        <f t="shared" si="5"/>
        <v>0</v>
      </c>
    </row>
    <row r="93" spans="1:15" x14ac:dyDescent="0.25">
      <c r="A93" s="1">
        <v>200009011</v>
      </c>
      <c r="B93" s="1" t="s">
        <v>594</v>
      </c>
      <c r="C93" s="1" t="s">
        <v>595</v>
      </c>
      <c r="D93" s="1">
        <v>216.02</v>
      </c>
      <c r="E93" s="1">
        <f t="shared" si="3"/>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4"/>
        <v>0</v>
      </c>
      <c r="O93" s="1">
        <f t="shared" si="5"/>
        <v>0</v>
      </c>
    </row>
    <row r="94" spans="1:15" x14ac:dyDescent="0.25">
      <c r="A94" s="1">
        <v>200008988</v>
      </c>
      <c r="B94" s="1" t="s">
        <v>596</v>
      </c>
      <c r="C94" s="1" t="s">
        <v>597</v>
      </c>
      <c r="D94" s="1">
        <v>225.68</v>
      </c>
      <c r="E94" s="1">
        <f t="shared" si="3"/>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4"/>
        <v>0</v>
      </c>
      <c r="O94" s="1">
        <f t="shared" si="5"/>
        <v>0</v>
      </c>
    </row>
    <row r="95" spans="1:15" x14ac:dyDescent="0.25">
      <c r="A95" s="1">
        <v>200008997</v>
      </c>
      <c r="B95" s="1" t="s">
        <v>598</v>
      </c>
      <c r="C95" s="1" t="s">
        <v>599</v>
      </c>
      <c r="D95" s="1">
        <v>230.56</v>
      </c>
      <c r="E95" s="1">
        <f t="shared" si="3"/>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4"/>
        <v>0</v>
      </c>
      <c r="O95" s="1">
        <f t="shared" si="5"/>
        <v>0</v>
      </c>
    </row>
    <row r="96" spans="1:15" x14ac:dyDescent="0.25">
      <c r="A96" s="1">
        <v>200008992</v>
      </c>
      <c r="B96" s="1" t="s">
        <v>600</v>
      </c>
      <c r="C96" s="1" t="s">
        <v>601</v>
      </c>
      <c r="D96" s="1">
        <v>237.77</v>
      </c>
      <c r="E96" s="1">
        <f t="shared" si="3"/>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4"/>
        <v>0</v>
      </c>
      <c r="O96" s="1">
        <f t="shared" si="5"/>
        <v>0</v>
      </c>
    </row>
    <row r="97" spans="1:15" x14ac:dyDescent="0.25">
      <c r="A97" s="1">
        <v>200009013</v>
      </c>
      <c r="B97" s="1" t="s">
        <v>602</v>
      </c>
      <c r="C97" s="1" t="s">
        <v>603</v>
      </c>
      <c r="D97" s="1">
        <v>240.68</v>
      </c>
      <c r="E97" s="1">
        <f t="shared" si="3"/>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4"/>
        <v>0</v>
      </c>
      <c r="O97" s="1">
        <f t="shared" si="5"/>
        <v>0</v>
      </c>
    </row>
    <row r="98" spans="1:15" x14ac:dyDescent="0.25">
      <c r="A98" s="1">
        <v>200008927</v>
      </c>
      <c r="B98" s="1" t="s">
        <v>604</v>
      </c>
      <c r="C98" s="1" t="s">
        <v>605</v>
      </c>
      <c r="D98" s="1">
        <v>245.73</v>
      </c>
      <c r="E98" s="1">
        <f t="shared" si="3"/>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4"/>
        <v>0</v>
      </c>
      <c r="O98" s="1">
        <f t="shared" si="5"/>
        <v>0</v>
      </c>
    </row>
    <row r="99" spans="1:15" x14ac:dyDescent="0.25">
      <c r="A99" s="1">
        <v>200008934</v>
      </c>
      <c r="B99" s="1" t="s">
        <v>606</v>
      </c>
      <c r="C99" s="1" t="s">
        <v>607</v>
      </c>
      <c r="D99" s="1">
        <v>239.38</v>
      </c>
      <c r="E99" s="1">
        <f t="shared" si="3"/>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5"/>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6">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7" xml:space="preserve"> PRODUCT(G101,,D101)</f>
        <v>0</v>
      </c>
      <c r="O101" s="1">
        <f t="shared" ref="O101:O111" si="8">PRODUCT(SUM(H101:I101),D101)</f>
        <v>0</v>
      </c>
    </row>
    <row r="102" spans="1:15" x14ac:dyDescent="0.25">
      <c r="A102" s="1">
        <v>200008998</v>
      </c>
      <c r="B102" s="1" t="s">
        <v>612</v>
      </c>
      <c r="C102" s="1" t="s">
        <v>613</v>
      </c>
      <c r="D102" s="1">
        <v>136.94999999999999</v>
      </c>
      <c r="E102" s="1">
        <f t="shared" si="6"/>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7"/>
        <v>0</v>
      </c>
      <c r="O102" s="1">
        <f t="shared" si="8"/>
        <v>0</v>
      </c>
    </row>
    <row r="103" spans="1:15" x14ac:dyDescent="0.25">
      <c r="A103" s="1">
        <v>200008991</v>
      </c>
      <c r="B103" s="1" t="s">
        <v>614</v>
      </c>
      <c r="C103" s="1" t="s">
        <v>615</v>
      </c>
      <c r="D103" s="1">
        <v>144.82</v>
      </c>
      <c r="E103" s="1">
        <f t="shared" si="6"/>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7"/>
        <v>0</v>
      </c>
      <c r="O103" s="1">
        <f t="shared" si="8"/>
        <v>0</v>
      </c>
    </row>
    <row r="104" spans="1:15" x14ac:dyDescent="0.25">
      <c r="A104" s="1">
        <v>200008935</v>
      </c>
      <c r="B104" s="1" t="s">
        <v>616</v>
      </c>
      <c r="C104" s="1" t="s">
        <v>617</v>
      </c>
      <c r="D104" s="1">
        <v>172.4</v>
      </c>
      <c r="E104" s="1">
        <f t="shared" si="6"/>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7"/>
        <v>0</v>
      </c>
      <c r="O104" s="1">
        <f t="shared" si="8"/>
        <v>0</v>
      </c>
    </row>
    <row r="105" spans="1:15" x14ac:dyDescent="0.25">
      <c r="A105" s="1">
        <v>200008924</v>
      </c>
      <c r="B105" s="1" t="s">
        <v>618</v>
      </c>
      <c r="C105" s="1" t="s">
        <v>619</v>
      </c>
      <c r="D105" s="1">
        <v>252.23</v>
      </c>
      <c r="E105" s="1">
        <f t="shared" si="6"/>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7"/>
        <v>0</v>
      </c>
      <c r="O105" s="1">
        <f t="shared" si="8"/>
        <v>0</v>
      </c>
    </row>
    <row r="106" spans="1:15" x14ac:dyDescent="0.25">
      <c r="A106" s="1">
        <v>200009010</v>
      </c>
      <c r="B106" s="1" t="s">
        <v>620</v>
      </c>
      <c r="C106" s="1" t="s">
        <v>621</v>
      </c>
      <c r="D106" s="1">
        <v>262.95999999999998</v>
      </c>
      <c r="E106" s="1">
        <f t="shared" si="6"/>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7"/>
        <v>0</v>
      </c>
      <c r="O106" s="1">
        <f t="shared" si="8"/>
        <v>0</v>
      </c>
    </row>
    <row r="107" spans="1:15" x14ac:dyDescent="0.25">
      <c r="A107" s="1">
        <v>200008946</v>
      </c>
      <c r="B107" s="1" t="s">
        <v>622</v>
      </c>
      <c r="C107" s="1" t="s">
        <v>623</v>
      </c>
      <c r="D107" s="1">
        <v>274.95</v>
      </c>
      <c r="E107" s="1">
        <f t="shared" si="6"/>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7"/>
        <v>0</v>
      </c>
      <c r="O107" s="1">
        <f t="shared" si="8"/>
        <v>0</v>
      </c>
    </row>
    <row r="108" spans="1:15" x14ac:dyDescent="0.25">
      <c r="A108" s="1">
        <v>200008972</v>
      </c>
      <c r="B108" s="1" t="s">
        <v>624</v>
      </c>
      <c r="C108" s="1" t="s">
        <v>625</v>
      </c>
      <c r="D108" s="1">
        <v>285.31</v>
      </c>
      <c r="E108" s="1">
        <f t="shared" si="6"/>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7"/>
        <v>0</v>
      </c>
      <c r="O108" s="1">
        <f t="shared" si="8"/>
        <v>0</v>
      </c>
    </row>
    <row r="109" spans="1:15" x14ac:dyDescent="0.25">
      <c r="A109" s="1">
        <v>200008930</v>
      </c>
      <c r="B109" s="1" t="s">
        <v>626</v>
      </c>
      <c r="C109" s="1" t="s">
        <v>627</v>
      </c>
      <c r="D109" s="1">
        <v>295.66000000000003</v>
      </c>
      <c r="E109" s="1">
        <f t="shared" si="6"/>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7"/>
        <v>0</v>
      </c>
      <c r="O109" s="1">
        <f t="shared" si="8"/>
        <v>0</v>
      </c>
    </row>
    <row r="110" spans="1:15" x14ac:dyDescent="0.25">
      <c r="A110" s="1">
        <v>200008957</v>
      </c>
      <c r="B110" s="1" t="s">
        <v>628</v>
      </c>
      <c r="C110" s="1" t="s">
        <v>629</v>
      </c>
      <c r="D110" s="1">
        <v>306.02</v>
      </c>
      <c r="E110" s="1">
        <f t="shared" si="6"/>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7"/>
        <v>0</v>
      </c>
      <c r="O110" s="1">
        <f t="shared" si="8"/>
        <v>0</v>
      </c>
    </row>
    <row r="111" spans="1:15" x14ac:dyDescent="0.25">
      <c r="A111" s="1">
        <v>200008928</v>
      </c>
      <c r="B111" s="1" t="s">
        <v>630</v>
      </c>
      <c r="C111" s="1" t="s">
        <v>631</v>
      </c>
      <c r="D111" s="1">
        <v>316.38</v>
      </c>
      <c r="E111" s="1">
        <f t="shared" si="6"/>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7"/>
        <v>0</v>
      </c>
      <c r="O111" s="1">
        <f t="shared" si="8"/>
        <v>0</v>
      </c>
    </row>
    <row r="112" spans="1:15" x14ac:dyDescent="0.25">
      <c r="A112" s="1">
        <v>200008951</v>
      </c>
      <c r="B112" s="1" t="s">
        <v>632</v>
      </c>
      <c r="C112" s="1" t="s">
        <v>633</v>
      </c>
      <c r="D112" s="1">
        <v>159.41</v>
      </c>
      <c r="E112" s="1">
        <f t="shared" si="6"/>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6"/>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9" xml:space="preserve"> PRODUCT(G113,,D113)</f>
        <v>0</v>
      </c>
      <c r="O113" s="1">
        <f t="shared" ref="O113:O123" si="10">PRODUCT(SUM(H113:I113),D113)</f>
        <v>0</v>
      </c>
    </row>
    <row r="114" spans="1:15" x14ac:dyDescent="0.25">
      <c r="A114" s="1">
        <v>200008922</v>
      </c>
      <c r="B114" s="1" t="s">
        <v>636</v>
      </c>
      <c r="C114" s="1" t="s">
        <v>637</v>
      </c>
      <c r="D114" s="1">
        <v>165.84</v>
      </c>
      <c r="E114" s="1">
        <f t="shared" si="6"/>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9"/>
        <v>0</v>
      </c>
      <c r="O114" s="1">
        <f t="shared" si="10"/>
        <v>0</v>
      </c>
    </row>
    <row r="115" spans="1:15" x14ac:dyDescent="0.25">
      <c r="A115" s="1">
        <v>200008933</v>
      </c>
      <c r="B115" s="1" t="s">
        <v>638</v>
      </c>
      <c r="C115" s="1" t="s">
        <v>639</v>
      </c>
      <c r="D115" s="1">
        <v>174.41</v>
      </c>
      <c r="E115" s="1">
        <f t="shared" si="6"/>
        <v>1</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1</v>
      </c>
      <c r="N115" s="1">
        <f t="shared" si="9"/>
        <v>0</v>
      </c>
      <c r="O115" s="1">
        <f t="shared" si="10"/>
        <v>174.41</v>
      </c>
    </row>
    <row r="116" spans="1:15" x14ac:dyDescent="0.25">
      <c r="A116" s="1">
        <v>200008984</v>
      </c>
      <c r="B116" s="1" t="s">
        <v>640</v>
      </c>
      <c r="C116" s="1" t="s">
        <v>641</v>
      </c>
      <c r="D116" s="1">
        <v>202.72</v>
      </c>
      <c r="E116" s="1">
        <f t="shared" si="6"/>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9"/>
        <v>0</v>
      </c>
      <c r="O116" s="1">
        <f t="shared" si="10"/>
        <v>0</v>
      </c>
    </row>
    <row r="117" spans="1:15" x14ac:dyDescent="0.25">
      <c r="A117" s="1">
        <v>200008977</v>
      </c>
      <c r="B117" s="1" t="s">
        <v>642</v>
      </c>
      <c r="C117" s="1" t="s">
        <v>643</v>
      </c>
      <c r="D117" s="1">
        <v>291.89999999999998</v>
      </c>
      <c r="E117" s="1">
        <f t="shared" si="6"/>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9"/>
        <v>0</v>
      </c>
      <c r="O117" s="1">
        <f t="shared" si="10"/>
        <v>0</v>
      </c>
    </row>
    <row r="118" spans="1:15" x14ac:dyDescent="0.25">
      <c r="A118" s="1">
        <v>200009004</v>
      </c>
      <c r="B118" s="1" t="s">
        <v>644</v>
      </c>
      <c r="C118" s="1" t="s">
        <v>645</v>
      </c>
      <c r="D118" s="1">
        <v>303.63</v>
      </c>
      <c r="E118" s="1">
        <f t="shared" si="6"/>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9"/>
        <v>0</v>
      </c>
      <c r="O118" s="1">
        <f t="shared" si="10"/>
        <v>0</v>
      </c>
    </row>
    <row r="119" spans="1:15" x14ac:dyDescent="0.25">
      <c r="A119" s="1">
        <v>200008956</v>
      </c>
      <c r="B119" s="1" t="s">
        <v>646</v>
      </c>
      <c r="C119" s="1" t="s">
        <v>647</v>
      </c>
      <c r="D119" s="1">
        <v>325.5</v>
      </c>
      <c r="E119" s="1">
        <f t="shared" si="6"/>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9"/>
        <v>0</v>
      </c>
      <c r="O119" s="1">
        <f t="shared" si="10"/>
        <v>0</v>
      </c>
    </row>
    <row r="120" spans="1:15" x14ac:dyDescent="0.25">
      <c r="A120" s="1">
        <v>200008987</v>
      </c>
      <c r="B120" s="1" t="s">
        <v>648</v>
      </c>
      <c r="C120" s="1" t="s">
        <v>649</v>
      </c>
      <c r="D120" s="1">
        <v>337.24</v>
      </c>
      <c r="E120" s="1">
        <f t="shared" si="6"/>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9"/>
        <v>0</v>
      </c>
      <c r="O120" s="1">
        <f t="shared" si="10"/>
        <v>0</v>
      </c>
    </row>
    <row r="121" spans="1:15" x14ac:dyDescent="0.25">
      <c r="A121" s="1">
        <v>200008978</v>
      </c>
      <c r="B121" s="1" t="s">
        <v>650</v>
      </c>
      <c r="C121" s="1" t="s">
        <v>651</v>
      </c>
      <c r="D121" s="1">
        <v>348.97</v>
      </c>
      <c r="E121" s="1">
        <f t="shared" si="6"/>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9"/>
        <v>0</v>
      </c>
      <c r="O121" s="1">
        <f t="shared" si="10"/>
        <v>0</v>
      </c>
    </row>
    <row r="122" spans="1:15" x14ac:dyDescent="0.25">
      <c r="A122" s="1">
        <v>200009005</v>
      </c>
      <c r="B122" s="1" t="s">
        <v>652</v>
      </c>
      <c r="C122" s="1" t="s">
        <v>653</v>
      </c>
      <c r="D122" s="1">
        <v>360.69</v>
      </c>
      <c r="E122" s="1">
        <f t="shared" si="6"/>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9"/>
        <v>0</v>
      </c>
      <c r="O122" s="1">
        <f t="shared" si="10"/>
        <v>0</v>
      </c>
    </row>
    <row r="123" spans="1:15" x14ac:dyDescent="0.25">
      <c r="A123" s="1">
        <v>200008937</v>
      </c>
      <c r="B123" s="1" t="s">
        <v>654</v>
      </c>
      <c r="C123" s="1" t="s">
        <v>655</v>
      </c>
      <c r="D123" s="1">
        <v>372.43</v>
      </c>
      <c r="E123" s="1">
        <f t="shared" si="6"/>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9"/>
        <v>0</v>
      </c>
      <c r="O123" s="1">
        <f t="shared" si="10"/>
        <v>0</v>
      </c>
    </row>
    <row r="124" spans="1:15" x14ac:dyDescent="0.25">
      <c r="A124" s="1">
        <v>200008943</v>
      </c>
      <c r="B124" s="1" t="s">
        <v>656</v>
      </c>
      <c r="C124" s="1" t="s">
        <v>657</v>
      </c>
      <c r="D124" s="1">
        <v>213.81</v>
      </c>
      <c r="E124" s="1">
        <f t="shared" si="6"/>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6"/>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1" xml:space="preserve"> PRODUCT(G125,,D125)</f>
        <v>0</v>
      </c>
      <c r="O125" s="1">
        <f t="shared" ref="O125:O135" si="12">PRODUCT(SUM(H125:I125),D125)</f>
        <v>0</v>
      </c>
    </row>
    <row r="126" spans="1:15" x14ac:dyDescent="0.25">
      <c r="A126" s="1">
        <v>200009007</v>
      </c>
      <c r="B126" s="1" t="s">
        <v>660</v>
      </c>
      <c r="C126" s="1" t="s">
        <v>661</v>
      </c>
      <c r="D126" s="1">
        <v>221.39</v>
      </c>
      <c r="E126" s="1">
        <f t="shared" si="6"/>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1"/>
        <v>0</v>
      </c>
      <c r="O126" s="1">
        <f t="shared" si="12"/>
        <v>0</v>
      </c>
    </row>
    <row r="127" spans="1:15" x14ac:dyDescent="0.25">
      <c r="A127" s="1">
        <v>200009014</v>
      </c>
      <c r="B127" s="1" t="s">
        <v>662</v>
      </c>
      <c r="C127" s="1" t="s">
        <v>663</v>
      </c>
      <c r="D127" s="1">
        <v>231.52</v>
      </c>
      <c r="E127" s="1">
        <f t="shared" si="6"/>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1"/>
        <v>0</v>
      </c>
      <c r="O127" s="1">
        <f t="shared" si="12"/>
        <v>0</v>
      </c>
    </row>
    <row r="128" spans="1:15" x14ac:dyDescent="0.25">
      <c r="A128" s="1">
        <v>200009000</v>
      </c>
      <c r="B128" s="1" t="s">
        <v>664</v>
      </c>
      <c r="C128" s="1" t="s">
        <v>665</v>
      </c>
      <c r="D128" s="1">
        <v>261.44</v>
      </c>
      <c r="E128" s="1">
        <f t="shared" si="6"/>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1"/>
        <v>0</v>
      </c>
      <c r="O128" s="1">
        <f t="shared" si="12"/>
        <v>0</v>
      </c>
    </row>
    <row r="129" spans="1:15" x14ac:dyDescent="0.25">
      <c r="A129" s="1">
        <v>200008944</v>
      </c>
      <c r="B129" s="1" t="s">
        <v>666</v>
      </c>
      <c r="C129" s="1" t="s">
        <v>667</v>
      </c>
      <c r="D129" s="1">
        <v>321.73</v>
      </c>
      <c r="E129" s="1">
        <f t="shared" si="6"/>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1"/>
        <v>0</v>
      </c>
      <c r="O129" s="1">
        <f t="shared" si="12"/>
        <v>0</v>
      </c>
    </row>
    <row r="130" spans="1:15" x14ac:dyDescent="0.25">
      <c r="A130" s="1">
        <v>200008996</v>
      </c>
      <c r="B130" s="1" t="s">
        <v>668</v>
      </c>
      <c r="C130" s="1" t="s">
        <v>669</v>
      </c>
      <c r="D130" s="1">
        <v>333.55</v>
      </c>
      <c r="E130" s="1">
        <f t="shared" si="6"/>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1"/>
        <v>0</v>
      </c>
      <c r="O130" s="1">
        <f t="shared" si="12"/>
        <v>0</v>
      </c>
    </row>
    <row r="131" spans="1:15" x14ac:dyDescent="0.25">
      <c r="A131" s="1">
        <v>200008962</v>
      </c>
      <c r="B131" s="1" t="s">
        <v>670</v>
      </c>
      <c r="C131" s="1" t="s">
        <v>671</v>
      </c>
      <c r="D131" s="1">
        <v>353.96</v>
      </c>
      <c r="E131" s="1">
        <f t="shared" si="6"/>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1"/>
        <v>0</v>
      </c>
      <c r="O131" s="1">
        <f t="shared" si="12"/>
        <v>0</v>
      </c>
    </row>
    <row r="132" spans="1:15" x14ac:dyDescent="0.25">
      <c r="A132" s="1">
        <v>200009001</v>
      </c>
      <c r="B132" s="1" t="s">
        <v>672</v>
      </c>
      <c r="C132" s="1" t="s">
        <v>673</v>
      </c>
      <c r="D132" s="1">
        <v>372.5</v>
      </c>
      <c r="E132" s="1">
        <f t="shared" si="6"/>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1"/>
        <v>0</v>
      </c>
      <c r="O132" s="1">
        <f t="shared" si="12"/>
        <v>0</v>
      </c>
    </row>
    <row r="133" spans="1:15" x14ac:dyDescent="0.25">
      <c r="A133" s="1">
        <v>200008931</v>
      </c>
      <c r="B133" s="1" t="s">
        <v>674</v>
      </c>
      <c r="C133" s="1" t="s">
        <v>675</v>
      </c>
      <c r="D133" s="1">
        <v>391.56</v>
      </c>
      <c r="E133" s="1">
        <f t="shared" si="6"/>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1"/>
        <v>0</v>
      </c>
      <c r="O133" s="1">
        <f t="shared" si="12"/>
        <v>0</v>
      </c>
    </row>
    <row r="134" spans="1:15" x14ac:dyDescent="0.25">
      <c r="A134" s="1">
        <v>200008980</v>
      </c>
      <c r="B134" s="1" t="s">
        <v>676</v>
      </c>
      <c r="C134" s="1" t="s">
        <v>677</v>
      </c>
      <c r="D134" s="1">
        <v>411.15</v>
      </c>
      <c r="E134" s="1">
        <f t="shared" si="6"/>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1"/>
        <v>0</v>
      </c>
      <c r="O134" s="1">
        <f t="shared" si="12"/>
        <v>0</v>
      </c>
    </row>
    <row r="135" spans="1:15" x14ac:dyDescent="0.25">
      <c r="A135" s="1">
        <v>200008989</v>
      </c>
      <c r="B135" s="1" t="s">
        <v>678</v>
      </c>
      <c r="C135" s="1" t="s">
        <v>679</v>
      </c>
      <c r="D135" s="1">
        <v>431.26</v>
      </c>
      <c r="E135" s="1">
        <f t="shared" si="6"/>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1"/>
        <v>0</v>
      </c>
      <c r="O135" s="1">
        <f t="shared" si="12"/>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B70" sqref="B70"/>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816</v>
      </c>
      <c r="D2" s="340" t="s">
        <v>681</v>
      </c>
      <c r="E2" s="341"/>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53</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5</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21</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4</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50</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v>4</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18</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6</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3</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2</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11</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2</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11</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20</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5</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37</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5</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2</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1</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1</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4</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2</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1</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4316</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34</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2" t="s">
        <v>697</v>
      </c>
      <c r="C73" s="343"/>
      <c r="D73" s="344"/>
      <c r="E73" s="338" t="s">
        <v>698</v>
      </c>
      <c r="F73" s="339"/>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disablePrompts="1"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2.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BRITO, YULIET</cp:lastModifiedBy>
  <cp:revision/>
  <dcterms:created xsi:type="dcterms:W3CDTF">2014-08-28T14:25:03Z</dcterms:created>
  <dcterms:modified xsi:type="dcterms:W3CDTF">2024-07-10T16:03:32Z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