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2 -A02SSE0 (F2)- ALABAMA\ATT_QC1\"/>
    </mc:Choice>
  </mc:AlternateContent>
  <xr:revisionPtr revIDLastSave="0" documentId="13_ncr:1_{B371F3BB-A162-42A4-90FC-4C26843B7055}" xr6:coauthVersionLast="47" xr6:coauthVersionMax="47" xr10:uidLastSave="{00000000-0000-0000-0000-000000000000}"/>
  <bookViews>
    <workbookView xWindow="-120" yWindow="-120" windowWidth="29040" windowHeight="15840" tabRatio="769"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33" i="29"/>
  <c r="J532" i="29"/>
  <c r="J531" i="29"/>
  <c r="J530" i="29"/>
  <c r="J529" i="29"/>
  <c r="J528" i="29"/>
  <c r="J527" i="29"/>
  <c r="J526" i="29"/>
  <c r="J525" i="29"/>
  <c r="J524" i="29"/>
  <c r="J523" i="29"/>
  <c r="J522" i="29"/>
  <c r="J521" i="29"/>
  <c r="J520" i="29"/>
  <c r="J519" i="29"/>
  <c r="J518" i="29"/>
  <c r="J517" i="29"/>
  <c r="J516" i="29"/>
  <c r="J515" i="29"/>
  <c r="J514" i="29"/>
  <c r="J511" i="29"/>
  <c r="J510" i="29"/>
  <c r="J492" i="29"/>
  <c r="J491" i="29"/>
  <c r="J490" i="29"/>
  <c r="J489" i="29"/>
  <c r="J488" i="29"/>
  <c r="J487" i="29"/>
  <c r="J486" i="29"/>
  <c r="J485" i="29"/>
  <c r="J484" i="29"/>
  <c r="J483" i="29"/>
  <c r="J482" i="29"/>
  <c r="J481" i="29"/>
  <c r="J480" i="29"/>
  <c r="J479" i="29"/>
  <c r="J478" i="29"/>
  <c r="J477" i="29"/>
  <c r="J476" i="29"/>
  <c r="J475" i="29"/>
  <c r="J474" i="29"/>
  <c r="J473"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381" i="29" l="1"/>
  <c r="Z735" i="29"/>
  <c r="I500" i="29"/>
  <c r="I459" i="29"/>
  <c r="Z360" i="29"/>
  <c r="AK471" i="29"/>
  <c r="S17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L3" i="34" l="1"/>
  <c r="CK3" i="34" s="1"/>
  <c r="CK2" i="34" s="1"/>
  <c r="CL5" i="34"/>
  <c r="CG5" i="34"/>
  <c r="CB3" i="34"/>
  <c r="BW3" i="34"/>
  <c r="BV3" i="34" s="1"/>
  <c r="BV2" i="34" s="1"/>
  <c r="BR3" i="34"/>
  <c r="BQ3" i="34" s="1"/>
  <c r="L542" i="29" s="1"/>
  <c r="BM3" i="34"/>
  <c r="BH3" i="34"/>
  <c r="BG3" i="34" s="1"/>
  <c r="BG2" i="34" s="1"/>
  <c r="BH5" i="34"/>
  <c r="AX3" i="34"/>
  <c r="AS3" i="34"/>
  <c r="FC3" i="34"/>
  <c r="FC2" i="34" s="1"/>
  <c r="EN3" i="34"/>
  <c r="L1157" i="29" s="1"/>
  <c r="DY3" i="34"/>
  <c r="L1034" i="29" s="1"/>
  <c r="DT3" i="34"/>
  <c r="DT2" i="34" s="1"/>
  <c r="DE3" i="34"/>
  <c r="L870" i="29" s="1"/>
  <c r="CZ3" i="34"/>
  <c r="CZ2" i="34" s="1"/>
  <c r="CU3" i="34"/>
  <c r="L788" i="29" s="1"/>
  <c r="CP3" i="34"/>
  <c r="CP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CA3" i="34" l="1"/>
  <c r="CA2" i="34" s="1"/>
  <c r="BL3" i="34"/>
  <c r="BL2" i="34" s="1"/>
  <c r="AM3" i="34"/>
  <c r="AM2" i="34" s="1"/>
  <c r="AW3" i="34"/>
  <c r="L378" i="29" s="1"/>
  <c r="AR3" i="34"/>
  <c r="L337" i="29"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624" i="29" l="1"/>
  <c r="L501" i="29"/>
  <c r="L296" i="29"/>
  <c r="AR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707" i="29" l="1"/>
  <c r="Q625" i="29"/>
  <c r="Q584" i="29"/>
  <c r="V502" i="29"/>
  <c r="Q461" i="29"/>
  <c r="Q420" i="29"/>
  <c r="V338" i="29"/>
  <c r="V297"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N338" i="29" s="1"/>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X622" i="29"/>
  <c r="AU624"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V706" i="29" s="1"/>
  <c r="AS704" i="29"/>
  <c r="AV704" i="29" s="1"/>
  <c r="AS705" i="29"/>
  <c r="AV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S622" i="29"/>
  <c r="AS623" i="29"/>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J721" i="29" s="1"/>
  <c r="BA719" i="29"/>
  <c r="J720" i="29" s="1"/>
  <c r="BA718" i="29"/>
  <c r="J719" i="29" s="1"/>
  <c r="BA717" i="29"/>
  <c r="J718" i="29" s="1"/>
  <c r="BA716" i="29"/>
  <c r="J717" i="29" s="1"/>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J472" i="29" s="1"/>
  <c r="BA470" i="29"/>
  <c r="J471" i="29" s="1"/>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W622" i="29" l="1"/>
  <c r="AV622" i="29"/>
  <c r="AW624" i="29"/>
  <c r="AV624" i="29"/>
  <c r="AW623" i="29"/>
  <c r="AV623" i="29"/>
  <c r="AX583" i="29"/>
  <c r="AV583" i="29"/>
  <c r="AX581" i="29"/>
  <c r="AV581" i="29"/>
  <c r="AX582" i="29"/>
  <c r="AV582" i="29"/>
  <c r="AU459" i="29"/>
  <c r="AV459" i="29"/>
  <c r="AU458" i="29"/>
  <c r="AV458" i="29"/>
  <c r="AU460" i="29"/>
  <c r="AV460"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<sst xmlns="http://schemas.openxmlformats.org/spreadsheetml/2006/main" count="7943" uniqueCount="818">
  <si>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</si>
  <si>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</si>
  <si>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</si>
  <si>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</si>
  <si>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</si>
  <si>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</si>
  <si>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</si>
  <si>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</si>
  <si>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</si>
  <si>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</si>
  <si>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</si>
  <si>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</si>
  <si>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</si>
  <si>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</si>
  <si>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</si>
  <si>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</si>
  <si>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</si>
  <si>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</si>
  <si>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</si>
  <si>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</si>
  <si>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</si>
  <si>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</si>
  <si>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</si>
  <si>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</si>
  <si>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</si>
  <si>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</si>
  <si>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</si>
  <si>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</si>
  <si>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</si>
  <si>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</si>
  <si>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</si>
  <si>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</si>
  <si>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</si>
  <si>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</si>
  <si>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</si>
  <si>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</si>
  <si>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</si>
  <si>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</si>
  <si>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</si>
  <si>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</si>
  <si>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</si>
  <si>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</si>
  <si>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</si>
  <si>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</si>
  <si>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</si>
  <si>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</si>
  <si>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</si>
  <si>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</si>
  <si>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</si>
  <si>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</si>
  <si>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</si>
  <si>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</si>
  <si>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</si>
  <si>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</si>
  <si>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</si>
  <si>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</si>
  <si>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</si>
  <si>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</si>
  <si>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</si>
  <si>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</si>
  <si>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</si>
  <si>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</si>
  <si>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</si>
  <si>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</si>
  <si>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</si>
  <si>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</si>
  <si>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</si>
  <si>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</si>
  <si>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</si>
  <si>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</si>
  <si>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</si>
  <si>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</si>
  <si>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</si>
  <si>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</si>
  <si>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</si>
  <si>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</si>
  <si>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</si>
  <si>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</si>
  <si>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</si>
  <si>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</si>
  <si>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</si>
  <si>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</si>
  <si>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</si>
  <si>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</si>
  <si>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</si>
  <si>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</si>
  <si>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</si>
  <si>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</si>
  <si>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</si>
  <si>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</si>
  <si>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</si>
  <si>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</si>
  <si>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</si>
  <si>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</si>
  <si>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</si>
  <si>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</si>
  <si>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</si>
  <si>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</si>
  <si>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</si>
  <si>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</si>
  <si>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</si>
  <si>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</si>
  <si>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</si>
  <si>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</si>
  <si>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</si>
  <si>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</si>
  <si>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</si>
  <si>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</si>
  <si>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</si>
  <si>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</si>
  <si>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</si>
  <si>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</si>
  <si>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</si>
  <si>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</si>
  <si>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</si>
  <si>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</si>
  <si>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</si>
  <si>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</si>
  <si>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</si>
  <si>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</si>
  <si>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</si>
  <si>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</si>
  <si>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</si>
  <si>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</si>
  <si>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</si>
  <si>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</si>
  <si>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</si>
  <si>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</si>
  <si>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</si>
  <si>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</si>
  <si>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</si>
  <si>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</si>
  <si>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</si>
  <si>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</si>
  <si>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</si>
  <si>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</si>
  <si>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</si>
  <si>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</si>
  <si>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</si>
  <si>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</si>
  <si>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</si>
  <si>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</si>
  <si>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</si>
  <si>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</si>
  <si>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</si>
  <si>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</si>
  <si>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</si>
  <si>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</si>
  <si>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</si>
  <si>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</si>
  <si>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</si>
  <si>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</si>
  <si>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</si>
  <si>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</si>
  <si>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</si>
  <si>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</si>
  <si>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</si>
  <si>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</si>
  <si>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</si>
  <si>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</si>
  <si>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</si>
  <si>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</si>
  <si>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</si>
  <si>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</si>
  <si>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</si>
  <si>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</si>
  <si>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</si>
  <si>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</si>
  <si>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</si>
  <si>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</si>
  <si>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</si>
  <si>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</si>
  <si>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</si>
  <si>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</si>
  <si>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</si>
  <si>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</si>
  <si>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</si>
  <si>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</si>
  <si>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</si>
  <si>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</si>
  <si>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</si>
  <si>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</si>
  <si>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</si>
  <si>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</si>
  <si>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</si>
  <si>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</si>
  <si>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</si>
  <si>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</si>
  <si>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</si>
  <si>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</si>
  <si>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</si>
  <si>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</si>
  <si>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</si>
  <si>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</si>
  <si>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</si>
  <si>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</si>
  <si>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</si>
  <si>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</si>
  <si>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</si>
  <si>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</si>
  <si>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</si>
  <si>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</si>
  <si>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</si>
  <si>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</si>
  <si>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</si>
  <si>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</si>
  <si>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</si>
  <si>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</si>
  <si>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</si>
  <si>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</si>
  <si>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</si>
  <si>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</si>
  <si>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</si>
  <si>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</si>
  <si>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</si>
  <si>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</si>
  <si>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</si>
  <si>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</si>
  <si>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</si>
  <si>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</si>
  <si>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</si>
  <si>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</si>
  <si>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</si>
  <si>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</si>
  <si>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</si>
  <si>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</si>
  <si>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</si>
  <si>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</si>
  <si>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</si>
  <si>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</si>
  <si>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</si>
  <si>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</si>
  <si>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</si>
  <si>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</si>
  <si>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</si>
  <si>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</si>
  <si>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</si>
  <si>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</si>
  <si>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</si>
  <si>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</si>
  <si>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</si>
  <si>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</si>
  <si>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</si>
  <si>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</si>
  <si>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</si>
  <si>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</si>
  <si>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</si>
  <si>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</si>
  <si>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</si>
  <si>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</si>
  <si>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</si>
  <si>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</si>
  <si>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</si>
  <si>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</si>
  <si>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</si>
  <si>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</si>
  <si>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</si>
  <si>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</si>
  <si>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</si>
  <si>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</si>
  <si>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</si>
  <si>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</si>
  <si>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</si>
  <si>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</si>
  <si>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</si>
  <si>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</si>
  <si>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</si>
  <si>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</si>
  <si>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</si>
  <si>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</si>
  <si>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</si>
  <si>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</si>
  <si>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</si>
  <si>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</si>
  <si>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</si>
  <si>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</si>
  <si>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</si>
  <si>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</si>
  <si>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</si>
  <si>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</si>
  <si>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</si>
  <si>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</si>
  <si>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</si>
  <si>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</si>
  <si>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</si>
  <si>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</si>
  <si>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</si>
  <si>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</si>
  <si>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</si>
  <si>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</si>
  <si>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</si>
  <si>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</si>
  <si>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</si>
  <si>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</si>
  <si>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</si>
  <si>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</si>
  <si>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</si>
  <si>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</si>
  <si>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</si>
  <si>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</si>
  <si>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</si>
  <si>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</si>
  <si>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</si>
  <si>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</si>
  <si>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</si>
  <si>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</si>
  <si>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</si>
  <si>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</si>
  <si>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</si>
  <si>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</si>
  <si>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</si>
  <si>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</si>
  <si>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</si>
  <si>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</si>
  <si>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</si>
  <si>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</si>
  <si>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</si>
  <si>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</si>
  <si>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</si>
  <si>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</si>
  <si>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</si>
  <si>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</si>
  <si>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</si>
  <si>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</si>
  <si>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</si>
  <si>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</si>
  <si>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</si>
  <si>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</si>
  <si>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</si>
  <si>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</si>
  <si>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</si>
  <si>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</si>
  <si>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</si>
  <si>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</si>
  <si>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</si>
  <si>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</si>
  <si>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</si>
  <si>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</si>
  <si>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</si>
  <si>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</si>
  <si>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</si>
  <si>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</si>
  <si>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</si>
  <si>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</si>
  <si>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</si>
  <si>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</si>
  <si>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</si>
  <si>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</si>
  <si>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</si>
  <si>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</si>
  <si>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</si>
  <si>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</si>
  <si>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</si>
  <si>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</si>
  <si>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</si>
  <si>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</si>
  <si>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</si>
  <si>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</si>
  <si>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</si>
  <si>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</si>
  <si>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</si>
  <si>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</si>
  <si>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</si>
  <si>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</si>
  <si>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</si>
  <si>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</si>
  <si>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</si>
  <si>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</si>
  <si>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</si>
  <si>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</si>
  <si>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</si>
  <si>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</si>
  <si>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</si>
  <si>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</si>
  <si>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</si>
  <si>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</si>
  <si>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</si>
  <si>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</si>
  <si>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</si>
  <si>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</si>
  <si>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</si>
  <si>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</si>
  <si>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</si>
  <si>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</si>
  <si>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</si>
  <si>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</si>
  <si>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</si>
  <si>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</si>
  <si>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</si>
  <si>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</si>
  <si>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</si>
  <si>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</si>
  <si>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</si>
  <si>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</si>
  <si>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</si>
  <si>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</si>
  <si>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</si>
  <si>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</si>
  <si>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</si>
  <si>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</si>
  <si>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</si>
  <si>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</si>
  <si>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</si>
  <si>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</si>
  <si>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</si>
  <si>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</si>
  <si>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</si>
  <si>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</si>
  <si>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</si>
  <si>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</si>
  <si>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</si>
  <si>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</si>
  <si>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</si>
  <si>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</si>
  <si>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</si>
  <si>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</si>
  <si>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</si>
  <si>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</si>
  <si>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</si>
  <si>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</si>
  <si>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</si>
  <si>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</si>
  <si>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</si>
  <si>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</si>
  <si>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</si>
  <si>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</si>
  <si>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</si>
  <si>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</si>
  <si>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</si>
  <si>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</si>
  <si>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</si>
  <si>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</si>
  <si>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</si>
  <si>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</si>
  <si>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</si>
  <si>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</si>
  <si>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</si>
  <si>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</si>
  <si>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</si>
  <si>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</si>
  <si>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</si>
  <si>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</si>
  <si>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</si>
  <si>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</si>
  <si>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</si>
  <si>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</si>
  <si>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</si>
  <si>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</si>
  <si>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</si>
  <si>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</si>
  <si>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</si>
  <si>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</si>
  <si>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</si>
  <si>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</si>
  <si>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</si>
  <si>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</si>
  <si>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</si>
  <si>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</si>
  <si>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</si>
  <si>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</si>
  <si>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</si>
  <si>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</si>
  <si>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</si>
  <si>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</si>
  <si>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</si>
  <si>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</si>
  <si>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</si>
  <si>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</si>
  <si>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</si>
  <si>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</si>
  <si>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</si>
  <si>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</si>
  <si>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</si>
  <si>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</si>
  <si>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</si>
  <si>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</si>
  <si>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</si>
  <si>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</si>
  <si>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</si>
  <si>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</si>
  <si>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</si>
  <si>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</si>
  <si>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</si>
  <si>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</si>
  <si>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</si>
  <si>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</si>
  <si>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</si>
  <si>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</si>
  <si>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</si>
  <si>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</si>
  <si>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</si>
  <si>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</si>
  <si>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</si>
  <si>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</si>
  <si>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</si>
  <si>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</si>
  <si>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</si>
  <si>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</si>
  <si>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</si>
  <si>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</si>
  <si>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</si>
  <si>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</si>
  <si>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</si>
  <si>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</si>
  <si>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</si>
  <si>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</si>
  <si>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</si>
  <si>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</si>
  <si>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</si>
  <si>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</si>
  <si>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</si>
  <si>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</si>
  <si>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</si>
  <si>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</si>
  <si>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</si>
  <si>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</si>
  <si>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</si>
  <si>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</si>
  <si>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</si>
  <si>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</si>
  <si>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</si>
  <si>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</si>
  <si>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</si>
  <si>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</si>
  <si>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</si>
  <si>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</si>
  <si>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</si>
  <si>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</si>
  <si>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</si>
  <si>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</si>
  <si>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</si>
  <si>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</si>
  <si>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</si>
  <si>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</si>
  <si>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</si>
  <si>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</si>
  <si>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</si>
  <si>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</si>
  <si>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</si>
  <si>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</si>
  <si>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</si>
  <si>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</si>
  <si>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</si>
  <si>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</si>
  <si>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</si>
  <si>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</si>
  <si>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</si>
  <si>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</si>
  <si>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</si>
  <si>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</si>
  <si>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</si>
  <si>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</si>
  <si>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</si>
  <si>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</si>
  <si>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</si>
  <si>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</si>
  <si>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</si>
  <si>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</si>
  <si>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</si>
  <si>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</si>
  <si>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</si>
  <si>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</si>
  <si>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</si>
  <si>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</si>
  <si>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</si>
  <si>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</si>
  <si>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</si>
  <si>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</si>
  <si>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</si>
  <si>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</si>
  <si>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</si>
  <si>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</si>
  <si>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</si>
  <si>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</si>
  <si>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</si>
  <si>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</si>
  <si>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</si>
  <si>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</si>
  <si>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</si>
  <si>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</si>
  <si>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</si>
  <si>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</si>
  <si>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</si>
  <si>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</si>
  <si>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</si>
  <si>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</si>
  <si>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</si>
  <si>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</si>
  <si>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</si>
  <si>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</si>
  <si>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</si>
  <si>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</si>
  <si>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</si>
  <si>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</si>
  <si>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</si>
  <si>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</si>
  <si>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</si>
  <si>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</si>
  <si>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</si>
  <si>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</si>
  <si>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</si>
  <si>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</si>
  <si>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</si>
  <si>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</si>
  <si>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</si>
  <si>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</si>
  <si>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</si>
  <si>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</si>
  <si>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</si>
  <si>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</si>
  <si>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</si>
  <si>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</si>
  <si>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</si>
  <si>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</si>
  <si>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</si>
  <si>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</si>
  <si>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</si>
  <si>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</si>
  <si>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</si>
  <si>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</si>
  <si>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</si>
  <si>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</si>
  <si>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</si>
  <si>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</si>
  <si>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</si>
  <si>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</si>
  <si>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</si>
  <si>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</si>
  <si>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</si>
  <si>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</si>
  <si>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</si>
  <si>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</si>
  <si>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</si>
  <si>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</si>
  <si>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</si>
  <si>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</si>
  <si>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</si>
  <si>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</si>
  <si>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</si>
  <si>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</si>
  <si>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</si>
  <si>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</si>
  <si>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</si>
  <si>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</si>
  <si>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</si>
  <si>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</si>
  <si>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</si>
  <si>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</si>
  <si>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</si>
  <si>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</si>
  <si>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</si>
  <si>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</si>
  <si>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</si>
  <si>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</si>
  <si>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</si>
  <si>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</si>
  <si>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</si>
  <si>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</si>
  <si>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</si>
  <si>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</si>
  <si>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</si>
  <si>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</si>
  <si>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</si>
  <si>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</si>
  <si>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</si>
  <si>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</si>
  <si>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</si>
  <si>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</si>
  <si>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</si>
  <si>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</si>
  <si>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</si>
  <si>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</si>
  <si>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</si>
  <si>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</si>
  <si>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</si>
  <si>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</si>
  <si>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</si>
  <si>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</si>
  <si>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</si>
  <si>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</si>
  <si>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</si>
  <si>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</si>
  <si>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</si>
  <si>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</si>
  <si>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</si>
  <si>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</si>
  <si>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</si>
  <si>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</si>
  <si>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</si>
  <si>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</si>
  <si>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</si>
  <si>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</si>
  <si>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</si>
  <si>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</si>
  <si>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</si>
  <si>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</si>
  <si>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</si>
  <si>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</si>
  <si>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</si>
  <si>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</si>
  <si>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</si>
  <si>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</si>
  <si>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</si>
  <si>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</si>
  <si>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</si>
  <si>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</si>
  <si>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</si>
  <si>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</si>
  <si>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</si>
  <si>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</si>
  <si>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</si>
  <si>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</si>
  <si>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</si>
  <si>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</si>
  <si>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</si>
  <si>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</si>
  <si>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</si>
  <si>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</si>
  <si>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</si>
  <si>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</si>
  <si>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</si>
  <si>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</si>
  <si>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</si>
  <si>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</si>
  <si>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</si>
  <si>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</si>
  <si>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</si>
  <si>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</si>
  <si>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</si>
  <si>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</si>
  <si>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</si>
  <si>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1117PA</t>
  </si>
  <si>
    <t>PON1117PA</t>
  </si>
  <si>
    <t>S 606-3 CANYON RD</t>
  </si>
  <si>
    <t>F 717-1 CANYON RD N</t>
  </si>
  <si>
    <t>HH 727-2</t>
  </si>
  <si>
    <t>HH 726-1</t>
  </si>
  <si>
    <t>F 732-1 CANYON CIR N</t>
  </si>
  <si>
    <t>F 818-1 CANYON RD N</t>
  </si>
  <si>
    <t>F 824-2 CNAYON RD N</t>
  </si>
  <si>
    <t>F 1100-1 CANYON RD N</t>
  </si>
  <si>
    <t>F 1110-2 CANYON RD N</t>
  </si>
  <si>
    <t>F 726-1 CANYON CIR N</t>
  </si>
  <si>
    <t>F624-1 CNAYON CIR N</t>
  </si>
  <si>
    <t>F 604-1 CANYON CIR N</t>
  </si>
  <si>
    <t>R 844-2 PINEMONT DR N</t>
  </si>
  <si>
    <t>BUBBLE REF 2</t>
  </si>
  <si>
    <t>BUBBLE REF 3</t>
  </si>
  <si>
    <t>R 906-2 PINMONT DR N</t>
  </si>
  <si>
    <t>F 906-2 PINEMONT DR N</t>
  </si>
  <si>
    <t>R 928-2 PINEMONT DR N</t>
  </si>
  <si>
    <t>R 1006-2 PINMONT DR N</t>
  </si>
  <si>
    <t>R 1020-2 PINEMONT DR N</t>
  </si>
  <si>
    <t>R 1104-2 PINEMONT DR N</t>
  </si>
  <si>
    <t>R 1124-2 PINEMONT DR N</t>
  </si>
  <si>
    <t>OPP 1001-1 RICE MINE RD N</t>
  </si>
  <si>
    <t>HH OPP 805 RMR</t>
  </si>
  <si>
    <t>HH 728 7TH</t>
  </si>
  <si>
    <t>F 805-2 RICE MINE RD N</t>
  </si>
  <si>
    <t>P.F815</t>
  </si>
  <si>
    <t>F 728-1 7TH PL N</t>
  </si>
  <si>
    <t>F 714-1 7TH PL N</t>
  </si>
  <si>
    <t>F 706-2 7TH PL N</t>
  </si>
  <si>
    <t>OPP 907-2 INDIAN HILLS DR</t>
  </si>
  <si>
    <t>F 917-2 INDIAN HILLS DR</t>
  </si>
  <si>
    <t>F 1017-2 INDIAN  HILLS DR</t>
  </si>
  <si>
    <t>F 1027-2 INDIAN HILLS DR</t>
  </si>
  <si>
    <t>P.F1117</t>
  </si>
  <si>
    <t>F 1117-2 INDIAN HILLS DR</t>
  </si>
  <si>
    <t>F 1207-2 INDIAN HILLS DR</t>
  </si>
  <si>
    <t>OPP 1204-2 INDIAN HILLS CIR</t>
  </si>
  <si>
    <t>F 1202-2 INDIAN HILLS CIR</t>
  </si>
  <si>
    <t>F 1203-2 INDIAN HILLS CIR</t>
  </si>
  <si>
    <t>P.F1225</t>
  </si>
  <si>
    <t>F 1225-2 INDIAN HILLS DR</t>
  </si>
  <si>
    <t>F 1322-2 INDIAN HILLS DR</t>
  </si>
  <si>
    <t>F 1312-2 INDIAN HILLS CIR</t>
  </si>
  <si>
    <t>F 1308-2 INDIAN HILLS CIR</t>
  </si>
  <si>
    <t>F 1300-2 INDINA HILLS CIR</t>
  </si>
  <si>
    <t>F 1216-2 INDIAN HILLS CIR</t>
  </si>
  <si>
    <t>F 1210-2 INDIAN HILLS CIR</t>
  </si>
  <si>
    <t>F 603-1 OVERLOOK RD N</t>
  </si>
  <si>
    <t>F 629-1 OVERLOOK RD N</t>
  </si>
  <si>
    <t>F 635-1 OVERLOOK RD N</t>
  </si>
  <si>
    <t>F 721-1 OVERLOOK RD N</t>
  </si>
  <si>
    <t>P9.F813</t>
  </si>
  <si>
    <t>F 831-2 OVERLOOK RD N</t>
  </si>
  <si>
    <t>F 911-2 OVERLOOK RD N</t>
  </si>
  <si>
    <t>F 933-2 OVERLOOK RD N</t>
  </si>
  <si>
    <t>P. OPP926</t>
  </si>
  <si>
    <t>BUBBLE REF 15</t>
  </si>
  <si>
    <t>BUBBLE REF 16</t>
  </si>
  <si>
    <t>R 927-2 PINEMONT DR N</t>
  </si>
  <si>
    <t>R 1007-2 PINEMONT DR N</t>
  </si>
  <si>
    <t>R 820-2 OVERLOOK RD N</t>
  </si>
  <si>
    <t>R 1021-2 PINEMONT DR N</t>
  </si>
  <si>
    <t>F 1203-2 OVERLOOK RD N</t>
  </si>
  <si>
    <t>F 1031-2 PVER;PPL RD N</t>
  </si>
  <si>
    <t>F 1227-2 OVERLOOK RD N</t>
  </si>
  <si>
    <t>F 1303-2 OVERLOOK RD N</t>
  </si>
  <si>
    <t>F 1313-2 OVERLOOK RD N</t>
  </si>
  <si>
    <t>P . F1313</t>
  </si>
  <si>
    <t>P. R1129</t>
  </si>
  <si>
    <t>R 1306-2 OVERLOOK RD N</t>
  </si>
  <si>
    <t>F 1115-1 MEADOW LN N</t>
  </si>
  <si>
    <t>R 1330-2 OVERLOOK RD N</t>
  </si>
  <si>
    <t>R 1356-2 OVERLOOK RD N</t>
  </si>
  <si>
    <t>F 1304-2 HIGH FOREST DR N</t>
  </si>
  <si>
    <t>F 1405-2 HIGH FOREST DR N</t>
  </si>
  <si>
    <t>F 1415-2 HIGH FOREST DR N</t>
  </si>
  <si>
    <t>F 1508-2 HIGH FOREST DR N</t>
  </si>
  <si>
    <t>F 1606-2 HIGH FOREST DR N</t>
  </si>
  <si>
    <t>F 1702-2 HIGH FOREST DR N</t>
  </si>
  <si>
    <t>F 617-2 CANYON RD N</t>
  </si>
  <si>
    <t>F 727-2 CANYON RD N</t>
  </si>
  <si>
    <t>A02SSE0</t>
  </si>
  <si>
    <t>F 813-2 OVERLOOK RD N</t>
  </si>
  <si>
    <t>TSCLALMT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</si>
</sst>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2" dataDxfId="1630" headerRowBorderDxfId="1631" tableBorderDxfId="1629" totalsRowBorderDxfId="1628">
  <autoFilter ref="A1:AP499" xr:uid="{00000000-0009-0000-0100-000003000000}"/>
  <tableColumns count="42">
    <tableColumn id="1" xr3:uid="{00000000-0010-0000-0000-000001000000}" name="DWG#" dataDxfId="1627"/>
    <tableColumn id="61" xr3:uid="{00000000-0010-0000-0000-00003D000000}" name="10x15 HH" dataDxfId="1626"/>
    <tableColumn id="9" xr3:uid="{00000000-0010-0000-0000-000009000000}" name="IDUCT 1" dataDxfId="1625"/>
    <tableColumn id="10" xr3:uid="{00000000-0010-0000-0000-00000A000000}" name="IDUCT 2" dataDxfId="1624"/>
    <tableColumn id="11" xr3:uid="{00000000-0010-0000-0000-00000B000000}" name="IDUCT 3" dataDxfId="1623"/>
    <tableColumn id="12" xr3:uid="{00000000-0010-0000-0000-00000C000000}" name="IDUCT 4" dataDxfId="1622"/>
    <tableColumn id="13" xr3:uid="{00000000-0010-0000-0000-00000D000000}" name="IDUCT 5" dataDxfId="1621"/>
    <tableColumn id="14" xr3:uid="{00000000-0010-0000-0000-00000E000000}" name="IDUCT 6" dataDxfId="1620"/>
    <tableColumn id="15" xr3:uid="{00000000-0010-0000-0000-00000F000000}" name="IDUCT 7" dataDxfId="1619"/>
    <tableColumn id="16" xr3:uid="{00000000-0010-0000-0000-000010000000}" name="IDUCT 8" dataDxfId="1618"/>
    <tableColumn id="17" xr3:uid="{00000000-0010-0000-0000-000011000000}" name="IDUCT 9" dataDxfId="1617"/>
    <tableColumn id="18" xr3:uid="{00000000-0010-0000-0000-000012000000}" name="IDUCT 10" dataDxfId="1616"/>
    <tableColumn id="19" xr3:uid="{00000000-0010-0000-0000-000013000000}" name="IDUCT 11" dataDxfId="1615"/>
    <tableColumn id="20" xr3:uid="{00000000-0010-0000-0000-000014000000}" name="IDUCT 12" dataDxfId="1614"/>
    <tableColumn id="21" xr3:uid="{00000000-0010-0000-0000-000015000000}" name="IDUCT 13" dataDxfId="1613"/>
    <tableColumn id="22" xr3:uid="{00000000-0010-0000-0000-000016000000}" name="IDUCT 14" dataDxfId="1612"/>
    <tableColumn id="23" xr3:uid="{00000000-0010-0000-0000-000017000000}" name="IDUCT 15" dataDxfId="1611"/>
    <tableColumn id="24" xr3:uid="{00000000-0010-0000-0000-000018000000}" name="IDUCT 16" dataDxfId="1610"/>
    <tableColumn id="25" xr3:uid="{00000000-0010-0000-0000-000019000000}" name="IDUCT 17" dataDxfId="1609"/>
    <tableColumn id="26" xr3:uid="{00000000-0010-0000-0000-00001A000000}" name="IDUCT 18" dataDxfId="1608"/>
    <tableColumn id="27" xr3:uid="{00000000-0010-0000-0000-00001B000000}" name="IDUCT 19" dataDxfId="1607"/>
    <tableColumn id="28" xr3:uid="{00000000-0010-0000-0000-00001C000000}" name="IDUCT 20" dataDxfId="1606"/>
    <tableColumn id="29" xr3:uid="{00000000-0010-0000-0000-00001D000000}" name="Pullback IDUCT 1" dataDxfId="1605"/>
    <tableColumn id="30" xr3:uid="{00000000-0010-0000-0000-00001E000000}" name="Pullback IDUCT 2" dataDxfId="1604"/>
    <tableColumn id="31" xr3:uid="{00000000-0010-0000-0000-00001F000000}" name="Pullback IDUCT 3" dataDxfId="1603"/>
    <tableColumn id="32" xr3:uid="{00000000-0010-0000-0000-000020000000}" name="Pullback IDUCT 4" dataDxfId="1602"/>
    <tableColumn id="33" xr3:uid="{00000000-0010-0000-0000-000021000000}" name="Pullback IDUCT 5" dataDxfId="1601"/>
    <tableColumn id="34" xr3:uid="{00000000-0010-0000-0000-000022000000}" name="Pullback IDUCT 6" dataDxfId="1600"/>
    <tableColumn id="35" xr3:uid="{00000000-0010-0000-0000-000023000000}" name="Pullback IDUCT 7" dataDxfId="1599"/>
    <tableColumn id="36" xr3:uid="{00000000-0010-0000-0000-000024000000}" name="Pullback IDUCT 8" dataDxfId="1598"/>
    <tableColumn id="37" xr3:uid="{00000000-0010-0000-0000-000025000000}" name="Pullback IDUCT 9" dataDxfId="1597"/>
    <tableColumn id="38" xr3:uid="{00000000-0010-0000-0000-000026000000}" name="Pullback IDUCT 10" dataDxfId="1596"/>
    <tableColumn id="49" xr3:uid="{00000000-0010-0000-0000-000031000000}" name="ROD Duct 1" dataDxfId="1595"/>
    <tableColumn id="50" xr3:uid="{00000000-0010-0000-0000-000032000000}" name="ROD Duct 2" dataDxfId="1594"/>
    <tableColumn id="51" xr3:uid="{00000000-0010-0000-0000-000033000000}" name="ROD Duct 3" dataDxfId="1593"/>
    <tableColumn id="52" xr3:uid="{00000000-0010-0000-0000-000034000000}" name="ROD Duct 4" dataDxfId="1592"/>
    <tableColumn id="53" xr3:uid="{00000000-0010-0000-0000-000035000000}" name="ROD Duct 5" dataDxfId="1591"/>
    <tableColumn id="54" xr3:uid="{00000000-0010-0000-0000-000036000000}" name="ROD Duct 6" dataDxfId="1590"/>
    <tableColumn id="55" xr3:uid="{00000000-0010-0000-0000-000037000000}" name="ROD Duct 7" dataDxfId="1589"/>
    <tableColumn id="56" xr3:uid="{00000000-0010-0000-0000-000038000000}" name="ROD Duct 8" dataDxfId="1588"/>
    <tableColumn id="57" xr3:uid="{00000000-0010-0000-0000-000039000000}" name="ROD Duct 9" dataDxfId="1587"/>
    <tableColumn id="58" xr3:uid="{00000000-0010-0000-0000-00003A000000}" name="ROD Duct 10" dataDxfId="158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617-2 CANYON RD N</v>
      </c>
      <c r="B1" s="118"/>
      <c r="C1" s="118"/>
      <c r="D1" s="118"/>
      <c r="E1" s="118"/>
      <c r="G1" t="str">
        <f>IF('Assignment Tool'!C1="","",IF('Assignment Tool'!C1="FST",'Assignment Tool'!D1,""))</f>
        <v/>
      </c>
      <c r="H1">
        <v>1</v>
      </c>
      <c r="I1">
        <v>1</v>
      </c>
      <c r="J1" t="str">
        <f t="array" ref="J1">IFERROR(INDEX($G$2:$G$2050,_xlfn.AGGREGATE(15,6,(ROW($G$2:$G$2050)-ROW($G$2)+1)/($G$2:$G$2050&lt;&gt;""),ROWS(J$1:J1))),"")</f>
        <v>F 617-2 CANYON RD N</v>
      </c>
      <c r="K1">
        <f>IF(J1="","",INDEX('Assignment Tool'!E17:E2050,MATCH(FA_DATA!J1,'Assignment Tool'!D17:D2050,0)))</f>
        <v>4</v>
      </c>
    </row>
    <row r="2" spans="1:11" x14ac:dyDescent="0.25">
      <c r="A2" s="118" t="str">
        <f t="shared" ref="A2:A65" si="0">VLOOKUP(H2,$I$1:$J$1000,2)</f>
        <v>F 617-2 CANYON RD N</v>
      </c>
      <c r="G2" t="str">
        <f>IF('Assignment Tool'!C2="","",IF('Assignment Tool'!C2="FST",'Assignment Tool'!D2,""))</f>
        <v/>
      </c>
      <c r="H2">
        <v>2</v>
      </c>
      <c r="I2">
        <f>IFERROR((I1+K1),"")</f>
        <v>5</v>
      </c>
      <c r="J2" t="str">
        <f t="array" ref="J2">IFERROR(INDEX($G$2:$G$2050,_xlfn.AGGREGATE(15,6,(ROW($G$2:$G$2050)-ROW($G$2)+1)/($G$2:$G$2050&lt;&gt;""),ROWS(J$1:J2))),"")</f>
        <v>F 717-1 CANYON RD N</v>
      </c>
      <c r="K2">
        <f>IF(J2="","",INDEX('Assignment Tool'!E18:E2051,MATCH(FA_DATA!J2,'Assignment Tool'!D18:D2051,0)))</f>
        <v>4</v>
      </c>
    </row>
    <row r="3" spans="1:11" x14ac:dyDescent="0.25">
      <c r="A3" s="118" t="str">
        <f t="shared" si="0"/>
        <v>F 617-2 CANYON RD N</v>
      </c>
      <c r="G3" t="str">
        <f>IF('Assignment Tool'!C3="","",IF('Assignment Tool'!C3="FST",'Assignment Tool'!D3,""))</f>
        <v/>
      </c>
      <c r="H3">
        <v>3</v>
      </c>
      <c r="I3">
        <f t="shared" ref="I3:I66" si="1">IFERROR((I2+K2),"")</f>
        <v>9</v>
      </c>
      <c r="J3" t="str">
        <f t="array" ref="J3">IFERROR(INDEX($G$2:$G$2050,_xlfn.AGGREGATE(15,6,(ROW($G$2:$G$2050)-ROW($G$2)+1)/($G$2:$G$2050&lt;&gt;""),ROWS(J$1:J3))),"")</f>
        <v>F 727-2 CANYON RD N</v>
      </c>
      <c r="K3">
        <f>IF(J3="","",INDEX('Assignment Tool'!E19:E2052,MATCH(FA_DATA!J3,'Assignment Tool'!D19:D2052,0)))</f>
        <v>4</v>
      </c>
    </row>
    <row r="4" spans="1:11" x14ac:dyDescent="0.25">
      <c r="A4" s="118" t="str">
        <f t="shared" si="0"/>
        <v>F 617-2 CANYON RD N</v>
      </c>
      <c r="G4" t="str">
        <f>IF('Assignment Tool'!C4="","",IF('Assignment Tool'!C4="FST",'Assignment Tool'!D4,""))</f>
        <v/>
      </c>
      <c r="H4">
        <v>4</v>
      </c>
      <c r="I4">
        <f t="shared" si="1"/>
        <v>13</v>
      </c>
      <c r="J4" t="str">
        <f t="array" ref="J4">IFERROR(INDEX($G$2:$G$2050,_xlfn.AGGREGATE(15,6,(ROW($G$2:$G$2050)-ROW($G$2)+1)/($G$2:$G$2050&lt;&gt;""),ROWS(J$1:J4))),"")</f>
        <v>F 732-1 CANYON CIR N</v>
      </c>
      <c r="K4">
        <f>IF(J4="","",INDEX('Assignment Tool'!E20:E2053,MATCH(FA_DATA!J4,'Assignment Tool'!D20:D2053,0)))</f>
        <v>2</v>
      </c>
    </row>
    <row r="5" spans="1:11" x14ac:dyDescent="0.25">
      <c r="A5" s="118" t="str">
        <f t="shared" si="0"/>
        <v>F 717-1 CANYON RD N</v>
      </c>
      <c r="G5" t="str">
        <f>IF('Assignment Tool'!C5="","",IF('Assignment Tool'!C5="FST",'Assignment Tool'!D5,""))</f>
        <v/>
      </c>
      <c r="H5">
        <v>5</v>
      </c>
      <c r="I5">
        <f t="shared" si="1"/>
        <v>15</v>
      </c>
      <c r="J5" t="str">
        <f t="array" ref="J5">IFERROR(INDEX($G$2:$G$2050,_xlfn.AGGREGATE(15,6,(ROW($G$2:$G$2050)-ROW($G$2)+1)/($G$2:$G$2050&lt;&gt;""),ROWS(J$1:J5))),"")</f>
        <v>F 818-1 CANYON RD N</v>
      </c>
      <c r="K5">
        <f>IF(J5="","",INDEX('Assignment Tool'!E21:E2054,MATCH(FA_DATA!J5,'Assignment Tool'!D21:D2054,0)))</f>
        <v>2</v>
      </c>
    </row>
    <row r="6" spans="1:11" x14ac:dyDescent="0.25">
      <c r="A6" s="118" t="str">
        <f t="shared" si="0"/>
        <v>F 717-1 CANYON RD N</v>
      </c>
      <c r="G6" t="str">
        <f>IF('Assignment Tool'!C6="","",IF('Assignment Tool'!C6="FST",'Assignment Tool'!D6,""))</f>
        <v/>
      </c>
      <c r="H6">
        <v>6</v>
      </c>
      <c r="I6">
        <f t="shared" si="1"/>
        <v>17</v>
      </c>
      <c r="J6" t="str">
        <f t="array" ref="J6">IFERROR(INDEX($G$2:$G$2050,_xlfn.AGGREGATE(15,6,(ROW($G$2:$G$2050)-ROW($G$2)+1)/($G$2:$G$2050&lt;&gt;""),ROWS(J$1:J6))),"")</f>
        <v>F 824-2 CNAYON RD N</v>
      </c>
      <c r="K6">
        <f>IF(J6="","",INDEX('Assignment Tool'!E22:E2055,MATCH(FA_DATA!J6,'Assignment Tool'!D22:D2055,0)))</f>
        <v>2</v>
      </c>
    </row>
    <row r="7" spans="1:11" x14ac:dyDescent="0.25">
      <c r="A7" s="118" t="str">
        <f t="shared" si="0"/>
        <v>F 717-1 CANYON RD N</v>
      </c>
      <c r="G7" t="str">
        <f>IF('Assignment Tool'!C7="","",IF('Assignment Tool'!C7="FST",'Assignment Tool'!D7,""))</f>
        <v/>
      </c>
      <c r="H7">
        <v>7</v>
      </c>
      <c r="I7">
        <f t="shared" si="1"/>
        <v>19</v>
      </c>
      <c r="J7" t="str">
        <f t="array" ref="J7">IFERROR(INDEX($G$2:$G$2050,_xlfn.AGGREGATE(15,6,(ROW($G$2:$G$2050)-ROW($G$2)+1)/($G$2:$G$2050&lt;&gt;""),ROWS(J$1:J7))),"")</f>
        <v>F 1100-1 CANYON RD N</v>
      </c>
      <c r="K7">
        <f>IF(J7="","",INDEX('Assignment Tool'!E23:E2056,MATCH(FA_DATA!J7,'Assignment Tool'!D23:D2056,0)))</f>
        <v>2</v>
      </c>
    </row>
    <row r="8" spans="1:11" x14ac:dyDescent="0.25">
      <c r="A8" s="118" t="str">
        <f t="shared" si="0"/>
        <v>F 717-1 CANYON RD N</v>
      </c>
      <c r="G8" t="str">
        <f>IF('Assignment Tool'!C8="","",IF('Assignment Tool'!C8="FST",'Assignment Tool'!D8,""))</f>
        <v/>
      </c>
      <c r="H8">
        <v>8</v>
      </c>
      <c r="I8">
        <f t="shared" si="1"/>
        <v>21</v>
      </c>
      <c r="J8" t="str">
        <f t="array" ref="J8">IFERROR(INDEX($G$2:$G$2050,_xlfn.AGGREGATE(15,6,(ROW($G$2:$G$2050)-ROW($G$2)+1)/($G$2:$G$2050&lt;&gt;""),ROWS(J$1:J8))),"")</f>
        <v>F 1110-2 CANYON RD N</v>
      </c>
      <c r="K8">
        <f>IF(J8="","",INDEX('Assignment Tool'!E24:E2057,MATCH(FA_DATA!J8,'Assignment Tool'!D24:D2057,0)))</f>
        <v>4</v>
      </c>
    </row>
    <row r="9" spans="1:11" x14ac:dyDescent="0.25">
      <c r="A9" s="118" t="str">
        <f t="shared" si="0"/>
        <v>F 727-2 CANYON RD N</v>
      </c>
      <c r="G9" t="str">
        <f>IF('Assignment Tool'!C9="","",IF('Assignment Tool'!C9="FST",'Assignment Tool'!D9,""))</f>
        <v/>
      </c>
      <c r="H9">
        <v>9</v>
      </c>
      <c r="I9">
        <f t="shared" si="1"/>
        <v>25</v>
      </c>
      <c r="J9" t="str">
        <f t="array" ref="J9">IFERROR(INDEX($G$2:$G$2050,_xlfn.AGGREGATE(15,6,(ROW($G$2:$G$2050)-ROW($G$2)+1)/($G$2:$G$2050&lt;&gt;""),ROWS(J$1:J9))),"")</f>
        <v>R 844-2 PINEMONT DR N</v>
      </c>
      <c r="K9">
        <f>IF(J9="","",INDEX('Assignment Tool'!E25:E2058,MATCH(FA_DATA!J9,'Assignment Tool'!D25:D2058,0)))</f>
        <v>8</v>
      </c>
    </row>
    <row r="10" spans="1:11" x14ac:dyDescent="0.25">
      <c r="A10" s="118" t="str">
        <f t="shared" si="0"/>
        <v>F 727-2 CANYON RD N</v>
      </c>
      <c r="G10" t="str">
        <f>IF('Assignment Tool'!C10="","",IF('Assignment Tool'!C10="FST",'Assignment Tool'!D10,""))</f>
        <v/>
      </c>
      <c r="H10">
        <v>10</v>
      </c>
      <c r="I10">
        <f t="shared" si="1"/>
        <v>33</v>
      </c>
      <c r="J10" t="str">
        <f t="array" ref="J10">IFERROR(INDEX($G$2:$G$2050,_xlfn.AGGREGATE(15,6,(ROW($G$2:$G$2050)-ROW($G$2)+1)/($G$2:$G$2050&lt;&gt;""),ROWS(J$1:J10))),"")</f>
        <v>R 906-2 PINMONT DR N</v>
      </c>
      <c r="K10">
        <f>IF(J10="","",INDEX('Assignment Tool'!E26:E2059,MATCH(FA_DATA!J10,'Assignment Tool'!D26:D2059,0)))</f>
        <v>4</v>
      </c>
    </row>
    <row r="11" spans="1:11" x14ac:dyDescent="0.25">
      <c r="A11" s="118" t="str">
        <f t="shared" si="0"/>
        <v>F 727-2 CANYON RD N</v>
      </c>
      <c r="G11" t="str">
        <f>IF('Assignment Tool'!C11="","",IF('Assignment Tool'!C11="FST",'Assignment Tool'!D11,""))</f>
        <v/>
      </c>
      <c r="H11">
        <v>11</v>
      </c>
      <c r="I11">
        <f t="shared" si="1"/>
        <v>37</v>
      </c>
      <c r="J11" t="str">
        <f t="array" ref="J11">IFERROR(INDEX($G$2:$G$2050,_xlfn.AGGREGATE(15,6,(ROW($G$2:$G$2050)-ROW($G$2)+1)/($G$2:$G$2050&lt;&gt;""),ROWS(J$1:J11))),"")</f>
        <v>F 906-2 PINEMONT DR N</v>
      </c>
      <c r="K11">
        <f>IF(J11="","",INDEX('Assignment Tool'!E27:E2060,MATCH(FA_DATA!J11,'Assignment Tool'!D27:D2060,0)))</f>
        <v>4</v>
      </c>
    </row>
    <row r="12" spans="1:11" x14ac:dyDescent="0.25">
      <c r="A12" s="118" t="str">
        <f t="shared" si="0"/>
        <v>F 727-2 CANYON RD N</v>
      </c>
      <c r="G12" t="str">
        <f>IF('Assignment Tool'!C12="","",IF('Assignment Tool'!C12="FST",'Assignment Tool'!D12,""))</f>
        <v/>
      </c>
      <c r="H12">
        <v>12</v>
      </c>
      <c r="I12">
        <f t="shared" si="1"/>
        <v>41</v>
      </c>
      <c r="J12" t="str">
        <f t="array" ref="J12">IFERROR(INDEX($G$2:$G$2050,_xlfn.AGGREGATE(15,6,(ROW($G$2:$G$2050)-ROW($G$2)+1)/($G$2:$G$2050&lt;&gt;""),ROWS(J$1:J12))),"")</f>
        <v>R 928-2 PINEMONT DR N</v>
      </c>
      <c r="K12">
        <f>IF(J12="","",INDEX('Assignment Tool'!E28:E2061,MATCH(FA_DATA!J12,'Assignment Tool'!D28:D2061,0)))</f>
        <v>4</v>
      </c>
    </row>
    <row r="13" spans="1:11" x14ac:dyDescent="0.25">
      <c r="A13" s="118" t="str">
        <f t="shared" si="0"/>
        <v>F 732-1 CANYON CIR N</v>
      </c>
      <c r="G13" t="str">
        <f>IF('Assignment Tool'!C13="","",IF('Assignment Tool'!C13="FST",'Assignment Tool'!D13,""))</f>
        <v/>
      </c>
      <c r="H13">
        <v>13</v>
      </c>
      <c r="I13">
        <f t="shared" si="1"/>
        <v>45</v>
      </c>
      <c r="J13" t="str">
        <f t="array" ref="J13">IFERROR(INDEX($G$2:$G$2050,_xlfn.AGGREGATE(15,6,(ROW($G$2:$G$2050)-ROW($G$2)+1)/($G$2:$G$2050&lt;&gt;""),ROWS(J$1:J13))),"")</f>
        <v>R 1006-2 PINMONT DR N</v>
      </c>
      <c r="K13">
        <f>IF(J13="","",INDEX('Assignment Tool'!E29:E2062,MATCH(FA_DATA!J13,'Assignment Tool'!D29:D2062,0)))</f>
        <v>4</v>
      </c>
    </row>
    <row r="14" spans="1:11" x14ac:dyDescent="0.25">
      <c r="A14" s="118" t="str">
        <f t="shared" si="0"/>
        <v>F 732-1 CANYON CIR N</v>
      </c>
      <c r="G14" t="str">
        <f>IF('Assignment Tool'!C14="","",IF('Assignment Tool'!C14="FST",'Assignment Tool'!D14,""))</f>
        <v/>
      </c>
      <c r="H14">
        <v>14</v>
      </c>
      <c r="I14">
        <f t="shared" si="1"/>
        <v>49</v>
      </c>
      <c r="J14" t="str">
        <f t="array" ref="J14">IFERROR(INDEX($G$2:$G$2050,_xlfn.AGGREGATE(15,6,(ROW($G$2:$G$2050)-ROW($G$2)+1)/($G$2:$G$2050&lt;&gt;""),ROWS(J$1:J14))),"")</f>
        <v>R 1020-2 PINEMONT DR N</v>
      </c>
      <c r="K14">
        <f>IF(J14="","",INDEX('Assignment Tool'!E30:E2063,MATCH(FA_DATA!J14,'Assignment Tool'!D30:D2063,0)))</f>
        <v>4</v>
      </c>
    </row>
    <row r="15" spans="1:11" x14ac:dyDescent="0.25">
      <c r="A15" s="118" t="str">
        <f t="shared" si="0"/>
        <v>F 818-1 CANYON RD N</v>
      </c>
      <c r="G15" t="str">
        <f>IF('Assignment Tool'!C15="","",IF('Assignment Tool'!C15="FST",'Assignment Tool'!D15,""))</f>
        <v/>
      </c>
      <c r="H15">
        <v>15</v>
      </c>
      <c r="I15">
        <f t="shared" si="1"/>
        <v>53</v>
      </c>
      <c r="J15" t="str">
        <f t="array" ref="J15">IFERROR(INDEX($G$2:$G$2050,_xlfn.AGGREGATE(15,6,(ROW($G$2:$G$2050)-ROW($G$2)+1)/($G$2:$G$2050&lt;&gt;""),ROWS(J$1:J15))),"")</f>
        <v>R 1104-2 PINEMONT DR N</v>
      </c>
      <c r="K15">
        <f>IF(J15="","",INDEX('Assignment Tool'!E31:E2064,MATCH(FA_DATA!J15,'Assignment Tool'!D31:D2064,0)))</f>
        <v>4</v>
      </c>
    </row>
    <row r="16" spans="1:11" x14ac:dyDescent="0.25">
      <c r="A16" s="118" t="str">
        <f t="shared" si="0"/>
        <v>F 818-1 CANYON RD N</v>
      </c>
      <c r="G16" t="str">
        <f>IF('Assignment Tool'!C16="","",IF('Assignment Tool'!C16="FST",'Assignment Tool'!D16,""))</f>
        <v/>
      </c>
      <c r="H16">
        <v>16</v>
      </c>
      <c r="I16">
        <f t="shared" si="1"/>
        <v>57</v>
      </c>
      <c r="J16" t="str">
        <f t="array" ref="J16">IFERROR(INDEX($G$2:$G$2050,_xlfn.AGGREGATE(15,6,(ROW($G$2:$G$2050)-ROW($G$2)+1)/($G$2:$G$2050&lt;&gt;""),ROWS(J$1:J16))),"")</f>
        <v>R 1124-2 PINEMONT DR N</v>
      </c>
      <c r="K16">
        <f>IF(J16="","",INDEX('Assignment Tool'!E32:E2065,MATCH(FA_DATA!J16,'Assignment Tool'!D32:D2065,0)))</f>
        <v>4</v>
      </c>
    </row>
    <row r="17" spans="1:11" x14ac:dyDescent="0.25">
      <c r="A17" s="118" t="str">
        <f t="shared" si="0"/>
        <v>F 824-2 CNAYON RD N</v>
      </c>
      <c r="G17" t="str">
        <f>IF('Assignment Tool'!C17="","",IF('Assignment Tool'!C17="FST",'Assignment Tool'!D17,""))</f>
        <v>F 617-2 CANYON RD N</v>
      </c>
      <c r="H17">
        <v>17</v>
      </c>
      <c r="I17">
        <f t="shared" si="1"/>
        <v>61</v>
      </c>
      <c r="J17" t="str">
        <f t="array" ref="J17">IFERROR(INDEX($G$2:$G$2050,_xlfn.AGGREGATE(15,6,(ROW($G$2:$G$2050)-ROW($G$2)+1)/($G$2:$G$2050&lt;&gt;""),ROWS(J$1:J17))),"")</f>
        <v>F 726-1 CANYON CIR N</v>
      </c>
      <c r="K17">
        <f>IF(J17="","",INDEX('Assignment Tool'!E33:E2066,MATCH(FA_DATA!J17,'Assignment Tool'!D33:D2066,0)))</f>
        <v>4</v>
      </c>
    </row>
    <row r="18" spans="1:11" x14ac:dyDescent="0.25">
      <c r="A18" s="118" t="str">
        <f t="shared" si="0"/>
        <v>F 824-2 CNAYON RD N</v>
      </c>
      <c r="G18" t="str">
        <f>IF('Assignment Tool'!C18="","",IF('Assignment Tool'!C18="FST",'Assignment Tool'!D18,""))</f>
        <v>F 717-1 CANYON RD N</v>
      </c>
      <c r="H18">
        <v>18</v>
      </c>
      <c r="I18">
        <f t="shared" si="1"/>
        <v>65</v>
      </c>
      <c r="J18" t="str">
        <f t="array" ref="J18">IFERROR(INDEX($G$2:$G$2050,_xlfn.AGGREGATE(15,6,(ROW($G$2:$G$2050)-ROW($G$2)+1)/($G$2:$G$2050&lt;&gt;""),ROWS(J$1:J18))),"")</f>
        <v>F624-1 CNAYON CIR N</v>
      </c>
      <c r="K18">
        <f>IF(J18="","",INDEX('Assignment Tool'!E34:E2067,MATCH(FA_DATA!J18,'Assignment Tool'!D34:D2067,0)))</f>
        <v>4</v>
      </c>
    </row>
    <row r="19" spans="1:11" x14ac:dyDescent="0.25">
      <c r="A19" s="118" t="str">
        <f t="shared" si="0"/>
        <v>F 1100-1 CANYON RD N</v>
      </c>
      <c r="G19" t="str">
        <f>IF('Assignment Tool'!C19="","",IF('Assignment Tool'!C19="FST",'Assignment Tool'!D19,""))</f>
        <v>F 727-2 CANYON RD N</v>
      </c>
      <c r="H19">
        <v>19</v>
      </c>
      <c r="I19">
        <f t="shared" si="1"/>
        <v>69</v>
      </c>
      <c r="J19" t="str">
        <f t="array" ref="J19">IFERROR(INDEX($G$2:$G$2050,_xlfn.AGGREGATE(15,6,(ROW($G$2:$G$2050)-ROW($G$2)+1)/($G$2:$G$2050&lt;&gt;""),ROWS(J$1:J19))),"")</f>
        <v>F 604-1 CANYON CIR N</v>
      </c>
      <c r="K19">
        <f>IF(J19="","",INDEX('Assignment Tool'!E35:E2068,MATCH(FA_DATA!J19,'Assignment Tool'!D35:D2068,0)))</f>
        <v>4</v>
      </c>
    </row>
    <row r="20" spans="1:11" x14ac:dyDescent="0.25">
      <c r="A20" s="118" t="str">
        <f t="shared" si="0"/>
        <v>F 1100-1 CANYON RD N</v>
      </c>
      <c r="G20" t="str">
        <f>IF('Assignment Tool'!C20="","",IF('Assignment Tool'!C20="FST",'Assignment Tool'!D20,""))</f>
        <v/>
      </c>
      <c r="H20">
        <v>20</v>
      </c>
      <c r="I20">
        <f t="shared" si="1"/>
        <v>73</v>
      </c>
      <c r="J20" t="str">
        <f t="array" ref="J20">IFERROR(INDEX($G$2:$G$2050,_xlfn.AGGREGATE(15,6,(ROW($G$2:$G$2050)-ROW($G$2)+1)/($G$2:$G$2050&lt;&gt;""),ROWS(J$1:J20))),"")</f>
        <v>OPP 1001-1 RICE MINE RD N</v>
      </c>
      <c r="K20">
        <f>IF(J20="","",INDEX('Assignment Tool'!E36:E2069,MATCH(FA_DATA!J20,'Assignment Tool'!D36:D2069,0)))</f>
        <v>12</v>
      </c>
    </row>
    <row r="21" spans="1:11" x14ac:dyDescent="0.25">
      <c r="A21" s="118" t="str">
        <f t="shared" si="0"/>
        <v>F 1110-2 CANYON RD N</v>
      </c>
      <c r="G21" t="str">
        <f>IF('Assignment Tool'!C21="","",IF('Assignment Tool'!C21="FST",'Assignment Tool'!D21,""))</f>
        <v/>
      </c>
      <c r="H21">
        <v>21</v>
      </c>
      <c r="I21">
        <f t="shared" si="1"/>
        <v>85</v>
      </c>
      <c r="J21" t="str">
        <f t="array" ref="J21">IFERROR(INDEX($G$2:$G$2050,_xlfn.AGGREGATE(15,6,(ROW($G$2:$G$2050)-ROW($G$2)+1)/($G$2:$G$2050&lt;&gt;""),ROWS(J$1:J21))),"")</f>
        <v>F 805-2 RICE MINE RD N</v>
      </c>
      <c r="K21">
        <f>IF(J21="","",INDEX('Assignment Tool'!E37:E2070,MATCH(FA_DATA!J21,'Assignment Tool'!D37:D2070,0)))</f>
        <v>12</v>
      </c>
    </row>
    <row r="22" spans="1:11" x14ac:dyDescent="0.25">
      <c r="A22" s="118" t="str">
        <f t="shared" si="0"/>
        <v>F 1110-2 CANYON RD N</v>
      </c>
      <c r="G22" t="str">
        <f>IF('Assignment Tool'!C22="","",IF('Assignment Tool'!C22="FST",'Assignment Tool'!D22,""))</f>
        <v/>
      </c>
      <c r="H22">
        <v>22</v>
      </c>
      <c r="I22">
        <f t="shared" si="1"/>
        <v>97</v>
      </c>
      <c r="J22" t="str">
        <f t="array" ref="J22">IFERROR(INDEX($G$2:$G$2050,_xlfn.AGGREGATE(15,6,(ROW($G$2:$G$2050)-ROW($G$2)+1)/($G$2:$G$2050&lt;&gt;""),ROWS(J$1:J22))),"")</f>
        <v>F 728-1 7TH PL N</v>
      </c>
      <c r="K22">
        <f>IF(J22="","",INDEX('Assignment Tool'!E38:E2071,MATCH(FA_DATA!J22,'Assignment Tool'!D38:D2071,0)))</f>
        <v>4</v>
      </c>
    </row>
    <row r="23" spans="1:11" x14ac:dyDescent="0.25">
      <c r="A23" s="118" t="str">
        <f t="shared" si="0"/>
        <v>F 1110-2 CANYON RD N</v>
      </c>
      <c r="G23" t="str">
        <f>IF('Assignment Tool'!C23="","",IF('Assignment Tool'!C23="FST",'Assignment Tool'!D23,""))</f>
        <v/>
      </c>
      <c r="H23">
        <v>23</v>
      </c>
      <c r="I23">
        <f t="shared" si="1"/>
        <v>101</v>
      </c>
      <c r="J23" t="str">
        <f t="array" ref="J23">IFERROR(INDEX($G$2:$G$2050,_xlfn.AGGREGATE(15,6,(ROW($G$2:$G$2050)-ROW($G$2)+1)/($G$2:$G$2050&lt;&gt;""),ROWS(J$1:J23))),"")</f>
        <v>F 714-1 7TH PL N</v>
      </c>
      <c r="K23">
        <f>IF(J23="","",INDEX('Assignment Tool'!E39:E2072,MATCH(FA_DATA!J23,'Assignment Tool'!D39:D2072,0)))</f>
        <v>4</v>
      </c>
    </row>
    <row r="24" spans="1:11" x14ac:dyDescent="0.25">
      <c r="A24" s="118" t="str">
        <f t="shared" si="0"/>
        <v>F 1110-2 CANYON RD N</v>
      </c>
      <c r="G24" t="str">
        <f>IF('Assignment Tool'!C24="","",IF('Assignment Tool'!C24="FST",'Assignment Tool'!D24,""))</f>
        <v/>
      </c>
      <c r="H24">
        <v>24</v>
      </c>
      <c r="I24">
        <f t="shared" si="1"/>
        <v>105</v>
      </c>
      <c r="J24" t="str">
        <f t="array" ref="J24">IFERROR(INDEX($G$2:$G$2050,_xlfn.AGGREGATE(15,6,(ROW($G$2:$G$2050)-ROW($G$2)+1)/($G$2:$G$2050&lt;&gt;""),ROWS(J$1:J24))),"")</f>
        <v>F 706-2 7TH PL N</v>
      </c>
      <c r="K24">
        <f>IF(J24="","",INDEX('Assignment Tool'!E40:E2073,MATCH(FA_DATA!J24,'Assignment Tool'!D40:D2073,0)))</f>
        <v>4</v>
      </c>
    </row>
    <row r="25" spans="1:11" x14ac:dyDescent="0.25">
      <c r="A25" s="118" t="str">
        <f t="shared" si="0"/>
        <v>R 844-2 PINEMONT DR N</v>
      </c>
      <c r="G25" t="str">
        <f>IF('Assignment Tool'!C25="","",IF('Assignment Tool'!C25="FST",'Assignment Tool'!D25,""))</f>
        <v/>
      </c>
      <c r="H25">
        <v>25</v>
      </c>
      <c r="I25">
        <f t="shared" si="1"/>
        <v>109</v>
      </c>
      <c r="J25" t="str">
        <f t="array" ref="J25">IFERROR(INDEX($G$2:$G$2050,_xlfn.AGGREGATE(15,6,(ROW($G$2:$G$2050)-ROW($G$2)+1)/($G$2:$G$2050&lt;&gt;""),ROWS(J$1:J25))),"")</f>
        <v>OPP 907-2 INDIAN HILLS DR</v>
      </c>
      <c r="K25">
        <f>IF(J25="","",INDEX('Assignment Tool'!E41:E2074,MATCH(FA_DATA!J25,'Assignment Tool'!D41:D2074,0)))</f>
        <v>4</v>
      </c>
    </row>
    <row r="26" spans="1:11" x14ac:dyDescent="0.25">
      <c r="A26" s="118" t="str">
        <f t="shared" si="0"/>
        <v>R 844-2 PINEMONT DR N</v>
      </c>
      <c r="G26" t="str">
        <f>IF('Assignment Tool'!C26="","",IF('Assignment Tool'!C26="FST",'Assignment Tool'!D26,""))</f>
        <v/>
      </c>
      <c r="H26">
        <v>26</v>
      </c>
      <c r="I26">
        <f t="shared" si="1"/>
        <v>113</v>
      </c>
      <c r="J26" t="str">
        <f t="array" ref="J26">IFERROR(INDEX($G$2:$G$2050,_xlfn.AGGREGATE(15,6,(ROW($G$2:$G$2050)-ROW($G$2)+1)/($G$2:$G$2050&lt;&gt;""),ROWS(J$1:J26))),"")</f>
        <v>F 917-2 INDIAN HILLS DR</v>
      </c>
      <c r="K26">
        <f>IF(J26="","",INDEX('Assignment Tool'!E42:E2075,MATCH(FA_DATA!J26,'Assignment Tool'!D42:D2075,0)))</f>
        <v>4</v>
      </c>
    </row>
    <row r="27" spans="1:11" x14ac:dyDescent="0.25">
      <c r="A27" s="118" t="str">
        <f t="shared" si="0"/>
        <v>R 844-2 PINEMONT DR N</v>
      </c>
      <c r="G27" t="str">
        <f>IF('Assignment Tool'!C27="","",IF('Assignment Tool'!C27="FST",'Assignment Tool'!D27,""))</f>
        <v/>
      </c>
      <c r="H27">
        <v>27</v>
      </c>
      <c r="I27">
        <f t="shared" si="1"/>
        <v>117</v>
      </c>
      <c r="J27" t="str">
        <f t="array" ref="J27">IFERROR(INDEX($G$2:$G$2050,_xlfn.AGGREGATE(15,6,(ROW($G$2:$G$2050)-ROW($G$2)+1)/($G$2:$G$2050&lt;&gt;""),ROWS(J$1:J27))),"")</f>
        <v>F 1017-2 INDIAN  HILLS DR</v>
      </c>
      <c r="K27">
        <f>IF(J27="","",INDEX('Assignment Tool'!E43:E2076,MATCH(FA_DATA!J27,'Assignment Tool'!D43:D2076,0)))</f>
        <v>8</v>
      </c>
    </row>
    <row r="28" spans="1:11" x14ac:dyDescent="0.25">
      <c r="A28" s="118" t="str">
        <f t="shared" si="0"/>
        <v>R 844-2 PINEMONT DR N</v>
      </c>
      <c r="G28" t="str">
        <f>IF('Assignment Tool'!C28="","",IF('Assignment Tool'!C28="FST",'Assignment Tool'!D28,""))</f>
        <v/>
      </c>
      <c r="H28">
        <v>28</v>
      </c>
      <c r="I28">
        <f t="shared" si="1"/>
        <v>125</v>
      </c>
      <c r="J28" t="str">
        <f t="array" ref="J28">IFERROR(INDEX($G$2:$G$2050,_xlfn.AGGREGATE(15,6,(ROW($G$2:$G$2050)-ROW($G$2)+1)/($G$2:$G$2050&lt;&gt;""),ROWS(J$1:J28))),"")</f>
        <v>F 1027-2 INDIAN HILLS DR</v>
      </c>
      <c r="K28">
        <f>IF(J28="","",INDEX('Assignment Tool'!E44:E2077,MATCH(FA_DATA!J28,'Assignment Tool'!D44:D2077,0)))</f>
        <v>8</v>
      </c>
    </row>
    <row r="29" spans="1:11" x14ac:dyDescent="0.25">
      <c r="A29" s="118" t="str">
        <f t="shared" si="0"/>
        <v>R 844-2 PINEMONT DR N</v>
      </c>
      <c r="G29" t="str">
        <f>IF('Assignment Tool'!C29="","",IF('Assignment Tool'!C29="FST",'Assignment Tool'!D29,""))</f>
        <v/>
      </c>
      <c r="H29">
        <v>29</v>
      </c>
      <c r="I29">
        <f t="shared" si="1"/>
        <v>133</v>
      </c>
      <c r="J29" t="str">
        <f t="array" ref="J29">IFERROR(INDEX($G$2:$G$2050,_xlfn.AGGREGATE(15,6,(ROW($G$2:$G$2050)-ROW($G$2)+1)/($G$2:$G$2050&lt;&gt;""),ROWS(J$1:J29))),"")</f>
        <v>F 1117-2 INDIAN HILLS DR</v>
      </c>
      <c r="K29">
        <f>IF(J29="","",INDEX('Assignment Tool'!E45:E2078,MATCH(FA_DATA!J29,'Assignment Tool'!D45:D2078,0)))</f>
        <v>4</v>
      </c>
    </row>
    <row r="30" spans="1:11" x14ac:dyDescent="0.25">
      <c r="A30" s="118" t="str">
        <f t="shared" si="0"/>
        <v>R 844-2 PINEMONT DR N</v>
      </c>
      <c r="G30" t="str">
        <f>IF('Assignment Tool'!C30="","",IF('Assignment Tool'!C30="FST",'Assignment Tool'!D30,""))</f>
        <v/>
      </c>
      <c r="H30">
        <v>30</v>
      </c>
      <c r="I30">
        <f t="shared" si="1"/>
        <v>137</v>
      </c>
      <c r="J30" t="str">
        <f t="array" ref="J30">IFERROR(INDEX($G$2:$G$2050,_xlfn.AGGREGATE(15,6,(ROW($G$2:$G$2050)-ROW($G$2)+1)/($G$2:$G$2050&lt;&gt;""),ROWS(J$1:J30))),"")</f>
        <v>F 1207-2 INDIAN HILLS DR</v>
      </c>
      <c r="K30">
        <f>IF(J30="","",INDEX('Assignment Tool'!E46:E2079,MATCH(FA_DATA!J30,'Assignment Tool'!D46:D2079,0)))</f>
        <v>8</v>
      </c>
    </row>
    <row r="31" spans="1:11" x14ac:dyDescent="0.25">
      <c r="A31" s="118" t="str">
        <f t="shared" si="0"/>
        <v>R 844-2 PINEMONT DR N</v>
      </c>
      <c r="G31" t="str">
        <f>IF('Assignment Tool'!C31="","",IF('Assignment Tool'!C31="FST",'Assignment Tool'!D31,""))</f>
        <v/>
      </c>
      <c r="H31">
        <v>31</v>
      </c>
      <c r="I31">
        <f t="shared" si="1"/>
        <v>145</v>
      </c>
      <c r="J31" t="str">
        <f t="array" ref="J31">IFERROR(INDEX($G$2:$G$2050,_xlfn.AGGREGATE(15,6,(ROW($G$2:$G$2050)-ROW($G$2)+1)/($G$2:$G$2050&lt;&gt;""),ROWS(J$1:J31))),"")</f>
        <v>F 1225-2 INDIAN HILLS DR</v>
      </c>
      <c r="K31">
        <f>IF(J31="","",INDEX('Assignment Tool'!E47:E2080,MATCH(FA_DATA!J31,'Assignment Tool'!D47:D2080,0)))</f>
        <v>4</v>
      </c>
    </row>
    <row r="32" spans="1:11" x14ac:dyDescent="0.25">
      <c r="A32" s="118" t="str">
        <f t="shared" si="0"/>
        <v>R 844-2 PINEMONT DR N</v>
      </c>
      <c r="G32" t="str">
        <f>IF('Assignment Tool'!C32="","",IF('Assignment Tool'!C32="FST",'Assignment Tool'!D32,""))</f>
        <v/>
      </c>
      <c r="H32">
        <v>32</v>
      </c>
      <c r="I32">
        <f t="shared" si="1"/>
        <v>149</v>
      </c>
      <c r="J32" t="str">
        <f t="array" ref="J32">IFERROR(INDEX($G$2:$G$2050,_xlfn.AGGREGATE(15,6,(ROW($G$2:$G$2050)-ROW($G$2)+1)/($G$2:$G$2050&lt;&gt;""),ROWS(J$1:J32))),"")</f>
        <v>F 1322-2 INDIAN HILLS DR</v>
      </c>
      <c r="K32">
        <f>IF(J32="","",INDEX('Assignment Tool'!E48:E2081,MATCH(FA_DATA!J32,'Assignment Tool'!D48:D2081,0)))</f>
        <v>8</v>
      </c>
    </row>
    <row r="33" spans="1:11" x14ac:dyDescent="0.25">
      <c r="A33" s="118" t="str">
        <f t="shared" si="0"/>
        <v>R 906-2 PINMONT DR N</v>
      </c>
      <c r="G33" t="str">
        <f>IF('Assignment Tool'!C33="","",IF('Assignment Tool'!C33="FST",'Assignment Tool'!D33,""))</f>
        <v/>
      </c>
      <c r="H33">
        <v>33</v>
      </c>
      <c r="I33">
        <f t="shared" si="1"/>
        <v>157</v>
      </c>
      <c r="J33" t="str">
        <f t="array" ref="J33">IFERROR(INDEX($G$2:$G$2050,_xlfn.AGGREGATE(15,6,(ROW($G$2:$G$2050)-ROW($G$2)+1)/($G$2:$G$2050&lt;&gt;""),ROWS(J$1:J33))),"")</f>
        <v>F 1202-2 INDIAN HILLS CIR</v>
      </c>
      <c r="K33">
        <f>IF(J33="","",INDEX('Assignment Tool'!E49:E2082,MATCH(FA_DATA!J33,'Assignment Tool'!D49:D2082,0)))</f>
        <v>4</v>
      </c>
    </row>
    <row r="34" spans="1:11" x14ac:dyDescent="0.25">
      <c r="A34" s="118" t="str">
        <f t="shared" si="0"/>
        <v>R 906-2 PINMONT DR N</v>
      </c>
      <c r="G34" t="str">
        <f>IF('Assignment Tool'!C34="","",IF('Assignment Tool'!C34="FST",'Assignment Tool'!D34,""))</f>
        <v/>
      </c>
      <c r="H34">
        <v>34</v>
      </c>
      <c r="I34">
        <f t="shared" si="1"/>
        <v>161</v>
      </c>
      <c r="J34" t="str">
        <f t="array" ref="J34">IFERROR(INDEX($G$2:$G$2050,_xlfn.AGGREGATE(15,6,(ROW($G$2:$G$2050)-ROW($G$2)+1)/($G$2:$G$2050&lt;&gt;""),ROWS(J$1:J34))),"")</f>
        <v>OPP 1204-2 INDIAN HILLS CIR</v>
      </c>
      <c r="K34">
        <f>IF(J34="","",INDEX('Assignment Tool'!E50:E2083,MATCH(FA_DATA!J34,'Assignment Tool'!D50:D2083,0)))</f>
        <v>4</v>
      </c>
    </row>
    <row r="35" spans="1:11" x14ac:dyDescent="0.25">
      <c r="A35" s="118" t="str">
        <f t="shared" si="0"/>
        <v>R 906-2 PINMONT DR N</v>
      </c>
      <c r="G35" t="str">
        <f>IF('Assignment Tool'!C35="","",IF('Assignment Tool'!C35="FST",'Assignment Tool'!D35,""))</f>
        <v/>
      </c>
      <c r="H35">
        <v>35</v>
      </c>
      <c r="I35">
        <f t="shared" si="1"/>
        <v>165</v>
      </c>
      <c r="J35" t="str">
        <f t="array" ref="J35">IFERROR(INDEX($G$2:$G$2050,_xlfn.AGGREGATE(15,6,(ROW($G$2:$G$2050)-ROW($G$2)+1)/($G$2:$G$2050&lt;&gt;""),ROWS(J$1:J35))),"")</f>
        <v>F 1203-2 INDIAN HILLS CIR</v>
      </c>
      <c r="K35">
        <f>IF(J35="","",INDEX('Assignment Tool'!E51:E2084,MATCH(FA_DATA!J35,'Assignment Tool'!D51:D2084,0)))</f>
        <v>4</v>
      </c>
    </row>
    <row r="36" spans="1:11" x14ac:dyDescent="0.25">
      <c r="A36" s="118" t="str">
        <f t="shared" si="0"/>
        <v>R 906-2 PINMONT DR N</v>
      </c>
      <c r="G36" t="str">
        <f>IF('Assignment Tool'!C36="","",IF('Assignment Tool'!C36="FST",'Assignment Tool'!D36,""))</f>
        <v/>
      </c>
      <c r="H36">
        <v>36</v>
      </c>
      <c r="I36">
        <f t="shared" si="1"/>
        <v>169</v>
      </c>
      <c r="J36" t="str">
        <f t="array" ref="J36">IFERROR(INDEX($G$2:$G$2050,_xlfn.AGGREGATE(15,6,(ROW($G$2:$G$2050)-ROW($G$2)+1)/($G$2:$G$2050&lt;&gt;""),ROWS(J$1:J36))),"")</f>
        <v>F 1312-2 INDIAN HILLS CIR</v>
      </c>
      <c r="K36">
        <f>IF(J36="","",INDEX('Assignment Tool'!E52:E2085,MATCH(FA_DATA!J36,'Assignment Tool'!D52:D2085,0)))</f>
        <v>8</v>
      </c>
    </row>
    <row r="37" spans="1:11" x14ac:dyDescent="0.25">
      <c r="A37" s="118" t="str">
        <f t="shared" si="0"/>
        <v>F 906-2 PINEMONT DR N</v>
      </c>
      <c r="G37" t="str">
        <f>IF('Assignment Tool'!C37="","",IF('Assignment Tool'!C37="FST",'Assignment Tool'!D37,""))</f>
        <v/>
      </c>
      <c r="H37">
        <v>37</v>
      </c>
      <c r="I37">
        <f t="shared" si="1"/>
        <v>177</v>
      </c>
      <c r="J37" t="str">
        <f t="array" ref="J37">IFERROR(INDEX($G$2:$G$2050,_xlfn.AGGREGATE(15,6,(ROW($G$2:$G$2050)-ROW($G$2)+1)/($G$2:$G$2050&lt;&gt;""),ROWS(J$1:J37))),"")</f>
        <v>F 1308-2 INDIAN HILLS CIR</v>
      </c>
      <c r="K37">
        <f>IF(J37="","",INDEX('Assignment Tool'!E53:E2086,MATCH(FA_DATA!J37,'Assignment Tool'!D53:D2086,0)))</f>
        <v>4</v>
      </c>
    </row>
    <row r="38" spans="1:11" x14ac:dyDescent="0.25">
      <c r="A38" s="118" t="str">
        <f t="shared" si="0"/>
        <v>F 906-2 PINEMONT DR N</v>
      </c>
      <c r="G38" t="str">
        <f>IF('Assignment Tool'!C38="","",IF('Assignment Tool'!C38="FST",'Assignment Tool'!D38,""))</f>
        <v/>
      </c>
      <c r="H38">
        <v>38</v>
      </c>
      <c r="I38">
        <f t="shared" si="1"/>
        <v>181</v>
      </c>
      <c r="J38" t="str">
        <f t="array" ref="J38">IFERROR(INDEX($G$2:$G$2050,_xlfn.AGGREGATE(15,6,(ROW($G$2:$G$2050)-ROW($G$2)+1)/($G$2:$G$2050&lt;&gt;""),ROWS(J$1:J38))),"")</f>
        <v>F 1300-2 INDINA HILLS CIR</v>
      </c>
      <c r="K38">
        <f>IF(J38="","",INDEX('Assignment Tool'!E54:E2087,MATCH(FA_DATA!J38,'Assignment Tool'!D54:D2087,0)))</f>
        <v>4</v>
      </c>
    </row>
    <row r="39" spans="1:11" x14ac:dyDescent="0.25">
      <c r="A39" s="118" t="str">
        <f t="shared" si="0"/>
        <v>F 906-2 PINEMONT DR N</v>
      </c>
      <c r="G39" t="str">
        <f>IF('Assignment Tool'!C39="","",IF('Assignment Tool'!C39="FST",'Assignment Tool'!D39,""))</f>
        <v/>
      </c>
      <c r="H39">
        <v>39</v>
      </c>
      <c r="I39">
        <f t="shared" si="1"/>
        <v>185</v>
      </c>
      <c r="J39" t="str">
        <f t="array" ref="J39">IFERROR(INDEX($G$2:$G$2050,_xlfn.AGGREGATE(15,6,(ROW($G$2:$G$2050)-ROW($G$2)+1)/($G$2:$G$2050&lt;&gt;""),ROWS(J$1:J39))),"")</f>
        <v>F 1216-2 INDIAN HILLS CIR</v>
      </c>
      <c r="K39">
        <f>IF(J39="","",INDEX('Assignment Tool'!E55:E2088,MATCH(FA_DATA!J39,'Assignment Tool'!D55:D2088,0)))</f>
        <v>4</v>
      </c>
    </row>
    <row r="40" spans="1:11" x14ac:dyDescent="0.25">
      <c r="A40" s="118" t="str">
        <f t="shared" si="0"/>
        <v>F 906-2 PINEMONT DR N</v>
      </c>
      <c r="G40" t="str">
        <f>IF('Assignment Tool'!C40="","",IF('Assignment Tool'!C40="FST",'Assignment Tool'!D40,""))</f>
        <v/>
      </c>
      <c r="H40">
        <v>40</v>
      </c>
      <c r="I40">
        <f t="shared" si="1"/>
        <v>189</v>
      </c>
      <c r="J40" t="str">
        <f t="array" ref="J40">IFERROR(INDEX($G$2:$G$2050,_xlfn.AGGREGATE(15,6,(ROW($G$2:$G$2050)-ROW($G$2)+1)/($G$2:$G$2050&lt;&gt;""),ROWS(J$1:J40))),"")</f>
        <v>F 1210-2 INDIAN HILLS CIR</v>
      </c>
      <c r="K40">
        <f>IF(J40="","",INDEX('Assignment Tool'!E56:E2089,MATCH(FA_DATA!J40,'Assignment Tool'!D56:D2089,0)))</f>
        <v>4</v>
      </c>
    </row>
    <row r="41" spans="1:11" x14ac:dyDescent="0.25">
      <c r="A41" s="118" t="str">
        <f t="shared" si="0"/>
        <v>R 928-2 PINEMONT DR N</v>
      </c>
      <c r="G41" t="str">
        <f>IF('Assignment Tool'!C41="","",IF('Assignment Tool'!C41="FST",'Assignment Tool'!D41,""))</f>
        <v/>
      </c>
      <c r="H41">
        <v>41</v>
      </c>
      <c r="I41">
        <f t="shared" si="1"/>
        <v>193</v>
      </c>
      <c r="J41" t="str">
        <f t="array" ref="J41">IFERROR(INDEX($G$2:$G$2050,_xlfn.AGGREGATE(15,6,(ROW($G$2:$G$2050)-ROW($G$2)+1)/($G$2:$G$2050&lt;&gt;""),ROWS(J$1:J41))),"")</f>
        <v>F 603-1 OVERLOOK RD N</v>
      </c>
      <c r="K41">
        <f>IF(J41="","",INDEX('Assignment Tool'!E57:E2090,MATCH(FA_DATA!J41,'Assignment Tool'!D57:D2090,0)))</f>
        <v>4</v>
      </c>
    </row>
    <row r="42" spans="1:11" x14ac:dyDescent="0.25">
      <c r="A42" s="118" t="str">
        <f t="shared" si="0"/>
        <v>R 928-2 PINEMONT DR N</v>
      </c>
      <c r="G42" t="str">
        <f>IF('Assignment Tool'!C42="","",IF('Assignment Tool'!C42="FST",'Assignment Tool'!D42,""))</f>
        <v/>
      </c>
      <c r="H42">
        <v>42</v>
      </c>
      <c r="I42">
        <f t="shared" si="1"/>
        <v>197</v>
      </c>
      <c r="J42" t="str">
        <f t="array" ref="J42">IFERROR(INDEX($G$2:$G$2050,_xlfn.AGGREGATE(15,6,(ROW($G$2:$G$2050)-ROW($G$2)+1)/($G$2:$G$2050&lt;&gt;""),ROWS(J$1:J42))),"")</f>
        <v>F 629-1 OVERLOOK RD N</v>
      </c>
      <c r="K42">
        <f>IF(J42="","",INDEX('Assignment Tool'!E58:E2091,MATCH(FA_DATA!J42,'Assignment Tool'!D58:D2091,0)))</f>
        <v>2</v>
      </c>
    </row>
    <row r="43" spans="1:11" x14ac:dyDescent="0.25">
      <c r="A43" s="118" t="str">
        <f t="shared" si="0"/>
        <v>R 928-2 PINEMONT DR N</v>
      </c>
      <c r="G43" t="str">
        <f>IF('Assignment Tool'!C43="","",IF('Assignment Tool'!C43="FST",'Assignment Tool'!D43,""))</f>
        <v/>
      </c>
      <c r="H43">
        <v>43</v>
      </c>
      <c r="I43">
        <f t="shared" si="1"/>
        <v>199</v>
      </c>
      <c r="J43" t="str">
        <f t="array" ref="J43">IFERROR(INDEX($G$2:$G$2050,_xlfn.AGGREGATE(15,6,(ROW($G$2:$G$2050)-ROW($G$2)+1)/($G$2:$G$2050&lt;&gt;""),ROWS(J$1:J43))),"")</f>
        <v>F 635-1 OVERLOOK RD N</v>
      </c>
      <c r="K43">
        <f>IF(J43="","",INDEX('Assignment Tool'!E59:E2092,MATCH(FA_DATA!J43,'Assignment Tool'!D59:D2092,0)))</f>
        <v>2</v>
      </c>
    </row>
    <row r="44" spans="1:11" x14ac:dyDescent="0.25">
      <c r="A44" s="118" t="str">
        <f t="shared" si="0"/>
        <v>R 928-2 PINEMONT DR N</v>
      </c>
      <c r="G44" t="str">
        <f>IF('Assignment Tool'!C44="","",IF('Assignment Tool'!C44="FST",'Assignment Tool'!D44,""))</f>
        <v/>
      </c>
      <c r="H44">
        <v>44</v>
      </c>
      <c r="I44">
        <f t="shared" si="1"/>
        <v>201</v>
      </c>
      <c r="J44" t="str">
        <f t="array" ref="J44">IFERROR(INDEX($G$2:$G$2050,_xlfn.AGGREGATE(15,6,(ROW($G$2:$G$2050)-ROW($G$2)+1)/($G$2:$G$2050&lt;&gt;""),ROWS(J$1:J44))),"")</f>
        <v>F 721-1 OVERLOOK RD N</v>
      </c>
      <c r="K44">
        <f>IF(J44="","",INDEX('Assignment Tool'!E60:E2093,MATCH(FA_DATA!J44,'Assignment Tool'!D60:D2093,0)))</f>
        <v>4</v>
      </c>
    </row>
    <row r="45" spans="1:11" x14ac:dyDescent="0.25">
      <c r="A45" s="118" t="str">
        <f t="shared" si="0"/>
        <v>R 1006-2 PINMONT DR N</v>
      </c>
      <c r="G45" t="str">
        <f>IF('Assignment Tool'!C45="","",IF('Assignment Tool'!C45="FST",'Assignment Tool'!D45,""))</f>
        <v/>
      </c>
      <c r="H45">
        <v>45</v>
      </c>
      <c r="I45">
        <f t="shared" si="1"/>
        <v>205</v>
      </c>
      <c r="J45" t="str">
        <f t="array" ref="J45">IFERROR(INDEX($G$2:$G$2050,_xlfn.AGGREGATE(15,6,(ROW($G$2:$G$2050)-ROW($G$2)+1)/($G$2:$G$2050&lt;&gt;""),ROWS(J$1:J45))),"")</f>
        <v>F 813-2 OVERLOOK RD N</v>
      </c>
      <c r="K45">
        <f>IF(J45="","",INDEX('Assignment Tool'!E61:E2094,MATCH(FA_DATA!J45,'Assignment Tool'!D61:D2094,0)))</f>
        <v>4</v>
      </c>
    </row>
    <row r="46" spans="1:11" x14ac:dyDescent="0.25">
      <c r="A46" s="118" t="str">
        <f t="shared" si="0"/>
        <v>R 1006-2 PINMONT DR N</v>
      </c>
      <c r="G46" t="str">
        <f>IF('Assignment Tool'!C46="","",IF('Assignment Tool'!C46="FST",'Assignment Tool'!D46,""))</f>
        <v/>
      </c>
      <c r="H46">
        <v>46</v>
      </c>
      <c r="I46">
        <f t="shared" si="1"/>
        <v>209</v>
      </c>
      <c r="J46" t="str">
        <f t="array" ref="J46">IFERROR(INDEX($G$2:$G$2050,_xlfn.AGGREGATE(15,6,(ROW($G$2:$G$2050)-ROW($G$2)+1)/($G$2:$G$2050&lt;&gt;""),ROWS(J$1:J46))),"")</f>
        <v>F 831-2 OVERLOOK RD N</v>
      </c>
      <c r="K46">
        <f>IF(J46="","",INDEX('Assignment Tool'!E62:E2095,MATCH(FA_DATA!J46,'Assignment Tool'!D62:D2095,0)))</f>
        <v>4</v>
      </c>
    </row>
    <row r="47" spans="1:11" x14ac:dyDescent="0.25">
      <c r="A47" s="118" t="str">
        <f t="shared" si="0"/>
        <v>R 1006-2 PINMONT DR N</v>
      </c>
      <c r="G47" t="str">
        <f>IF('Assignment Tool'!C47="","",IF('Assignment Tool'!C47="FST",'Assignment Tool'!D47,""))</f>
        <v/>
      </c>
      <c r="H47">
        <v>47</v>
      </c>
      <c r="I47">
        <f t="shared" si="1"/>
        <v>213</v>
      </c>
      <c r="J47" t="str">
        <f t="array" ref="J47">IFERROR(INDEX($G$2:$G$2050,_xlfn.AGGREGATE(15,6,(ROW($G$2:$G$2050)-ROW($G$2)+1)/($G$2:$G$2050&lt;&gt;""),ROWS(J$1:J47))),"")</f>
        <v>F 911-2 OVERLOOK RD N</v>
      </c>
      <c r="K47">
        <f>IF(J47="","",INDEX('Assignment Tool'!E63:E2096,MATCH(FA_DATA!J47,'Assignment Tool'!D63:D2096,0)))</f>
        <v>8</v>
      </c>
    </row>
    <row r="48" spans="1:11" x14ac:dyDescent="0.25">
      <c r="A48" s="118" t="str">
        <f t="shared" si="0"/>
        <v>R 1006-2 PINMONT DR N</v>
      </c>
      <c r="G48" t="str">
        <f>IF('Assignment Tool'!C48="","",IF('Assignment Tool'!C48="FST",'Assignment Tool'!D48,""))</f>
        <v/>
      </c>
      <c r="H48">
        <v>48</v>
      </c>
      <c r="I48">
        <f t="shared" si="1"/>
        <v>221</v>
      </c>
      <c r="J48" t="str">
        <f t="array" ref="J48">IFERROR(INDEX($G$2:$G$2050,_xlfn.AGGREGATE(15,6,(ROW($G$2:$G$2050)-ROW($G$2)+1)/($G$2:$G$2050&lt;&gt;""),ROWS(J$1:J48))),"")</f>
        <v>F 933-2 OVERLOOK RD N</v>
      </c>
      <c r="K48">
        <f>IF(J48="","",INDEX('Assignment Tool'!E64:E2097,MATCH(FA_DATA!J48,'Assignment Tool'!D64:D2097,0)))</f>
        <v>8</v>
      </c>
    </row>
    <row r="49" spans="1:11" x14ac:dyDescent="0.25">
      <c r="A49" s="118" t="str">
        <f t="shared" si="0"/>
        <v>R 1020-2 PINEMONT DR N</v>
      </c>
      <c r="G49" t="str">
        <f>IF('Assignment Tool'!C49="","",IF('Assignment Tool'!C49="FST",'Assignment Tool'!D49,""))</f>
        <v/>
      </c>
      <c r="H49">
        <v>49</v>
      </c>
      <c r="I49">
        <f t="shared" si="1"/>
        <v>229</v>
      </c>
      <c r="J49" t="str">
        <f t="array" ref="J49">IFERROR(INDEX($G$2:$G$2050,_xlfn.AGGREGATE(15,6,(ROW($G$2:$G$2050)-ROW($G$2)+1)/($G$2:$G$2050&lt;&gt;""),ROWS(J$1:J49))),"")</f>
        <v>R 820-2 OVERLOOK RD N</v>
      </c>
      <c r="K49">
        <f>IF(J49="","",INDEX('Assignment Tool'!E65:E2098,MATCH(FA_DATA!J49,'Assignment Tool'!D65:D2098,0)))</f>
        <v>8</v>
      </c>
    </row>
    <row r="50" spans="1:11" x14ac:dyDescent="0.25">
      <c r="A50" s="118" t="str">
        <f t="shared" si="0"/>
        <v>R 1020-2 PINEMONT DR N</v>
      </c>
      <c r="G50" t="str">
        <f>IF('Assignment Tool'!C50="","",IF('Assignment Tool'!C50="FST",'Assignment Tool'!D50,""))</f>
        <v/>
      </c>
      <c r="H50">
        <v>50</v>
      </c>
      <c r="I50">
        <f t="shared" si="1"/>
        <v>237</v>
      </c>
      <c r="J50" t="str">
        <f t="array" ref="J50">IFERROR(INDEX($G$2:$G$2050,_xlfn.AGGREGATE(15,6,(ROW($G$2:$G$2050)-ROW($G$2)+1)/($G$2:$G$2050&lt;&gt;""),ROWS(J$1:J50))),"")</f>
        <v>R 927-2 PINEMONT DR N</v>
      </c>
      <c r="K50">
        <f>IF(J50="","",INDEX('Assignment Tool'!E66:E2099,MATCH(FA_DATA!J50,'Assignment Tool'!D66:D2099,0)))</f>
        <v>4</v>
      </c>
    </row>
    <row r="51" spans="1:11" x14ac:dyDescent="0.25">
      <c r="A51" s="118" t="str">
        <f t="shared" si="0"/>
        <v>R 1020-2 PINEMONT DR N</v>
      </c>
      <c r="G51" t="str">
        <f>IF('Assignment Tool'!C51="","",IF('Assignment Tool'!C51="FST",'Assignment Tool'!D51,""))</f>
        <v/>
      </c>
      <c r="H51">
        <v>51</v>
      </c>
      <c r="I51">
        <f t="shared" si="1"/>
        <v>241</v>
      </c>
      <c r="J51" t="str">
        <f t="array" ref="J51">IFERROR(INDEX($G$2:$G$2050,_xlfn.AGGREGATE(15,6,(ROW($G$2:$G$2050)-ROW($G$2)+1)/($G$2:$G$2050&lt;&gt;""),ROWS(J$1:J51))),"")</f>
        <v>R 1007-2 PINEMONT DR N</v>
      </c>
      <c r="K51">
        <f>IF(J51="","",INDEX('Assignment Tool'!E67:E2100,MATCH(FA_DATA!J51,'Assignment Tool'!D67:D2100,0)))</f>
        <v>4</v>
      </c>
    </row>
    <row r="52" spans="1:11" x14ac:dyDescent="0.25">
      <c r="A52" s="118" t="str">
        <f t="shared" si="0"/>
        <v>R 1020-2 PINEMONT DR N</v>
      </c>
      <c r="G52" t="str">
        <f>IF('Assignment Tool'!C52="","",IF('Assignment Tool'!C52="FST",'Assignment Tool'!D52,""))</f>
        <v/>
      </c>
      <c r="H52">
        <v>52</v>
      </c>
      <c r="I52">
        <f t="shared" si="1"/>
        <v>245</v>
      </c>
      <c r="J52" t="str">
        <f t="array" ref="J52">IFERROR(INDEX($G$2:$G$2050,_xlfn.AGGREGATE(15,6,(ROW($G$2:$G$2050)-ROW($G$2)+1)/($G$2:$G$2050&lt;&gt;""),ROWS(J$1:J52))),"")</f>
        <v>R 1021-2 PINEMONT DR N</v>
      </c>
      <c r="K52">
        <f>IF(J52="","",INDEX('Assignment Tool'!E68:E2101,MATCH(FA_DATA!J52,'Assignment Tool'!D68:D2101,0)))</f>
        <v>8</v>
      </c>
    </row>
    <row r="53" spans="1:11" x14ac:dyDescent="0.25">
      <c r="A53" s="118" t="str">
        <f t="shared" si="0"/>
        <v>R 1104-2 PINEMONT DR N</v>
      </c>
      <c r="G53" t="str">
        <f>IF('Assignment Tool'!C53="","",IF('Assignment Tool'!C53="FST",'Assignment Tool'!D53,""))</f>
        <v/>
      </c>
      <c r="H53">
        <v>53</v>
      </c>
      <c r="I53">
        <f t="shared" si="1"/>
        <v>253</v>
      </c>
      <c r="J53" t="str">
        <f t="array" ref="J53">IFERROR(INDEX($G$2:$G$2050,_xlfn.AGGREGATE(15,6,(ROW($G$2:$G$2050)-ROW($G$2)+1)/($G$2:$G$2050&lt;&gt;""),ROWS(J$1:J53))),"")</f>
        <v>F 1031-2 PVER;PPL RD N</v>
      </c>
      <c r="K53">
        <f>IF(J53="","",INDEX('Assignment Tool'!E69:E2102,MATCH(FA_DATA!J53,'Assignment Tool'!D69:D2102,0)))</f>
        <v>8</v>
      </c>
    </row>
    <row r="54" spans="1:11" x14ac:dyDescent="0.25">
      <c r="A54" s="118" t="str">
        <f t="shared" si="0"/>
        <v>R 1104-2 PINEMONT DR N</v>
      </c>
      <c r="G54" t="str">
        <f>IF('Assignment Tool'!C54="","",IF('Assignment Tool'!C54="FST",'Assignment Tool'!D54,""))</f>
        <v/>
      </c>
      <c r="H54">
        <v>54</v>
      </c>
      <c r="I54">
        <f t="shared" si="1"/>
        <v>261</v>
      </c>
      <c r="J54" t="str">
        <f t="array" ref="J54">IFERROR(INDEX($G$2:$G$2050,_xlfn.AGGREGATE(15,6,(ROW($G$2:$G$2050)-ROW($G$2)+1)/($G$2:$G$2050&lt;&gt;""),ROWS(J$1:J54))),"")</f>
        <v>F 1203-2 OVERLOOK RD N</v>
      </c>
      <c r="K54">
        <f>IF(J54="","",INDEX('Assignment Tool'!E70:E2103,MATCH(FA_DATA!J54,'Assignment Tool'!D70:D2103,0)))</f>
        <v>4</v>
      </c>
    </row>
    <row r="55" spans="1:11" x14ac:dyDescent="0.25">
      <c r="A55" s="118" t="str">
        <f t="shared" si="0"/>
        <v>R 1104-2 PINEMONT DR N</v>
      </c>
      <c r="G55" t="str">
        <f>IF('Assignment Tool'!C55="","",IF('Assignment Tool'!C55="FST",'Assignment Tool'!D55,""))</f>
        <v/>
      </c>
      <c r="H55">
        <v>55</v>
      </c>
      <c r="I55">
        <f t="shared" si="1"/>
        <v>265</v>
      </c>
      <c r="J55" t="str">
        <f t="array" ref="J55">IFERROR(INDEX($G$2:$G$2050,_xlfn.AGGREGATE(15,6,(ROW($G$2:$G$2050)-ROW($G$2)+1)/($G$2:$G$2050&lt;&gt;""),ROWS(J$1:J55))),"")</f>
        <v>F 1227-2 OVERLOOK RD N</v>
      </c>
      <c r="K55">
        <f>IF(J55="","",INDEX('Assignment Tool'!E71:E2104,MATCH(FA_DATA!J55,'Assignment Tool'!D71:D2104,0)))</f>
        <v>4</v>
      </c>
    </row>
    <row r="56" spans="1:11" x14ac:dyDescent="0.25">
      <c r="A56" s="118" t="str">
        <f t="shared" si="0"/>
        <v>R 1104-2 PINEMONT DR N</v>
      </c>
      <c r="G56" t="str">
        <f>IF('Assignment Tool'!C56="","",IF('Assignment Tool'!C56="FST",'Assignment Tool'!D56,""))</f>
        <v/>
      </c>
      <c r="H56">
        <v>56</v>
      </c>
      <c r="I56">
        <f t="shared" si="1"/>
        <v>269</v>
      </c>
      <c r="J56" t="str">
        <f t="array" ref="J56">IFERROR(INDEX($G$2:$G$2050,_xlfn.AGGREGATE(15,6,(ROW($G$2:$G$2050)-ROW($G$2)+1)/($G$2:$G$2050&lt;&gt;""),ROWS(J$1:J56))),"")</f>
        <v>F 1303-2 OVERLOOK RD N</v>
      </c>
      <c r="K56">
        <f>IF(J56="","",INDEX('Assignment Tool'!E72:E2105,MATCH(FA_DATA!J56,'Assignment Tool'!D72:D2105,0)))</f>
        <v>4</v>
      </c>
    </row>
    <row r="57" spans="1:11" x14ac:dyDescent="0.25">
      <c r="A57" s="118" t="str">
        <f t="shared" si="0"/>
        <v>R 1124-2 PINEMONT DR N</v>
      </c>
      <c r="G57" t="str">
        <f>IF('Assignment Tool'!C57="","",IF('Assignment Tool'!C57="FST",'Assignment Tool'!D57,""))</f>
        <v/>
      </c>
      <c r="H57">
        <v>57</v>
      </c>
      <c r="I57">
        <f t="shared" si="1"/>
        <v>273</v>
      </c>
      <c r="J57" t="str">
        <f t="array" ref="J57">IFERROR(INDEX($G$2:$G$2050,_xlfn.AGGREGATE(15,6,(ROW($G$2:$G$2050)-ROW($G$2)+1)/($G$2:$G$2050&lt;&gt;""),ROWS(J$1:J57))),"")</f>
        <v>F 1313-2 OVERLOOK RD N</v>
      </c>
      <c r="K57">
        <f>IF(J57="","",INDEX('Assignment Tool'!E73:E2106,MATCH(FA_DATA!J57,'Assignment Tool'!D73:D2106,0)))</f>
        <v>4</v>
      </c>
    </row>
    <row r="58" spans="1:11" x14ac:dyDescent="0.25">
      <c r="A58" s="118" t="str">
        <f t="shared" si="0"/>
        <v>R 1124-2 PINEMONT DR N</v>
      </c>
      <c r="G58" t="str">
        <f>IF('Assignment Tool'!C58="","",IF('Assignment Tool'!C58="FST",'Assignment Tool'!D58,""))</f>
        <v/>
      </c>
      <c r="H58">
        <v>58</v>
      </c>
      <c r="I58">
        <f t="shared" si="1"/>
        <v>277</v>
      </c>
      <c r="J58" t="str">
        <f t="array" ref="J58">IFERROR(INDEX($G$2:$G$2050,_xlfn.AGGREGATE(15,6,(ROW($G$2:$G$2050)-ROW($G$2)+1)/($G$2:$G$2050&lt;&gt;""),ROWS(J$1:J58))),"")</f>
        <v>R 1306-2 OVERLOOK RD N</v>
      </c>
      <c r="K58">
        <f>IF(J58="","",INDEX('Assignment Tool'!E74:E2107,MATCH(FA_DATA!J58,'Assignment Tool'!D74:D2107,0)))</f>
        <v>4</v>
      </c>
    </row>
    <row r="59" spans="1:11" x14ac:dyDescent="0.25">
      <c r="A59" s="118" t="str">
        <f t="shared" si="0"/>
        <v>R 1124-2 PINEMONT DR N</v>
      </c>
      <c r="G59" t="str">
        <f>IF('Assignment Tool'!C59="","",IF('Assignment Tool'!C59="FST",'Assignment Tool'!D59,""))</f>
        <v>F 732-1 CANYON CIR N</v>
      </c>
      <c r="H59">
        <v>59</v>
      </c>
      <c r="I59">
        <f t="shared" si="1"/>
        <v>281</v>
      </c>
      <c r="J59" t="str">
        <f t="array" ref="J59">IFERROR(INDEX($G$2:$G$2050,_xlfn.AGGREGATE(15,6,(ROW($G$2:$G$2050)-ROW($G$2)+1)/($G$2:$G$2050&lt;&gt;""),ROWS(J$1:J59))),"")</f>
        <v>F 1115-1 MEADOW LN N</v>
      </c>
      <c r="K59">
        <f>IF(J59="","",INDEX('Assignment Tool'!E75:E2108,MATCH(FA_DATA!J59,'Assignment Tool'!D75:D2108,0)))</f>
        <v>8</v>
      </c>
    </row>
    <row r="60" spans="1:11" x14ac:dyDescent="0.25">
      <c r="A60" s="118" t="str">
        <f t="shared" si="0"/>
        <v>R 1124-2 PINEMONT DR N</v>
      </c>
      <c r="G60" t="str">
        <f>IF('Assignment Tool'!C60="","",IF('Assignment Tool'!C60="FST",'Assignment Tool'!D60,""))</f>
        <v>F 818-1 CANYON RD N</v>
      </c>
      <c r="H60">
        <v>60</v>
      </c>
      <c r="I60">
        <f t="shared" si="1"/>
        <v>289</v>
      </c>
      <c r="J60" t="str">
        <f t="array" ref="J60">IFERROR(INDEX($G$2:$G$2050,_xlfn.AGGREGATE(15,6,(ROW($G$2:$G$2050)-ROW($G$2)+1)/($G$2:$G$2050&lt;&gt;""),ROWS(J$1:J60))),"")</f>
        <v>R 1330-2 OVERLOOK RD N</v>
      </c>
      <c r="K60">
        <f>IF(J60="","",INDEX('Assignment Tool'!E76:E2109,MATCH(FA_DATA!J60,'Assignment Tool'!D76:D2109,0)))</f>
        <v>4</v>
      </c>
    </row>
    <row r="61" spans="1:11" x14ac:dyDescent="0.25">
      <c r="A61" s="118" t="str">
        <f t="shared" si="0"/>
        <v>F 726-1 CANYON CIR N</v>
      </c>
      <c r="G61" t="str">
        <f>IF('Assignment Tool'!C61="","",IF('Assignment Tool'!C61="FST",'Assignment Tool'!D61,""))</f>
        <v>F 824-2 CNAYON RD N</v>
      </c>
      <c r="H61">
        <v>61</v>
      </c>
      <c r="I61">
        <f t="shared" si="1"/>
        <v>293</v>
      </c>
      <c r="J61" t="str">
        <f t="array" ref="J61">IFERROR(INDEX($G$2:$G$2050,_xlfn.AGGREGATE(15,6,(ROW($G$2:$G$2050)-ROW($G$2)+1)/($G$2:$G$2050&lt;&gt;""),ROWS(J$1:J61))),"")</f>
        <v>R 1356-2 OVERLOOK RD N</v>
      </c>
      <c r="K61">
        <f>IF(J61="","",INDEX('Assignment Tool'!E77:E2110,MATCH(FA_DATA!J61,'Assignment Tool'!D77:D2110,0)))</f>
        <v>4</v>
      </c>
    </row>
    <row r="62" spans="1:11" x14ac:dyDescent="0.25">
      <c r="A62" s="118" t="str">
        <f t="shared" si="0"/>
        <v>F 726-1 CANYON CIR N</v>
      </c>
      <c r="G62" t="str">
        <f>IF('Assignment Tool'!C62="","",IF('Assignment Tool'!C62="FST",'Assignment Tool'!D62,""))</f>
        <v>F 1100-1 CANYON RD N</v>
      </c>
      <c r="H62">
        <v>62</v>
      </c>
      <c r="I62">
        <f t="shared" si="1"/>
        <v>297</v>
      </c>
      <c r="J62" t="str">
        <f t="array" ref="J62">IFERROR(INDEX($G$2:$G$2050,_xlfn.AGGREGATE(15,6,(ROW($G$2:$G$2050)-ROW($G$2)+1)/($G$2:$G$2050&lt;&gt;""),ROWS(J$1:J62))),"")</f>
        <v>F 1304-2 HIGH FOREST DR N</v>
      </c>
      <c r="K62">
        <f>IF(J62="","",INDEX('Assignment Tool'!E78:E2111,MATCH(FA_DATA!J62,'Assignment Tool'!D78:D2111,0)))</f>
        <v>4</v>
      </c>
    </row>
    <row r="63" spans="1:11" x14ac:dyDescent="0.25">
      <c r="A63" s="118" t="str">
        <f t="shared" si="0"/>
        <v>F 726-1 CANYON CIR N</v>
      </c>
      <c r="G63" t="str">
        <f>IF('Assignment Tool'!C63="","",IF('Assignment Tool'!C63="FST",'Assignment Tool'!D63,""))</f>
        <v>F 1110-2 CANYON RD N</v>
      </c>
      <c r="H63">
        <v>63</v>
      </c>
      <c r="I63">
        <f t="shared" si="1"/>
        <v>301</v>
      </c>
      <c r="J63" t="str">
        <f t="array" ref="J63">IFERROR(INDEX($G$2:$G$2050,_xlfn.AGGREGATE(15,6,(ROW($G$2:$G$2050)-ROW($G$2)+1)/($G$2:$G$2050&lt;&gt;""),ROWS(J$1:J63))),"")</f>
        <v>F 1405-2 HIGH FOREST DR N</v>
      </c>
      <c r="K63">
        <f>IF(J63="","",INDEX('Assignment Tool'!E79:E2112,MATCH(FA_DATA!J63,'Assignment Tool'!D79:D2112,0)))</f>
        <v>4</v>
      </c>
    </row>
    <row r="64" spans="1:11" x14ac:dyDescent="0.25">
      <c r="A64" s="118" t="str">
        <f t="shared" si="0"/>
        <v>F 726-1 CANYON CIR N</v>
      </c>
      <c r="G64" t="str">
        <f>IF('Assignment Tool'!C64="","",IF('Assignment Tool'!C64="FST",'Assignment Tool'!D64,""))</f>
        <v/>
      </c>
      <c r="H64">
        <v>64</v>
      </c>
      <c r="I64">
        <f t="shared" si="1"/>
        <v>305</v>
      </c>
      <c r="J64" t="str">
        <f t="array" ref="J64">IFERROR(INDEX($G$2:$G$2050,_xlfn.AGGREGATE(15,6,(ROW($G$2:$G$2050)-ROW($G$2)+1)/($G$2:$G$2050&lt;&gt;""),ROWS(J$1:J64))),"")</f>
        <v>F 1415-2 HIGH FOREST DR N</v>
      </c>
      <c r="K64">
        <f>IF(J64="","",INDEX('Assignment Tool'!E80:E2113,MATCH(FA_DATA!J64,'Assignment Tool'!D80:D2113,0)))</f>
        <v>4</v>
      </c>
    </row>
    <row r="65" spans="1:11" x14ac:dyDescent="0.25">
      <c r="A65" s="118" t="str">
        <f t="shared" si="0"/>
        <v>F624-1 CNAYON CIR N</v>
      </c>
      <c r="G65" t="str">
        <f>IF('Assignment Tool'!C65="","",IF('Assignment Tool'!C65="FST",'Assignment Tool'!D65,""))</f>
        <v/>
      </c>
      <c r="H65">
        <v>65</v>
      </c>
      <c r="I65">
        <f t="shared" si="1"/>
        <v>309</v>
      </c>
      <c r="J65" t="str">
        <f t="array" ref="J65">IFERROR(INDEX($G$2:$G$2050,_xlfn.AGGREGATE(15,6,(ROW($G$2:$G$2050)-ROW($G$2)+1)/($G$2:$G$2050&lt;&gt;""),ROWS(J$1:J65))),"")</f>
        <v>F 1508-2 HIGH FOREST DR N</v>
      </c>
      <c r="K65">
        <f>IF(J65="","",INDEX('Assignment Tool'!E81:E2114,MATCH(FA_DATA!J65,'Assignment Tool'!D81:D2114,0)))</f>
        <v>4</v>
      </c>
    </row>
    <row r="66" spans="1:11" x14ac:dyDescent="0.25">
      <c r="A66" s="118" t="str">
        <f t="shared" ref="A66:A129" si="2">VLOOKUP(H66,$I$1:$J$1000,2)</f>
        <v>F624-1 CNAYON CIR N</v>
      </c>
      <c r="G66" t="str">
        <f>IF('Assignment Tool'!C66="","",IF('Assignment Tool'!C66="FST",'Assignment Tool'!D66,""))</f>
        <v/>
      </c>
      <c r="H66">
        <v>66</v>
      </c>
      <c r="I66">
        <f t="shared" si="1"/>
        <v>313</v>
      </c>
      <c r="J66" t="str">
        <f t="array" ref="J66">IFERROR(INDEX($G$2:$G$2050,_xlfn.AGGREGATE(15,6,(ROW($G$2:$G$2050)-ROW($G$2)+1)/($G$2:$G$2050&lt;&gt;""),ROWS(J$1:J66))),"")</f>
        <v>F 1606-2 HIGH FOREST DR N</v>
      </c>
      <c r="K66">
        <f>IF(J66="","",INDEX('Assignment Tool'!E82:E2115,MATCH(FA_DATA!J66,'Assignment Tool'!D82:D2115,0)))</f>
        <v>4</v>
      </c>
    </row>
    <row r="67" spans="1:11" x14ac:dyDescent="0.25">
      <c r="A67" s="118" t="str">
        <f t="shared" si="2"/>
        <v>F624-1 CNAYON CIR N</v>
      </c>
      <c r="G67" t="str">
        <f>IF('Assignment Tool'!C67="","",IF('Assignment Tool'!C67="FST",'Assignment Tool'!D67,""))</f>
        <v/>
      </c>
      <c r="H67">
        <v>67</v>
      </c>
      <c r="I67">
        <f t="shared" ref="I67:I130" si="3">IFERROR((I66+K66),"")</f>
        <v>317</v>
      </c>
      <c r="J67" t="str">
        <f t="array" ref="J67">IFERROR(INDEX($G$2:$G$2050,_xlfn.AGGREGATE(15,6,(ROW($G$2:$G$2050)-ROW($G$2)+1)/($G$2:$G$2050&lt;&gt;""),ROWS(J$1:J67))),"")</f>
        <v>F 1702-2 HIGH FOREST DR N</v>
      </c>
      <c r="K67">
        <f>IF(J67="","",INDEX('Assignment Tool'!E83:E2116,MATCH(FA_DATA!J67,'Assignment Tool'!D83:D2116,0)))</f>
        <v>8</v>
      </c>
    </row>
    <row r="68" spans="1:11" x14ac:dyDescent="0.25">
      <c r="A68" s="118" t="str">
        <f t="shared" si="2"/>
        <v>F624-1 CNAYON CIR N</v>
      </c>
      <c r="G68" t="str">
        <f>IF('Assignment Tool'!C68="","",IF('Assignment Tool'!C68="FST",'Assignment Tool'!D68,""))</f>
        <v/>
      </c>
      <c r="H68">
        <v>68</v>
      </c>
      <c r="I68">
        <f t="shared" si="3"/>
        <v>325</v>
      </c>
      <c r="J68" t="str">
        <f t="array" ref="J68">IFERROR(INDEX($G$2:$G$2050,_xlfn.AGGREGATE(15,6,(ROW($G$2:$G$2050)-ROW($G$2)+1)/($G$2:$G$2050&lt;&gt;""),ROWS(J$1:J68))),"")</f>
        <v/>
      </c>
      <c r="K68" t="str">
        <f>IF(J68="","",INDEX('Assignment Tool'!E84:E2117,MATCH(FA_DATA!J68,'Assignment Tool'!D84:D2117,0)))</f>
        <v/>
      </c>
    </row>
    <row r="69" spans="1:11" x14ac:dyDescent="0.25">
      <c r="A69" s="118" t="str">
        <f t="shared" si="2"/>
        <v>F 604-1 CANYON CIR 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604-1 CANYON CIR 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604-1 CANYON CIR 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604-1 CANYON CIR 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OPP 1001-1 RICE MINE RD N</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OPP 1001-1 RICE MINE RD N</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OPP 1001-1 RICE MINE RD N</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OPP 1001-1 RICE MINE RD N</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OPP 1001-1 RICE MINE RD N</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OPP 1001-1 RICE MINE RD N</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OPP 1001-1 RICE MINE RD N</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OPP 1001-1 RICE MINE RD N</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OPP 1001-1 RICE MINE RD N</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OPP 1001-1 RICE MINE RD N</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OPP 1001-1 RICE MINE RD N</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OPP 1001-1 RICE MINE RD N</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805-2 RICE MINE RD N</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805-2 RICE MINE RD N</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805-2 RICE MINE RD N</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805-2 RICE MINE RD N</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805-2 RICE MINE RD N</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805-2 RICE MINE RD N</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805-2 RICE MINE RD N</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805-2 RICE MINE RD N</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805-2 RICE MINE RD N</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805-2 RICE MINE RD N</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805-2 RICE MINE RD N</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805-2 RICE MINE RD N</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728-1 7TH PL N</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728-1 7TH PL N</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728-1 7TH PL N</v>
      </c>
      <c r="G99" t="str">
        <f>IF('Assignment Tool'!C99="","",IF('Assignment Tool'!C99="FST",'Assignment Tool'!D99,""))</f>
        <v>R 844-2 PINEMONT DR N</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728-1 7TH PL N</v>
      </c>
      <c r="G100" t="str">
        <f>IF('Assignment Tool'!C100="","",IF('Assignment Tool'!C100="FST",'Assignment Tool'!D100,""))</f>
        <v>R 906-2 PINMONT DR N</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714-1 7TH PL N</v>
      </c>
      <c r="G101" t="str">
        <f>IF('Assignment Tool'!C101="","",IF('Assignment Tool'!C101="FST",'Assignment Tool'!D101,""))</f>
        <v>F 906-2 PINEMONT DR N</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714-1 7TH PL N</v>
      </c>
      <c r="G102" t="str">
        <f>IF('Assignment Tool'!C102="","",IF('Assignment Tool'!C102="FST",'Assignment Tool'!D102,""))</f>
        <v>R 928-2 PINEMONT DR N</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714-1 7TH PL N</v>
      </c>
      <c r="G103" t="str">
        <f>IF('Assignment Tool'!C103="","",IF('Assignment Tool'!C103="FST",'Assignment Tool'!D103,""))</f>
        <v>R 1006-2 PINMONT DR N</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714-1 7TH PL N</v>
      </c>
      <c r="G104" t="str">
        <f>IF('Assignment Tool'!C104="","",IF('Assignment Tool'!C104="FST",'Assignment Tool'!D104,""))</f>
        <v>R 1020-2 PINEMONT DR N</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706-2 7TH PL N</v>
      </c>
      <c r="G105" t="str">
        <f>IF('Assignment Tool'!C105="","",IF('Assignment Tool'!C105="FST",'Assignment Tool'!D105,""))</f>
        <v>R 1104-2 PINEMONT DR N</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706-2 7TH PL N</v>
      </c>
      <c r="G106" t="str">
        <f>IF('Assignment Tool'!C106="","",IF('Assignment Tool'!C106="FST",'Assignment Tool'!D106,""))</f>
        <v>R 1124-2 PINEMONT DR N</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706-2 7TH PL N</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706-2 7TH PL N</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907-2 INDIAN HILLS DR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907-2 INDIAN HILLS DR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907-2 INDIAN HILLS DR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907-2 INDIAN HILLS DR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917-2 INDIAN HILLS DR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917-2 INDIAN HILLS DR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917-2 INDIAN HILLS DR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917-2 INDIAN HILLS DR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1017-2 INDIAN  HILLS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1017-2 INDIAN  HILLS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1017-2 INDIAN  HILLS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1017-2 INDIAN  HILLS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1017-2 INDIAN  HILLS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1017-2 INDIAN  HILLS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1017-2 INDIAN  HILLS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1017-2 INDIAN  HILLS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1027-2 INDIAN HILLS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1027-2 INDIAN HILLS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1027-2 INDIAN HILLS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1027-2 INDIAN HILLS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1027-2 INDIAN HILLS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1027-2 INDIAN HILLS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1027-2 INDIAN HILLS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1027-2 INDIAN HILLS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1117-2 INDIAN HILLS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1117-2 INDIAN HILLS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1117-2 INDIAN HILLS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1117-2 INDIAN HILLS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1207-2 INDIAN HILLS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1207-2 INDIAN HILLS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1207-2 INDIAN HILLS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1207-2 INDIAN HILLS DR</v>
      </c>
      <c r="G140" t="str">
        <f>IF('Assignment Tool'!C140="","",IF('Assignment Tool'!C140="FST",'Assignment Tool'!D140,""))</f>
        <v>F 726-1 CANYON CIR 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1207-2 INDIAN HILLS DR</v>
      </c>
      <c r="G141" t="str">
        <f>IF('Assignment Tool'!C141="","",IF('Assignment Tool'!C141="FST",'Assignment Tool'!D141,""))</f>
        <v>F624-1 CNAYON CIR 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1207-2 INDIAN HILLS DR</v>
      </c>
      <c r="G142" t="str">
        <f>IF('Assignment Tool'!C142="","",IF('Assignment Tool'!C142="FST",'Assignment Tool'!D142,""))</f>
        <v>F 604-1 CANYON CIR N</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1207-2 INDIAN HILLS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1207-2 INDIAN HILLS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1225-2 INDIAN HILLS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1225-2 INDIAN HILLS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1225-2 INDIAN HILLS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1225-2 INDIAN HILLS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1322-2 INDIAN HILLS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1322-2 INDIAN HILLS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1322-2 INDIAN HILLS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1322-2 INDIAN HILLS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1322-2 INDIAN HILLS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1322-2 INDIAN HILLS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1322-2 INDIAN HILLS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1322-2 INDIAN HILLS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1202-2 INDIAN HILLS CIR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1202-2 INDIAN HILLS CIR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1202-2 INDIAN HILLS CIR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1202-2 INDIAN HILLS CIR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1204-2 INDIAN HILLS CIR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1204-2 INDIAN HILLS CIR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1204-2 INDIAN HILLS CIR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1204-2 INDIAN HILLS CIR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1203-2 INDIAN HILLS CIR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1203-2 INDIAN HILLS CIR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1203-2 INDIAN HILLS CIR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1203-2 INDIAN HILLS CIR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1312-2 INDIAN HILLS CIR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1312-2 INDIAN HILLS CIR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1312-2 INDIAN HILLS CIR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1312-2 INDIAN HILLS CIR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1312-2 INDIAN HILLS CIR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1312-2 INDIAN HILLS CIR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1312-2 INDIAN HILLS CIR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1312-2 INDIAN HILLS CIR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1308-2 INDIAN HILLS CIR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1308-2 INDIAN HILLS CIR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1308-2 INDIAN HILLS CIR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1308-2 INDIAN HILLS CIR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1300-2 INDINA HILLS CIR</v>
      </c>
      <c r="G181" t="str">
        <f>IF('Assignment Tool'!C181="","",IF('Assignment Tool'!C181="FST",'Assignment Tool'!D181,""))</f>
        <v>OPP 1001-1 RICE MINE RD N</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1300-2 INDINA HILLS CIR</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1300-2 INDINA HILLS CIR</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1300-2 INDINA HILLS CIR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1216-2 INDIAN HILLS CIR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1216-2 INDIAN HILLS CIR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1216-2 INDIAN HILLS CIR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1216-2 INDIAN HILLS CIR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1210-2 INDIAN HILLS CIR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1210-2 INDIAN HILLS CIR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1210-2 INDIAN HILLS CIR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1210-2 INDIAN HILLS CIR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603-1 OVERLOOK RD N</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603-1 OVERLOOK RD N</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603-1 OVERLOOK RD N</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603-1 OVERLOOK RD N</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629-1 OVERLOOK RD N</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629-1 OVERLOOK RD N</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635-1 OVERLOOK RD N</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635-1 OVERLOOK RD N</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721-1 OVERLOOK RD N</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721-1 OVERLOOK RD N</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721-1 OVERLOOK RD N</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721-1 OVERLOOK RD N</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813-2 OVERLOOK RD N</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813-2 OVERLOOK RD N</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813-2 OVERLOOK RD N</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813-2 OVERLOOK RD N</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831-2 OVERLOOK RD N</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831-2 OVERLOOK RD N</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831-2 OVERLOOK RD N</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831-2 OVERLOOK RD N</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911-2 OVERLOOK RD N</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911-2 OVERLOOK RD N</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911-2 OVERLOOK RD N</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911-2 OVERLOOK RD N</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911-2 OVERLOOK RD N</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911-2 OVERLOOK RD N</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911-2 OVERLOOK RD N</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911-2 OVERLOOK RD N</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933-2 OVERLOOK RD N</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933-2 OVERLOOK RD N</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933-2 OVERLOOK RD N</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933-2 OVERLOOK RD N</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933-2 OVERLOOK RD N</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933-2 OVERLOOK RD N</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933-2 OVERLOOK RD N</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933-2 OVERLOOK RD N</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820-2 OVERLOOK RD N</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820-2 OVERLOOK RD N</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820-2 OVERLOOK RD N</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820-2 OVERLOOK RD N</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R 820-2 OVERLOOK RD N</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R 820-2 OVERLOOK RD N</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R 820-2 OVERLOOK RD N</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R 820-2 OVERLOOK RD N</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927-2 PINEMONT DR N</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927-2 PINEMONT DR N</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927-2 PINEMONT DR N</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927-2 PINEMONT DR N</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1007-2 PINEMONT DR 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1007-2 PINEMONT DR 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1007-2 PINEMONT DR 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1007-2 PINEMONT DR 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1021-2 PINEMONT DR N</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1021-2 PINEMONT DR N</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1021-2 PINEMONT DR N</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1021-2 PINEMONT DR N</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1021-2 PINEMONT DR N</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1021-2 PINEMONT DR N</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1021-2 PINEMONT DR N</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1021-2 PINEMONT DR N</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1031-2 PVER;PPL RD N</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1031-2 PVER;PPL RD N</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1031-2 PVER;PPL RD N</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1031-2 PVER;PPL RD N</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1031-2 PVER;PPL RD N</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1031-2 PVER;PPL RD N</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1031-2 PVER;PPL RD N</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1031-2 PVER;PPL RD N</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1203-2 OVERLOOK RD N</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1203-2 OVERLOOK RD N</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1203-2 OVERLOOK RD N</v>
      </c>
      <c r="G263" t="str">
        <f>IF('Assignment Tool'!C263="","",IF('Assignment Tool'!C263="FST",'Assignment Tool'!D263,""))</f>
        <v>F 805-2 RICE MINE RD 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1203-2 OVERLOOK RD N</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1227-2 OVERLOOK RD N</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1227-2 OVERLOOK RD N</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1227-2 OVERLOOK RD N</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1227-2 OVERLOOK RD N</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1303-2 OVERLOOK RD N</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1303-2 OVERLOOK RD N</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1303-2 OVERLOOK RD N</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1303-2 OVERLOOK RD N</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1313-2 OVERLOOK RD N</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1313-2 OVERLOOK RD N</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1313-2 OVERLOOK RD N</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1313-2 OVERLOOK RD N</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R 1306-2 OVERLOOK RD 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R 1306-2 OVERLOOK RD 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R 1306-2 OVERLOOK RD 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R 1306-2 OVERLOOK RD 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1115-1 MEADOW LN 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1115-1 MEADOW LN 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1115-1 MEADOW LN 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1115-1 MEADOW LN 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1115-1 MEADOW LN 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1115-1 MEADOW LN 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1115-1 MEADOW LN 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1115-1 MEADOW LN 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1330-2 OVERLOOK RD N</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1330-2 OVERLOOK RD N</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1330-2 OVERLOOK RD N</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1330-2 OVERLOOK RD N</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1356-2 OVERLOOK RD N</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1356-2 OVERLOOK RD N</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1356-2 OVERLOOK RD N</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1356-2 OVERLOOK RD N</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1304-2 HIGH FOREST DR N</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1304-2 HIGH FOREST DR N</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1304-2 HIGH FOREST DR N</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1304-2 HIGH FOREST DR N</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1405-2 HIGH FOREST DR 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1405-2 HIGH FOREST DR 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1405-2 HIGH FOREST DR 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1405-2 HIGH FOREST DR N</v>
      </c>
      <c r="G304" t="str">
        <f>IF('Assignment Tool'!C304="","",IF('Assignment Tool'!C304="FST",'Assignment Tool'!D304,""))</f>
        <v>F 728-1 7TH PL N</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1415-2 HIGH FOREST DR N</v>
      </c>
      <c r="G305" t="str">
        <f>IF('Assignment Tool'!C305="","",IF('Assignment Tool'!C305="FST",'Assignment Tool'!D305,""))</f>
        <v>F 714-1 7TH PL N</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1415-2 HIGH FOREST DR N</v>
      </c>
      <c r="G306" t="str">
        <f>IF('Assignment Tool'!C306="","",IF('Assignment Tool'!C306="FST",'Assignment Tool'!D306,""))</f>
        <v>F 706-2 7TH PL 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1415-2 HIGH FOREST DR N</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1415-2 HIGH FOREST DR N</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1508-2 HIGH FOREST DR N</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1508-2 HIGH FOREST DR N</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1508-2 HIGH FOREST DR N</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1508-2 HIGH FOREST DR N</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1606-2 HIGH FOREST DR 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1606-2 HIGH FOREST DR 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1606-2 HIGH FOREST DR 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1606-2 HIGH FOREST DR 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1702-2 HIGH FOREST DR 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1702-2 HIGH FOREST DR 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1702-2 HIGH FOREST DR 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1702-2 HIGH FOREST DR 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1702-2 HIGH FOREST DR 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1702-2 HIGH FOREST DR 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1702-2 HIGH FOREST DR 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1702-2 HIGH FOREST DR 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OPP 907-2 INDIAN HILLS DR</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917-2 INDIAN HILLS DR</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1017-2 INDIAN  HILLS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1027-2 INDIAN HILLS DR</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F 1117-2 INDIAN HILLS DR</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F 1207-2 INDIAN HILLS DR</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F 1225-2 INDIAN HILLS DR</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F 1322-2 INDIAN HILLS DR</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1202-2 INDIAN HILLS CIR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OPP 1204-2 INDIAN HILLS CIR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1203-2 INDIAN HILLS CIR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1312-2 INDIAN HILLS CIR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1308-2 INDIAN HILLS CIR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1300-2 INDINA HILLS CIR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1216-2 INDIAN HILLS CIR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1210-2 INDIAN HILLS CIR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603-1 OVERLOOK RD 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629-1 OVERLOOK RD 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635-1 OVERLOOK RD 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721-1 OVERLOOK RD 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813-2 OVERLOOK RD N</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831-2 OVERLOOK RD N</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911-2 OVERLOOK RD N</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933-2 OVERLOOK RD N</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R 820-2 OVERLOOK RD N</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R 927-2 PINEMONT DR N</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R 1007-2 PINEMONT DR N</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R 1021-2 PINEMONT DR N</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1031-2 PVER;PPL RD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1203-2 OVERLOOK RD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1227-2 OVERLOOK RD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F 1303-2 OVERLOOK RD N</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F 1313-2 OVERLOOK RD N</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R 1306-2 OVERLOOK RD N</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1115-1 MEADOW LN N</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R 1330-2 OVERLOOK RD 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R 1356-2 OVERLOOK RD N</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1304-2 HIGH FOREST DR N</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F 1405-2 HIGH FOREST DR N</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1415-2 HIGH FOREST DR N</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F 1508-2 HIGH FOREST DR N</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F 1606-2 HIGH FOREST DR N</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F 1702-2 HIGH FOREST DR N</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T28" sqref="T28"/>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2</v>
      </c>
      <c r="C6" s="4">
        <v>44</v>
      </c>
      <c r="D6" s="4">
        <v>42</v>
      </c>
      <c r="E6" s="4"/>
      <c r="F6" s="4"/>
      <c r="G6" s="4"/>
      <c r="H6" s="4"/>
      <c r="I6" s="4"/>
      <c r="J6" s="4"/>
      <c r="K6" s="4"/>
      <c r="L6" s="4"/>
      <c r="M6" s="4"/>
      <c r="N6" s="4"/>
      <c r="O6" s="4"/>
      <c r="P6" s="4"/>
      <c r="Q6" s="4"/>
      <c r="R6" s="4"/>
      <c r="S6" s="4"/>
      <c r="T6" s="4"/>
      <c r="U6" s="4"/>
      <c r="V6" s="4"/>
      <c r="W6" s="4">
        <v>97</v>
      </c>
      <c r="X6" s="4">
        <v>125</v>
      </c>
      <c r="Y6" s="4"/>
      <c r="Z6" s="4"/>
      <c r="AA6" s="4"/>
      <c r="AB6" s="4"/>
      <c r="AC6" s="4"/>
      <c r="AD6" s="4"/>
      <c r="AE6" s="4"/>
      <c r="AF6" s="4"/>
      <c r="AG6" s="4"/>
      <c r="AH6" s="4"/>
      <c r="AI6" s="4"/>
      <c r="AJ6" s="4"/>
      <c r="AK6" s="4"/>
      <c r="AL6" s="4"/>
      <c r="AM6" s="4"/>
      <c r="AN6" s="4"/>
      <c r="AO6" s="4"/>
      <c r="AP6" s="4"/>
    </row>
    <row r="7" spans="1:42" x14ac:dyDescent="0.25">
      <c r="A7" s="6">
        <v>8</v>
      </c>
      <c r="B7" s="5">
        <v>1</v>
      </c>
      <c r="C7" s="4">
        <v>44</v>
      </c>
      <c r="D7" s="4"/>
      <c r="E7" s="4"/>
      <c r="F7" s="4"/>
      <c r="G7" s="4"/>
      <c r="H7" s="4"/>
      <c r="I7" s="4"/>
      <c r="J7" s="4"/>
      <c r="K7" s="4"/>
      <c r="L7" s="4"/>
      <c r="M7" s="4"/>
      <c r="N7" s="4"/>
      <c r="O7" s="4"/>
      <c r="P7" s="4"/>
      <c r="Q7" s="4"/>
      <c r="R7" s="4"/>
      <c r="S7" s="4"/>
      <c r="T7" s="4"/>
      <c r="U7" s="4"/>
      <c r="V7" s="4"/>
      <c r="W7" s="4">
        <v>65</v>
      </c>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1</v>
      </c>
      <c r="C14" s="4">
        <v>46</v>
      </c>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44</v>
      </c>
      <c r="D23" s="4">
        <v>44</v>
      </c>
      <c r="E23" s="4"/>
      <c r="F23" s="4"/>
      <c r="G23" s="4"/>
      <c r="H23" s="4"/>
      <c r="I23" s="4"/>
      <c r="J23" s="4"/>
      <c r="K23" s="4"/>
      <c r="L23" s="4"/>
      <c r="M23" s="4"/>
      <c r="N23" s="4"/>
      <c r="O23" s="4"/>
      <c r="P23" s="4"/>
      <c r="Q23" s="4"/>
      <c r="R23" s="4"/>
      <c r="S23" s="4"/>
      <c r="T23" s="4"/>
      <c r="U23" s="4"/>
      <c r="V23" s="4"/>
      <c r="W23" s="4">
        <v>147</v>
      </c>
      <c r="X23" s="4">
        <v>17</v>
      </c>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715</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691</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451</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6</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52</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12</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2</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19</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AA1" zoomScale="115" zoomScaleNormal="115" workbookViewId="0">
      <pane ySplit="8" topLeftCell="A9" activePane="bottomLeft" state="frozen"/>
      <selection pane="bottomLeft" activeCell="AV26" sqref="AV26"/>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876</v>
      </c>
      <c r="F2" s="276" t="s">
        <v>173</v>
      </c>
      <c r="G2" s="276"/>
      <c r="H2" s="276"/>
      <c r="I2" s="14">
        <f>IF(I3="","",IF(AND(I5="Y",I6="N"),I3,IF(I3&lt;1000,I3+10,I3+20)))</f>
        <v>1978</v>
      </c>
      <c r="K2" s="276" t="s">
        <v>173</v>
      </c>
      <c r="L2" s="276"/>
      <c r="M2" s="276"/>
      <c r="N2" s="14">
        <f>IF(N3="","",IF(AND(N5="Y",N6="N"),N3,IF(N3&lt;1000,N3+10,N3+20)))</f>
        <v>2100</v>
      </c>
      <c r="P2" s="276" t="s">
        <v>173</v>
      </c>
      <c r="Q2" s="276"/>
      <c r="R2" s="276"/>
      <c r="S2" s="14">
        <f>IF(S3="","",IF(AND(S5="Y",S6="N"),S3,IF(S3&lt;1000,S3+10,S3+20)))</f>
        <v>768</v>
      </c>
      <c r="U2" s="276" t="s">
        <v>173</v>
      </c>
      <c r="V2" s="276"/>
      <c r="W2" s="276"/>
      <c r="X2" s="14">
        <f>IF(X3="","",IF(AND(X5="Y",X6="N"),X3,IF(X3&lt;1000,X3+10,X3+20)))</f>
        <v>1475</v>
      </c>
      <c r="Z2" s="276" t="s">
        <v>173</v>
      </c>
      <c r="AA2" s="276"/>
      <c r="AB2" s="276"/>
      <c r="AC2" s="14">
        <f>IF(AC3="","",IF(AND(AC5="Y",AC6="N"),AC3,IF(AC3&lt;1000,AC3+10,AC3+20)))</f>
        <v>838</v>
      </c>
      <c r="AE2" s="276" t="s">
        <v>173</v>
      </c>
      <c r="AF2" s="276"/>
      <c r="AG2" s="276"/>
      <c r="AH2" s="14">
        <f>IF(AH3="","",IF(AND(AH5="Y",AH6="N"),AH3,IF(AH3&lt;1000,AH3+10,AH3+20)))</f>
        <v>420</v>
      </c>
      <c r="AJ2" s="276" t="s">
        <v>173</v>
      </c>
      <c r="AK2" s="276"/>
      <c r="AL2" s="276"/>
      <c r="AM2" s="14">
        <f>IF(AM3="","",IF(AND(AM5="Y",AM6="N"),AM3,IF(AM3&lt;1000,AM3+10,AM3+20)))</f>
        <v>574</v>
      </c>
      <c r="AO2" s="276" t="s">
        <v>173</v>
      </c>
      <c r="AP2" s="276"/>
      <c r="AQ2" s="276"/>
      <c r="AR2" s="14">
        <f>IF(AR3="","",IF(AND(AR5="Y",AR6="N"),AR3,IF(AR3&lt;1000,AR3+10,AR3+20)))</f>
        <v>2325</v>
      </c>
      <c r="AT2" s="276" t="s">
        <v>173</v>
      </c>
      <c r="AU2" s="276"/>
      <c r="AV2" s="276"/>
      <c r="AW2" s="14">
        <f>IF(AW3="","",IF(AND(AW5="Y",AW6="N"),AW3,IF(AW3&lt;1000,AW3+10,AW3+20)))</f>
        <v>2666</v>
      </c>
      <c r="AY2" s="276" t="s">
        <v>173</v>
      </c>
      <c r="AZ2" s="276"/>
      <c r="BA2" s="276"/>
      <c r="BB2" s="14">
        <f>IF(BB3="","",IF(AND(BB5="Y",BB6="N"),BB3,IF(BB3&lt;1000,BB3+10,BB3+20)))</f>
        <v>576</v>
      </c>
      <c r="BD2" s="276" t="s">
        <v>173</v>
      </c>
      <c r="BE2" s="276"/>
      <c r="BF2" s="276"/>
      <c r="BG2" s="14">
        <f>IF(BG3="","",IF(AND(BG5="Y",BG6="N"),BG3,IF(BG3&lt;1000,BG3+10,BG3+20)))</f>
        <v>1176</v>
      </c>
      <c r="BI2" s="276" t="s">
        <v>173</v>
      </c>
      <c r="BJ2" s="276"/>
      <c r="BK2" s="276"/>
      <c r="BL2" s="14">
        <f>IF(BL3="","",IF(AND(BL5="Y",BL6="N"),BL3,IF(BL3&lt;1000,BL3+10,BL3+20)))</f>
        <v>1672</v>
      </c>
      <c r="BN2" s="276" t="s">
        <v>173</v>
      </c>
      <c r="BO2" s="276"/>
      <c r="BP2" s="276"/>
      <c r="BQ2" s="14">
        <f>IF(BQ3="","",IF(AND(BQ5="Y",BQ6="N"),BQ3,IF(BQ3&lt;1000,BQ3+10,BQ3+20)))</f>
        <v>992</v>
      </c>
      <c r="BS2" s="276" t="s">
        <v>173</v>
      </c>
      <c r="BT2" s="276"/>
      <c r="BU2" s="276"/>
      <c r="BV2" s="14">
        <f>IF(BV3="","",IF(AND(BV5="Y",BV6="N"),BV3,IF(BV3&lt;1000,BV3+10,BV3+20)))</f>
        <v>1231</v>
      </c>
      <c r="BX2" s="276" t="s">
        <v>173</v>
      </c>
      <c r="BY2" s="276"/>
      <c r="BZ2" s="276"/>
      <c r="CA2" s="14">
        <f>IF(CA3="","",IF(AND(CA5="Y",CA6="N"),CA3,IF(CA3&lt;1000,CA3+10,CA3+20)))</f>
        <v>1575</v>
      </c>
      <c r="CC2" s="276" t="s">
        <v>173</v>
      </c>
      <c r="CD2" s="276"/>
      <c r="CE2" s="276"/>
      <c r="CF2" s="14">
        <f>IF(CF3="","",IF(AND(CF5="Y",CF6="N"),CF3,IF(CF3&lt;1000,CF3+10,CF3+20)))</f>
        <v>966</v>
      </c>
      <c r="CH2" s="276" t="s">
        <v>173</v>
      </c>
      <c r="CI2" s="276"/>
      <c r="CJ2" s="276"/>
      <c r="CK2" s="14">
        <f>IF(CK3="","",IF(AND(CK5="Y",CK6="N"),CK3,IF(CK3&lt;1000,CK3+10,CK3+20)))</f>
        <v>2476</v>
      </c>
      <c r="CM2" s="276" t="s">
        <v>173</v>
      </c>
      <c r="CN2" s="276"/>
      <c r="CO2" s="276"/>
      <c r="CP2" s="14">
        <f>IF(CP3="","",IF(AND(CP5="Y",CP6="N"),CP3,IF(CP3&lt;1000,CP3+10,CP3+20)))</f>
        <v>170</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866</v>
      </c>
      <c r="E3" s="16">
        <f>IF(E9="","",SUM(E9:E208,B9:B208,D9:D208))</f>
        <v>866</v>
      </c>
      <c r="F3" s="276" t="s">
        <v>174</v>
      </c>
      <c r="G3" s="276"/>
      <c r="H3" s="276"/>
      <c r="I3" s="15">
        <f>IF(J3="","",SUM(J3,J5,J6))</f>
        <v>1958</v>
      </c>
      <c r="J3" s="16">
        <f>IF(J9="","",SUM(J9:J208,G9:G208,I9:I208))</f>
        <v>1933</v>
      </c>
      <c r="K3" s="276" t="s">
        <v>174</v>
      </c>
      <c r="L3" s="276"/>
      <c r="M3" s="276"/>
      <c r="N3" s="15">
        <f>IF(O3="","",SUM(O3,O5,O6))</f>
        <v>2080</v>
      </c>
      <c r="O3" s="16">
        <f>IF(O9="","",SUM(O9:O208,L9:L208,N9:N208))</f>
        <v>2055</v>
      </c>
      <c r="P3" s="276" t="s">
        <v>174</v>
      </c>
      <c r="Q3" s="276"/>
      <c r="R3" s="276"/>
      <c r="S3" s="15">
        <f>IF(T3="","",SUM(T3,T5,T6))</f>
        <v>768</v>
      </c>
      <c r="T3" s="16">
        <f>IF(T9="","",SUM(T9:T208,Q9:Q208,S9:S208))</f>
        <v>718</v>
      </c>
      <c r="U3" s="276" t="s">
        <v>174</v>
      </c>
      <c r="V3" s="276"/>
      <c r="W3" s="276"/>
      <c r="X3" s="15">
        <f>IF(Y3="","",SUM(Y3,Y5,Y6))</f>
        <v>1455</v>
      </c>
      <c r="Y3" s="16">
        <f>IF(Y9="","",SUM(Y9:Y208,V9:V208,X9:X208))</f>
        <v>1455</v>
      </c>
      <c r="Z3" s="276" t="s">
        <v>174</v>
      </c>
      <c r="AA3" s="276"/>
      <c r="AB3" s="276"/>
      <c r="AC3" s="15">
        <f>IF(AD3="","",SUM(AD3,AD5,AD6))</f>
        <v>828</v>
      </c>
      <c r="AD3" s="16">
        <f>IF(AD9="","",SUM(AD9:AD208,AA9:AA208,AC9:AC208))</f>
        <v>828</v>
      </c>
      <c r="AE3" s="276" t="s">
        <v>174</v>
      </c>
      <c r="AF3" s="276"/>
      <c r="AG3" s="276"/>
      <c r="AH3" s="15">
        <f>IF(AI3="","",SUM(AI3,AI5,AI6))</f>
        <v>410</v>
      </c>
      <c r="AI3" s="16">
        <f>IF(AI9="","",SUM(AI9:AI208,AF9:AF208,AH9:AH208))</f>
        <v>410</v>
      </c>
      <c r="AJ3" s="276" t="s">
        <v>174</v>
      </c>
      <c r="AK3" s="276"/>
      <c r="AL3" s="276"/>
      <c r="AM3" s="15">
        <f>IF(AN3="","",SUM(AN3,AN5,AN6))</f>
        <v>564</v>
      </c>
      <c r="AN3" s="16">
        <f>IF(AN9="","",SUM(AN9:AN208,AK9:AK208,AM9:AM208))</f>
        <v>539</v>
      </c>
      <c r="AO3" s="276" t="s">
        <v>174</v>
      </c>
      <c r="AP3" s="276"/>
      <c r="AQ3" s="276"/>
      <c r="AR3" s="15">
        <f>IF(AS3="","",SUM(AS3,AS5,AS6))</f>
        <v>2305</v>
      </c>
      <c r="AS3" s="16">
        <f>IF(AS9="","",SUM(AS9:AS208,AP9:AP208,AR9:AR208))</f>
        <v>2280</v>
      </c>
      <c r="AT3" s="276" t="s">
        <v>174</v>
      </c>
      <c r="AU3" s="276"/>
      <c r="AV3" s="276"/>
      <c r="AW3" s="15">
        <f>IF(AX3="","",SUM(AX3,AX5,AX6))</f>
        <v>2646</v>
      </c>
      <c r="AX3" s="16">
        <f>IF(AX9="","",SUM(AX9:AX208,AU9:AU208,AW9:AW208))</f>
        <v>2646</v>
      </c>
      <c r="AY3" s="276" t="s">
        <v>174</v>
      </c>
      <c r="AZ3" s="276"/>
      <c r="BA3" s="276"/>
      <c r="BB3" s="15">
        <f>IF(BC3="","",SUM(BC3,BC5,BC6))</f>
        <v>576</v>
      </c>
      <c r="BC3" s="16">
        <f>IF(BC9="","",SUM(BC9:BC208,AZ9:AZ208,BB9:BB208))</f>
        <v>546</v>
      </c>
      <c r="BD3" s="276" t="s">
        <v>174</v>
      </c>
      <c r="BE3" s="276"/>
      <c r="BF3" s="276"/>
      <c r="BG3" s="15">
        <f>IF(BH3="","",SUM(BH3,BH5,BH6))</f>
        <v>1176</v>
      </c>
      <c r="BH3" s="16">
        <f>IF(BH9="","",SUM(BH9:BH208,BE9:BE208,BG9:BG208))</f>
        <v>1146</v>
      </c>
      <c r="BI3" s="276" t="s">
        <v>174</v>
      </c>
      <c r="BJ3" s="276"/>
      <c r="BK3" s="276"/>
      <c r="BL3" s="15">
        <f>IF(BM3="","",SUM(BM3,BM5,BM6))</f>
        <v>1652</v>
      </c>
      <c r="BM3" s="16">
        <f>IF(BM9="","",SUM(BM9:BM208,BJ9:BJ208,BL9:BL208))</f>
        <v>1652</v>
      </c>
      <c r="BN3" s="276" t="s">
        <v>174</v>
      </c>
      <c r="BO3" s="276"/>
      <c r="BP3" s="276"/>
      <c r="BQ3" s="15">
        <f>IF(BR3="","",SUM(BR3,BR5,BR6))</f>
        <v>982</v>
      </c>
      <c r="BR3" s="16">
        <f>IF(BR9="","",SUM(BR9:BR208,BO9:BO208,BQ9:BQ208))</f>
        <v>982</v>
      </c>
      <c r="BS3" s="276" t="s">
        <v>174</v>
      </c>
      <c r="BT3" s="276"/>
      <c r="BU3" s="276"/>
      <c r="BV3" s="15">
        <f>IF(BW3="","",SUM(BW3,BW5,BW6))</f>
        <v>1211</v>
      </c>
      <c r="BW3" s="16">
        <f>IF(BW9="","",SUM(BW9:BW208,BT9:BT208,BV9:BV208))</f>
        <v>1196</v>
      </c>
      <c r="BX3" s="276" t="s">
        <v>174</v>
      </c>
      <c r="BY3" s="276"/>
      <c r="BZ3" s="276"/>
      <c r="CA3" s="15">
        <f>IF(CB3="","",SUM(CB3,CB5,CB6))</f>
        <v>1555</v>
      </c>
      <c r="CB3" s="16">
        <f>IF(CB9="","",SUM(CB9:CB208,BY9:BY208,CA9:CA208))</f>
        <v>1540</v>
      </c>
      <c r="CC3" s="276" t="s">
        <v>174</v>
      </c>
      <c r="CD3" s="276"/>
      <c r="CE3" s="276"/>
      <c r="CF3" s="15">
        <f>IF(CG3="","",SUM(CG3,CG5,CG6))</f>
        <v>966</v>
      </c>
      <c r="CG3" s="16">
        <f>IF(CG9="","",SUM(CG9:CG208,CD9:CD208,CF9:CF208))</f>
        <v>916</v>
      </c>
      <c r="CH3" s="276" t="s">
        <v>174</v>
      </c>
      <c r="CI3" s="276"/>
      <c r="CJ3" s="276"/>
      <c r="CK3" s="15">
        <f>IF(CL3="","",SUM(CL3,CL5,CL6))</f>
        <v>2476</v>
      </c>
      <c r="CL3" s="16">
        <f>IF(CL9="","",SUM(CL9:CL208,CI9:CI208,CK9:CK208))</f>
        <v>2446</v>
      </c>
      <c r="CM3" s="276" t="s">
        <v>174</v>
      </c>
      <c r="CN3" s="276"/>
      <c r="CO3" s="276"/>
      <c r="CP3" s="15">
        <f>IF(CQ3="","",SUM(CQ3,CQ5,CQ6))</f>
        <v>160</v>
      </c>
      <c r="CQ3" s="16">
        <f>IF(CQ9="","",SUM(CQ9:CQ208,CN9:CN208,CP9:CP208))</f>
        <v>160</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178</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179</v>
      </c>
      <c r="CM4" s="272" t="s">
        <v>175</v>
      </c>
      <c r="CN4" s="273"/>
      <c r="CO4" s="274"/>
      <c r="CP4" s="117" t="s">
        <v>178</v>
      </c>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178</v>
      </c>
      <c r="Y5" s="16" t="str">
        <f>IF(X4="N","0",IF(X5="Y",Y7/2,"0"))</f>
        <v>0</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178</v>
      </c>
      <c r="AS5" s="16" t="str">
        <f>IF(AR4="N","0",IF(AR5="Y",AS7/2,"0"))</f>
        <v>0</v>
      </c>
      <c r="AT5" s="272" t="s">
        <v>176</v>
      </c>
      <c r="AU5" s="273"/>
      <c r="AV5" s="274"/>
      <c r="AW5" s="117" t="s">
        <v>178</v>
      </c>
      <c r="AX5" s="16" t="str">
        <f>IF(AW4="N","0",IF(AW5="Y",AX7/2,"0"))</f>
        <v>0</v>
      </c>
      <c r="AY5" s="272" t="s">
        <v>176</v>
      </c>
      <c r="AZ5" s="273"/>
      <c r="BA5" s="274"/>
      <c r="BB5" s="117" t="s">
        <v>179</v>
      </c>
      <c r="BC5" s="16">
        <f>IF(BB4="N","0",IF(BB5="Y",BC7/2,"0"))</f>
        <v>15</v>
      </c>
      <c r="BD5" s="272" t="s">
        <v>176</v>
      </c>
      <c r="BE5" s="273"/>
      <c r="BF5" s="274"/>
      <c r="BG5" s="117" t="s">
        <v>179</v>
      </c>
      <c r="BH5" s="16">
        <f>IF(BG4="N","0",IF(BG5="Y",BH7/2,"0"))</f>
        <v>15</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179</v>
      </c>
      <c r="CG5" s="16">
        <f>IF(CF4="N","0",IF(CF5="Y",CG7/2,"0"))</f>
        <v>25</v>
      </c>
      <c r="CH5" s="272" t="s">
        <v>176</v>
      </c>
      <c r="CI5" s="273"/>
      <c r="CJ5" s="274"/>
      <c r="CK5" s="117" t="s">
        <v>179</v>
      </c>
      <c r="CL5" s="16">
        <f>IF(CK4="N","0",IF(CK5="Y",CL7/2,"0"))</f>
        <v>15</v>
      </c>
      <c r="CM5" s="272" t="s">
        <v>176</v>
      </c>
      <c r="CN5" s="273"/>
      <c r="CO5" s="274"/>
      <c r="CP5" s="117" t="s">
        <v>178</v>
      </c>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179</v>
      </c>
      <c r="Y6" s="16" t="str">
        <f>IF(X4="N","0",IF(X6="N",Y7/2,"0"))</f>
        <v>0</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178</v>
      </c>
      <c r="AN6" s="16">
        <f>IF(AM4="N","0",IF(AM6="N",AN7/2,"0"))</f>
        <v>25</v>
      </c>
      <c r="AO6" s="272" t="s">
        <v>177</v>
      </c>
      <c r="AP6" s="273"/>
      <c r="AQ6" s="274"/>
      <c r="AR6" s="117" t="s">
        <v>178</v>
      </c>
      <c r="AS6" s="16">
        <f>IF(AR4="N","0",IF(AR6="N",AS7/2,"0"))</f>
        <v>25</v>
      </c>
      <c r="AT6" s="272" t="s">
        <v>177</v>
      </c>
      <c r="AU6" s="273"/>
      <c r="AV6" s="274"/>
      <c r="AW6" s="117" t="s">
        <v>178</v>
      </c>
      <c r="AX6" s="16" t="str">
        <f>IF(AW4="N","0",IF(AW6="N",AX7/2,"0"))</f>
        <v>0</v>
      </c>
      <c r="AY6" s="272" t="s">
        <v>177</v>
      </c>
      <c r="AZ6" s="273"/>
      <c r="BA6" s="274"/>
      <c r="BB6" s="117" t="s">
        <v>178</v>
      </c>
      <c r="BC6" s="16">
        <f>IF(BB4="N","0",IF(BB6="N",BC7/2,"0"))</f>
        <v>15</v>
      </c>
      <c r="BD6" s="272" t="s">
        <v>177</v>
      </c>
      <c r="BE6" s="273"/>
      <c r="BF6" s="274"/>
      <c r="BG6" s="117" t="s">
        <v>178</v>
      </c>
      <c r="BH6" s="16">
        <f>IF(BG4="N","0",IF(BG6="N",BH7/2,"0"))</f>
        <v>15</v>
      </c>
      <c r="BI6" s="272" t="s">
        <v>177</v>
      </c>
      <c r="BJ6" s="273"/>
      <c r="BK6" s="274"/>
      <c r="BL6" s="117" t="s">
        <v>179</v>
      </c>
      <c r="BM6" s="16" t="str">
        <f>IF(BL4="N","0",IF(BL6="N",BM7/2,"0"))</f>
        <v>0</v>
      </c>
      <c r="BN6" s="272" t="s">
        <v>177</v>
      </c>
      <c r="BO6" s="273"/>
      <c r="BP6" s="274"/>
      <c r="BQ6" s="117" t="s">
        <v>179</v>
      </c>
      <c r="BR6" s="16" t="str">
        <f>IF(BQ4="N","0",IF(BQ6="N",BR7/2,"0"))</f>
        <v>0</v>
      </c>
      <c r="BS6" s="272" t="s">
        <v>177</v>
      </c>
      <c r="BT6" s="273"/>
      <c r="BU6" s="274"/>
      <c r="BV6" s="117" t="s">
        <v>178</v>
      </c>
      <c r="BW6" s="16">
        <f>IF(BV4="N","0",IF(BV6="N",BW7/2,"0"))</f>
        <v>15</v>
      </c>
      <c r="BX6" s="272" t="s">
        <v>177</v>
      </c>
      <c r="BY6" s="273"/>
      <c r="BZ6" s="274"/>
      <c r="CA6" s="117" t="s">
        <v>178</v>
      </c>
      <c r="CB6" s="16">
        <f>IF(CA4="N","0",IF(CA6="N",CB7/2,"0"))</f>
        <v>15</v>
      </c>
      <c r="CC6" s="272" t="s">
        <v>177</v>
      </c>
      <c r="CD6" s="273"/>
      <c r="CE6" s="274"/>
      <c r="CF6" s="117" t="s">
        <v>178</v>
      </c>
      <c r="CG6" s="16">
        <f>IF(CF4="N","0",IF(CF6="N",CG7/2,"0"))</f>
        <v>25</v>
      </c>
      <c r="CH6" s="272" t="s">
        <v>177</v>
      </c>
      <c r="CI6" s="273"/>
      <c r="CJ6" s="274"/>
      <c r="CK6" s="117" t="s">
        <v>178</v>
      </c>
      <c r="CL6" s="16">
        <f>IF(CK4="N","0",IF(CK6="N",CL7/2,"0"))</f>
        <v>15</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c r="AX7" s="16">
        <f>IF(OR(AW7="RPX",AW7="SS"),30,IF(OR(AW7="RPX-T",AW7="EUC"),50,0))</f>
        <v>0</v>
      </c>
      <c r="AY7" s="272" t="s">
        <v>180</v>
      </c>
      <c r="AZ7" s="273"/>
      <c r="BA7" s="274"/>
      <c r="BB7" s="117" t="s">
        <v>487</v>
      </c>
      <c r="BC7" s="16">
        <f>IF(OR(BB7="RPX",BB7="SS"),30,IF(OR(BB7="RPX-T",BB7="EUC"),50,0))</f>
        <v>30</v>
      </c>
      <c r="BD7" s="272" t="s">
        <v>180</v>
      </c>
      <c r="BE7" s="273"/>
      <c r="BF7" s="274"/>
      <c r="BG7" s="117" t="s">
        <v>487</v>
      </c>
      <c r="BH7" s="16">
        <f>IF(OR(BG7="RPX",BG7="SS"),30,IF(OR(BG7="RPX-T",BG7="EUC"),50,0))</f>
        <v>30</v>
      </c>
      <c r="BI7" s="272" t="s">
        <v>180</v>
      </c>
      <c r="BJ7" s="273"/>
      <c r="BK7" s="274"/>
      <c r="BL7" s="117" t="s">
        <v>492</v>
      </c>
      <c r="BM7" s="16">
        <f>IF(OR(BL7="RPX",BL7="SS"),30,IF(OR(BL7="RPX-T",BL7="EUC"),50,0))</f>
        <v>50</v>
      </c>
      <c r="BN7" s="272" t="s">
        <v>180</v>
      </c>
      <c r="BO7" s="273"/>
      <c r="BP7" s="274"/>
      <c r="BQ7" s="117" t="s">
        <v>487</v>
      </c>
      <c r="BR7" s="16">
        <f>IF(OR(BQ7="RPX",BQ7="SS"),30,IF(OR(BQ7="RPX-T",BQ7="EUC"),50,0))</f>
        <v>30</v>
      </c>
      <c r="BS7" s="272" t="s">
        <v>180</v>
      </c>
      <c r="BT7" s="273"/>
      <c r="BU7" s="274"/>
      <c r="BV7" s="117" t="s">
        <v>487</v>
      </c>
      <c r="BW7" s="16">
        <f>IF(OR(BV7="RPX",BV7="SS"),30,IF(OR(BV7="RPX-T",BV7="EUC"),50,0))</f>
        <v>30</v>
      </c>
      <c r="BX7" s="272" t="s">
        <v>180</v>
      </c>
      <c r="BY7" s="273"/>
      <c r="BZ7" s="274"/>
      <c r="CA7" s="117" t="s">
        <v>487</v>
      </c>
      <c r="CB7" s="16">
        <f>IF(OR(CA7="RPX",CA7="SS"),30,IF(OR(CA7="RPX-T",CA7="EUC"),50,0))</f>
        <v>30</v>
      </c>
      <c r="CC7" s="272" t="s">
        <v>180</v>
      </c>
      <c r="CD7" s="273"/>
      <c r="CE7" s="274"/>
      <c r="CF7" s="117" t="s">
        <v>492</v>
      </c>
      <c r="CG7" s="16">
        <f>IF(OR(CF7="RPX",CF7="SS"),30,IF(OR(CF7="RPX-T",CF7="EUC"),50,0))</f>
        <v>50</v>
      </c>
      <c r="CH7" s="272" t="s">
        <v>180</v>
      </c>
      <c r="CI7" s="273"/>
      <c r="CJ7" s="274"/>
      <c r="CK7" s="117" t="s">
        <v>487</v>
      </c>
      <c r="CL7" s="16">
        <f>IF(OR(CK7="RPX",CK7="SS"),30,IF(OR(CK7="RPX-T",CK7="EUC"),50,0))</f>
        <v>30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116">
        <v>50</v>
      </c>
      <c r="C9" s="90"/>
      <c r="D9" s="116"/>
      <c r="E9" s="16">
        <f>IF(A9="",IF(C9="","",C9),A9)</f>
        <v>0</v>
      </c>
      <c r="F9" s="90">
        <v>0</v>
      </c>
      <c r="G9" s="90">
        <v>50</v>
      </c>
      <c r="H9" s="90"/>
      <c r="I9" s="116"/>
      <c r="J9" s="16">
        <f>IF(F9="",IF(H9="","",H9),F9)</f>
        <v>0</v>
      </c>
      <c r="K9" s="90">
        <v>0</v>
      </c>
      <c r="L9" s="90">
        <v>50</v>
      </c>
      <c r="M9" s="90"/>
      <c r="N9" s="116"/>
      <c r="O9" s="16">
        <f>IF(K9="",IF(M9="","",M9),K9)</f>
        <v>0</v>
      </c>
      <c r="P9" s="90">
        <v>0</v>
      </c>
      <c r="Q9" s="90">
        <v>50</v>
      </c>
      <c r="R9" s="90"/>
      <c r="S9" s="116"/>
      <c r="T9" s="16">
        <f>IF(P9="",IF(R9="","",R9),P9)</f>
        <v>0</v>
      </c>
      <c r="U9" s="90">
        <v>0</v>
      </c>
      <c r="V9" s="90">
        <v>50</v>
      </c>
      <c r="W9" s="90"/>
      <c r="X9" s="116"/>
      <c r="Y9" s="16">
        <f>IF(U9="",IF(W9="","",W9),U9)</f>
        <v>0</v>
      </c>
      <c r="Z9" s="90">
        <v>0</v>
      </c>
      <c r="AA9" s="90">
        <v>50</v>
      </c>
      <c r="AB9" s="90"/>
      <c r="AC9" s="116"/>
      <c r="AD9" s="16">
        <f>IF(Z9="",IF(AB9="","",AB9),Z9)</f>
        <v>0</v>
      </c>
      <c r="AE9" s="90">
        <v>0</v>
      </c>
      <c r="AF9" s="90">
        <v>50</v>
      </c>
      <c r="AG9" s="90"/>
      <c r="AH9" s="116"/>
      <c r="AI9" s="16">
        <f>IF(AE9="",IF(AG9="","",AG9),AE9)</f>
        <v>0</v>
      </c>
      <c r="AJ9" s="90">
        <v>0</v>
      </c>
      <c r="AK9" s="90">
        <v>50</v>
      </c>
      <c r="AL9" s="90"/>
      <c r="AM9" s="116"/>
      <c r="AN9" s="16">
        <f>IF(AJ9="",IF(AL9="","",AL9),AJ9)</f>
        <v>0</v>
      </c>
      <c r="AO9" s="90">
        <v>0</v>
      </c>
      <c r="AP9" s="90">
        <v>50</v>
      </c>
      <c r="AQ9" s="90"/>
      <c r="AR9" s="116"/>
      <c r="AS9" s="16">
        <f>IF(AO9="",IF(AQ9="","",AQ9),AO9)</f>
        <v>0</v>
      </c>
      <c r="AT9" s="90"/>
      <c r="AU9" s="90"/>
      <c r="AV9" s="90">
        <v>0</v>
      </c>
      <c r="AW9" s="116">
        <v>50</v>
      </c>
      <c r="AX9" s="16">
        <f>IF(AT9="",IF(AV9="","",AV9),AT9)</f>
        <v>0</v>
      </c>
      <c r="AY9" s="90">
        <v>0</v>
      </c>
      <c r="AZ9" s="90">
        <v>50</v>
      </c>
      <c r="BA9" s="90"/>
      <c r="BB9" s="116"/>
      <c r="BC9" s="16">
        <f>IF(AY9="",IF(BA9="","",BA9),AY9)</f>
        <v>0</v>
      </c>
      <c r="BD9" s="90"/>
      <c r="BE9" s="90"/>
      <c r="BF9" s="90">
        <v>0</v>
      </c>
      <c r="BG9" s="116">
        <v>50</v>
      </c>
      <c r="BH9" s="16">
        <f>IF(BD9="",IF(BF9="","",BF9),BD9)</f>
        <v>0</v>
      </c>
      <c r="BI9" s="90">
        <v>0</v>
      </c>
      <c r="BJ9" s="90">
        <v>50</v>
      </c>
      <c r="BK9" s="90"/>
      <c r="BL9" s="116"/>
      <c r="BM9" s="16">
        <f>IF(BI9="",IF(BK9="","",BK9),BI9)</f>
        <v>0</v>
      </c>
      <c r="BN9" s="90"/>
      <c r="BO9" s="90"/>
      <c r="BP9" s="90">
        <v>0</v>
      </c>
      <c r="BQ9" s="116">
        <v>50</v>
      </c>
      <c r="BR9" s="16">
        <f>IF(BN9="",IF(BP9="","",BP9),BN9)</f>
        <v>0</v>
      </c>
      <c r="BS9" s="90"/>
      <c r="BT9" s="90"/>
      <c r="BU9" s="90">
        <v>0</v>
      </c>
      <c r="BV9" s="116">
        <v>50</v>
      </c>
      <c r="BW9" s="16">
        <f>IF(BS9="",IF(BU9="","",BU9),BS9)</f>
        <v>0</v>
      </c>
      <c r="BX9" s="90"/>
      <c r="BY9" s="90"/>
      <c r="BZ9" s="90">
        <v>0</v>
      </c>
      <c r="CA9" s="116">
        <v>50</v>
      </c>
      <c r="CB9" s="16">
        <f>IF(BX9="",IF(BZ9="","",BZ9),BX9)</f>
        <v>0</v>
      </c>
      <c r="CC9" s="90"/>
      <c r="CD9" s="90"/>
      <c r="CE9" s="90">
        <v>0</v>
      </c>
      <c r="CF9" s="116">
        <v>50</v>
      </c>
      <c r="CG9" s="16">
        <f>IF(CC9="",IF(CE9="","",CE9),CC9)</f>
        <v>0</v>
      </c>
      <c r="CH9" s="90"/>
      <c r="CI9" s="90"/>
      <c r="CJ9" s="90">
        <v>0</v>
      </c>
      <c r="CK9" s="116">
        <v>50</v>
      </c>
      <c r="CL9" s="16">
        <f>IF(CH9="",IF(CJ9="","",CJ9),CH9)</f>
        <v>0</v>
      </c>
      <c r="CM9" s="90"/>
      <c r="CN9" s="90"/>
      <c r="CO9" s="90">
        <v>0</v>
      </c>
      <c r="CP9" s="116">
        <v>50</v>
      </c>
      <c r="CQ9" s="16">
        <f>IF(CM9="",IF(CO9="","",CO9),CM9)</f>
        <v>0</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116">
        <v>358</v>
      </c>
      <c r="B10" s="116"/>
      <c r="C10" s="116"/>
      <c r="D10" s="116"/>
      <c r="E10" s="16">
        <f>IF(A10="",C10,A10)</f>
        <v>358</v>
      </c>
      <c r="F10" s="90">
        <v>2</v>
      </c>
      <c r="G10" s="90"/>
      <c r="H10" s="90"/>
      <c r="I10" s="116"/>
      <c r="J10" s="16">
        <f>IF(F10="",H10,F10)</f>
        <v>2</v>
      </c>
      <c r="K10" s="90">
        <v>348</v>
      </c>
      <c r="L10" s="90"/>
      <c r="M10" s="90"/>
      <c r="N10" s="116"/>
      <c r="O10" s="16">
        <f>IF(K10="",M10,K10)</f>
        <v>348</v>
      </c>
      <c r="P10" s="90">
        <v>140</v>
      </c>
      <c r="Q10" s="90"/>
      <c r="R10" s="90"/>
      <c r="S10" s="116"/>
      <c r="T10" s="16">
        <f>IF(P10="",R10,P10)</f>
        <v>140</v>
      </c>
      <c r="U10" s="90">
        <v>555</v>
      </c>
      <c r="V10" s="90"/>
      <c r="W10" s="90"/>
      <c r="X10" s="116"/>
      <c r="Y10" s="16">
        <f>IF(U10="",W10,U10)</f>
        <v>555</v>
      </c>
      <c r="Z10" s="90">
        <v>728</v>
      </c>
      <c r="AA10" s="90">
        <v>50</v>
      </c>
      <c r="AB10" s="90"/>
      <c r="AC10" s="116"/>
      <c r="AD10" s="16">
        <f>IF(Z10="",AB10,Z10)</f>
        <v>728</v>
      </c>
      <c r="AE10" s="90">
        <v>270</v>
      </c>
      <c r="AF10" s="90">
        <v>20</v>
      </c>
      <c r="AG10" s="90"/>
      <c r="AH10" s="116"/>
      <c r="AI10" s="16">
        <f>IF(AE10="",AG10,AE10)</f>
        <v>270</v>
      </c>
      <c r="AJ10" s="90">
        <v>2</v>
      </c>
      <c r="AK10" s="90"/>
      <c r="AL10" s="90"/>
      <c r="AM10" s="116"/>
      <c r="AN10" s="16">
        <f>IF(AJ10="",AL10,AJ10)</f>
        <v>2</v>
      </c>
      <c r="AO10" s="90">
        <v>325</v>
      </c>
      <c r="AP10" s="90">
        <v>26</v>
      </c>
      <c r="AQ10" s="90"/>
      <c r="AR10" s="116"/>
      <c r="AS10" s="16">
        <f>IF(AO10="",AQ10,AO10)</f>
        <v>325</v>
      </c>
      <c r="AT10" s="90"/>
      <c r="AU10" s="90"/>
      <c r="AV10" s="90">
        <v>166</v>
      </c>
      <c r="AW10" s="116"/>
      <c r="AX10" s="16">
        <f>IF(AT10="",AV10,AT10)</f>
        <v>166</v>
      </c>
      <c r="AY10" s="90">
        <v>188</v>
      </c>
      <c r="AZ10" s="90"/>
      <c r="BA10" s="90"/>
      <c r="BB10" s="116"/>
      <c r="BC10" s="16">
        <f>IF(AY10="",BA10,AY10)</f>
        <v>188</v>
      </c>
      <c r="BD10" s="90"/>
      <c r="BE10" s="90"/>
      <c r="BF10" s="90">
        <v>202</v>
      </c>
      <c r="BG10" s="116"/>
      <c r="BH10" s="16">
        <f>IF(BD10="",BF10,BD10)</f>
        <v>202</v>
      </c>
      <c r="BI10" s="90">
        <v>411</v>
      </c>
      <c r="BJ10" s="90"/>
      <c r="BK10" s="90"/>
      <c r="BL10" s="116"/>
      <c r="BM10" s="16">
        <f>IF(BI10="",BK10,BI10)</f>
        <v>411</v>
      </c>
      <c r="BN10" s="90"/>
      <c r="BO10" s="90"/>
      <c r="BP10" s="90">
        <v>207</v>
      </c>
      <c r="BQ10" s="116"/>
      <c r="BR10" s="16">
        <f>IF(BN10="",BP10,BN10)</f>
        <v>207</v>
      </c>
      <c r="BS10" s="90"/>
      <c r="BT10" s="90"/>
      <c r="BU10" s="90">
        <v>310</v>
      </c>
      <c r="BV10" s="116"/>
      <c r="BW10" s="16">
        <f>IF(BS10="",BU10,BS10)</f>
        <v>310</v>
      </c>
      <c r="BX10" s="90"/>
      <c r="BY10" s="90"/>
      <c r="BZ10" s="90">
        <v>215</v>
      </c>
      <c r="CA10" s="116"/>
      <c r="CB10" s="16">
        <f>IF(BX10="",BZ10,BX10)</f>
        <v>215</v>
      </c>
      <c r="CC10" s="90"/>
      <c r="CD10" s="90"/>
      <c r="CE10" s="90">
        <v>260</v>
      </c>
      <c r="CF10" s="116">
        <v>20</v>
      </c>
      <c r="CG10" s="16">
        <f>IF(CC10="",CE10,CC10)</f>
        <v>260</v>
      </c>
      <c r="CH10" s="90"/>
      <c r="CI10" s="90"/>
      <c r="CJ10" s="90">
        <v>60</v>
      </c>
      <c r="CK10" s="116"/>
      <c r="CL10" s="16">
        <f>IF(CH10="",CJ10,CH10)</f>
        <v>60</v>
      </c>
      <c r="CM10" s="90"/>
      <c r="CN10" s="90"/>
      <c r="CO10" s="90">
        <v>10</v>
      </c>
      <c r="CP10" s="116">
        <v>100</v>
      </c>
      <c r="CQ10" s="16">
        <f>IF(CM10="",CO10,CM10)</f>
        <v>10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116">
        <v>272</v>
      </c>
      <c r="B11" s="116"/>
      <c r="C11" s="116"/>
      <c r="D11" s="116"/>
      <c r="E11" s="16">
        <f t="shared" ref="E11:E74" si="1">IF(A11="",C11,A11)</f>
        <v>272</v>
      </c>
      <c r="F11" s="90">
        <v>316</v>
      </c>
      <c r="G11" s="90"/>
      <c r="H11" s="90"/>
      <c r="I11" s="116"/>
      <c r="J11" s="16">
        <f t="shared" ref="J11:J74" si="2">IF(F11="",H11,F11)</f>
        <v>316</v>
      </c>
      <c r="K11" s="90">
        <v>210</v>
      </c>
      <c r="L11" s="90"/>
      <c r="M11" s="90"/>
      <c r="N11" s="116"/>
      <c r="O11" s="16">
        <f t="shared" ref="O11:O74" si="3">IF(K11="",M11,K11)</f>
        <v>210</v>
      </c>
      <c r="P11" s="90">
        <v>320</v>
      </c>
      <c r="Q11" s="90">
        <v>20</v>
      </c>
      <c r="R11" s="90"/>
      <c r="S11" s="116"/>
      <c r="T11" s="16">
        <f t="shared" ref="T11:T74" si="4">IF(P11="",R11,P11)</f>
        <v>320</v>
      </c>
      <c r="U11" s="90">
        <v>780</v>
      </c>
      <c r="V11" s="90">
        <v>20</v>
      </c>
      <c r="W11" s="90"/>
      <c r="X11" s="116"/>
      <c r="Y11" s="16">
        <f t="shared" ref="Y11:Y74" si="5">IF(U11="",W11,U11)</f>
        <v>780</v>
      </c>
      <c r="Z11" s="90"/>
      <c r="AA11" s="90"/>
      <c r="AB11" s="90"/>
      <c r="AC11" s="116"/>
      <c r="AD11" s="16">
        <f t="shared" ref="AD11:AD74" si="6">IF(Z11="",AB11,Z11)</f>
        <v>0</v>
      </c>
      <c r="AE11" s="90"/>
      <c r="AF11" s="90">
        <v>20</v>
      </c>
      <c r="AG11" s="90"/>
      <c r="AH11" s="116">
        <v>50</v>
      </c>
      <c r="AI11" s="16">
        <f t="shared" ref="AI11:AI74" si="7">IF(AE11="",AG11,AE11)</f>
        <v>0</v>
      </c>
      <c r="AJ11" s="90">
        <v>252</v>
      </c>
      <c r="AK11" s="90"/>
      <c r="AL11" s="90"/>
      <c r="AM11" s="116"/>
      <c r="AN11" s="16">
        <f t="shared" ref="AN11:AN74" si="8">IF(AJ11="",AL11,AJ11)</f>
        <v>252</v>
      </c>
      <c r="AO11" s="90"/>
      <c r="AP11" s="90"/>
      <c r="AQ11" s="90">
        <v>195</v>
      </c>
      <c r="AR11" s="90">
        <v>20</v>
      </c>
      <c r="AS11" s="16">
        <f t="shared" ref="AS11:AS74" si="9">IF(AO11="",AQ11,AO11)</f>
        <v>195</v>
      </c>
      <c r="AT11" s="90"/>
      <c r="AU11" s="90"/>
      <c r="AV11" s="90">
        <v>136</v>
      </c>
      <c r="AW11" s="116"/>
      <c r="AX11" s="16">
        <f t="shared" ref="AX11:AX74" si="10">IF(AT11="",AV11,AT11)</f>
        <v>136</v>
      </c>
      <c r="AY11" s="90">
        <v>120</v>
      </c>
      <c r="AZ11" s="90"/>
      <c r="BA11" s="90"/>
      <c r="BB11" s="116"/>
      <c r="BC11" s="16">
        <f t="shared" ref="BC11:BC74" si="11">IF(AY11="",BA11,AY11)</f>
        <v>120</v>
      </c>
      <c r="BD11" s="90"/>
      <c r="BE11" s="90"/>
      <c r="BF11" s="90">
        <v>211</v>
      </c>
      <c r="BG11" s="116">
        <v>50</v>
      </c>
      <c r="BH11" s="16">
        <f t="shared" ref="BH11:BH74" si="12">IF(BD11="",BF11,BD11)</f>
        <v>211</v>
      </c>
      <c r="BI11" s="90">
        <v>256</v>
      </c>
      <c r="BJ11" s="90"/>
      <c r="BK11" s="90"/>
      <c r="BL11" s="116"/>
      <c r="BM11" s="16">
        <f t="shared" ref="BM11:BM74" si="13">IF(BI11="",BK11,BI11)</f>
        <v>256</v>
      </c>
      <c r="BN11" s="90"/>
      <c r="BO11" s="90"/>
      <c r="BP11" s="90">
        <v>230</v>
      </c>
      <c r="BQ11" s="116"/>
      <c r="BR11" s="16">
        <f t="shared" ref="BR11:BR74" si="14">IF(BN11="",BP11,BN11)</f>
        <v>230</v>
      </c>
      <c r="BS11" s="90"/>
      <c r="BT11" s="90"/>
      <c r="BU11" s="90">
        <v>200</v>
      </c>
      <c r="BV11" s="116">
        <v>50</v>
      </c>
      <c r="BW11" s="16">
        <f t="shared" ref="BW11:BW74" si="15">IF(BS11="",BU11,BS11)</f>
        <v>200</v>
      </c>
      <c r="BX11" s="90"/>
      <c r="BY11" s="90"/>
      <c r="BZ11" s="90">
        <v>190</v>
      </c>
      <c r="CA11" s="116"/>
      <c r="CB11" s="16">
        <f t="shared" ref="CB11:CB74" si="16">IF(BX11="",BZ11,BX11)</f>
        <v>190</v>
      </c>
      <c r="CC11" s="90">
        <v>0</v>
      </c>
      <c r="CD11" s="90">
        <v>26</v>
      </c>
      <c r="CE11" s="90"/>
      <c r="CF11" s="116"/>
      <c r="CG11" s="16">
        <f t="shared" ref="CG11:CG74" si="17">IF(CC11="",CE11,CC11)</f>
        <v>0</v>
      </c>
      <c r="CH11" s="90"/>
      <c r="CI11" s="90"/>
      <c r="CJ11" s="90">
        <v>250</v>
      </c>
      <c r="CK11" s="116"/>
      <c r="CL11" s="16">
        <f t="shared" ref="CL11:CL74" si="18">IF(CH11="",CJ11,CH11)</f>
        <v>250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116">
        <v>136</v>
      </c>
      <c r="B12" s="116">
        <v>50</v>
      </c>
      <c r="C12" s="116"/>
      <c r="D12" s="116"/>
      <c r="E12" s="16">
        <f t="shared" si="1"/>
        <v>136</v>
      </c>
      <c r="F12" s="90">
        <v>137</v>
      </c>
      <c r="G12" s="90"/>
      <c r="H12" s="90"/>
      <c r="I12" s="116"/>
      <c r="J12" s="16">
        <f t="shared" si="2"/>
        <v>137</v>
      </c>
      <c r="K12" s="90"/>
      <c r="L12" s="90">
        <v>26</v>
      </c>
      <c r="M12" s="90"/>
      <c r="N12" s="116">
        <v>20</v>
      </c>
      <c r="O12" s="16">
        <f t="shared" si="3"/>
        <v>0</v>
      </c>
      <c r="P12" s="90">
        <v>188</v>
      </c>
      <c r="Q12" s="90"/>
      <c r="R12" s="90"/>
      <c r="S12" s="116"/>
      <c r="T12" s="16">
        <f t="shared" si="4"/>
        <v>188</v>
      </c>
      <c r="U12" s="90"/>
      <c r="V12" s="90">
        <v>50</v>
      </c>
      <c r="W12" s="90"/>
      <c r="X12" s="116"/>
      <c r="Y12" s="16">
        <f t="shared" si="5"/>
        <v>0</v>
      </c>
      <c r="Z12" s="90"/>
      <c r="AA12" s="90"/>
      <c r="AB12" s="90"/>
      <c r="AC12" s="116"/>
      <c r="AD12" s="16">
        <f t="shared" si="6"/>
        <v>0</v>
      </c>
      <c r="AE12" s="90"/>
      <c r="AF12" s="90"/>
      <c r="AG12" s="90"/>
      <c r="AH12" s="116"/>
      <c r="AI12" s="16">
        <f t="shared" si="7"/>
        <v>0</v>
      </c>
      <c r="AJ12" s="90">
        <v>235</v>
      </c>
      <c r="AK12" s="90"/>
      <c r="AL12" s="90"/>
      <c r="AM12" s="116"/>
      <c r="AN12" s="16">
        <f t="shared" si="8"/>
        <v>235</v>
      </c>
      <c r="AO12" s="90"/>
      <c r="AP12" s="90"/>
      <c r="AQ12" s="90">
        <v>257</v>
      </c>
      <c r="AR12" s="90"/>
      <c r="AS12" s="16">
        <f t="shared" si="9"/>
        <v>257</v>
      </c>
      <c r="AT12" s="90"/>
      <c r="AU12" s="90"/>
      <c r="AV12" s="90">
        <v>405</v>
      </c>
      <c r="AW12" s="116"/>
      <c r="AX12" s="16">
        <f t="shared" si="10"/>
        <v>405</v>
      </c>
      <c r="AY12" s="90">
        <v>188</v>
      </c>
      <c r="AZ12" s="90"/>
      <c r="BA12" s="90"/>
      <c r="BB12" s="116"/>
      <c r="BC12" s="16">
        <f t="shared" si="11"/>
        <v>188</v>
      </c>
      <c r="BD12" s="90"/>
      <c r="BE12" s="90"/>
      <c r="BF12" s="90">
        <v>210</v>
      </c>
      <c r="BG12" s="116"/>
      <c r="BH12" s="16">
        <f t="shared" si="12"/>
        <v>210</v>
      </c>
      <c r="BI12" s="90">
        <v>192</v>
      </c>
      <c r="BJ12" s="90">
        <v>20</v>
      </c>
      <c r="BK12" s="90"/>
      <c r="BL12" s="116"/>
      <c r="BM12" s="16">
        <f t="shared" si="13"/>
        <v>192</v>
      </c>
      <c r="BN12" s="90"/>
      <c r="BO12" s="90"/>
      <c r="BP12" s="90">
        <v>225</v>
      </c>
      <c r="BQ12" s="116"/>
      <c r="BR12" s="16">
        <f t="shared" si="14"/>
        <v>225</v>
      </c>
      <c r="BS12" s="90"/>
      <c r="BT12" s="90"/>
      <c r="BU12" s="90">
        <v>230</v>
      </c>
      <c r="BV12" s="116"/>
      <c r="BW12" s="16">
        <f t="shared" si="15"/>
        <v>230</v>
      </c>
      <c r="BX12" s="90"/>
      <c r="BY12" s="90"/>
      <c r="BZ12" s="90">
        <v>245</v>
      </c>
      <c r="CA12" s="116"/>
      <c r="CB12" s="16">
        <f t="shared" si="16"/>
        <v>245</v>
      </c>
      <c r="CC12" s="90">
        <v>560</v>
      </c>
      <c r="CD12" s="90"/>
      <c r="CE12" s="90"/>
      <c r="CF12" s="116"/>
      <c r="CG12" s="16">
        <f t="shared" si="17"/>
        <v>560</v>
      </c>
      <c r="CH12" s="90"/>
      <c r="CI12" s="90"/>
      <c r="CJ12" s="90">
        <v>225</v>
      </c>
      <c r="CK12" s="116"/>
      <c r="CL12" s="16">
        <f t="shared" si="18"/>
        <v>225</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116"/>
      <c r="B13" s="116"/>
      <c r="C13" s="116"/>
      <c r="D13" s="116"/>
      <c r="E13" s="16">
        <f t="shared" si="1"/>
        <v>0</v>
      </c>
      <c r="F13" s="90">
        <v>293</v>
      </c>
      <c r="G13" s="90">
        <v>20</v>
      </c>
      <c r="H13" s="90"/>
      <c r="I13" s="116"/>
      <c r="J13" s="16">
        <f t="shared" si="2"/>
        <v>293</v>
      </c>
      <c r="K13" s="90"/>
      <c r="L13" s="90"/>
      <c r="M13" s="90">
        <v>210</v>
      </c>
      <c r="N13" s="116">
        <v>50</v>
      </c>
      <c r="O13" s="16">
        <f t="shared" si="3"/>
        <v>210</v>
      </c>
      <c r="P13" s="90"/>
      <c r="Q13" s="90"/>
      <c r="R13" s="90"/>
      <c r="S13" s="116"/>
      <c r="T13" s="16">
        <f t="shared" si="4"/>
        <v>0</v>
      </c>
      <c r="U13" s="90"/>
      <c r="V13" s="90"/>
      <c r="W13" s="90"/>
      <c r="X13" s="116"/>
      <c r="Y13" s="16">
        <f t="shared" si="5"/>
        <v>0</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v>240</v>
      </c>
      <c r="AR13" s="90">
        <v>50</v>
      </c>
      <c r="AS13" s="16">
        <f t="shared" si="9"/>
        <v>240</v>
      </c>
      <c r="AT13" s="90"/>
      <c r="AU13" s="90"/>
      <c r="AV13" s="90">
        <v>300</v>
      </c>
      <c r="AW13" s="116"/>
      <c r="AX13" s="16">
        <f t="shared" si="10"/>
        <v>300</v>
      </c>
      <c r="AY13" s="90"/>
      <c r="AZ13" s="90"/>
      <c r="BA13" s="90"/>
      <c r="BB13" s="116"/>
      <c r="BC13" s="16">
        <f t="shared" si="11"/>
        <v>0</v>
      </c>
      <c r="BD13" s="90"/>
      <c r="BE13" s="90"/>
      <c r="BF13" s="90">
        <v>248</v>
      </c>
      <c r="BG13" s="116"/>
      <c r="BH13" s="16">
        <f t="shared" si="12"/>
        <v>248</v>
      </c>
      <c r="BI13" s="90">
        <v>133</v>
      </c>
      <c r="BJ13" s="90"/>
      <c r="BK13" s="90"/>
      <c r="BL13" s="116"/>
      <c r="BM13" s="16">
        <f t="shared" si="13"/>
        <v>133</v>
      </c>
      <c r="BN13" s="90"/>
      <c r="BO13" s="90"/>
      <c r="BP13" s="90">
        <v>220</v>
      </c>
      <c r="BQ13" s="116">
        <v>50</v>
      </c>
      <c r="BR13" s="16">
        <f t="shared" si="14"/>
        <v>220</v>
      </c>
      <c r="BS13" s="90"/>
      <c r="BT13" s="90"/>
      <c r="BU13" s="90">
        <v>161</v>
      </c>
      <c r="BV13" s="116"/>
      <c r="BW13" s="16">
        <f t="shared" si="15"/>
        <v>161</v>
      </c>
      <c r="BX13" s="90"/>
      <c r="BY13" s="90"/>
      <c r="BZ13" s="90">
        <v>255</v>
      </c>
      <c r="CA13" s="116">
        <v>50</v>
      </c>
      <c r="CB13" s="16">
        <f t="shared" si="16"/>
        <v>255</v>
      </c>
      <c r="CC13" s="90"/>
      <c r="CD13" s="90"/>
      <c r="CE13" s="90"/>
      <c r="CF13" s="116"/>
      <c r="CG13" s="16">
        <f t="shared" si="17"/>
        <v>0</v>
      </c>
      <c r="CH13" s="90"/>
      <c r="CI13" s="90"/>
      <c r="CJ13" s="90">
        <v>158</v>
      </c>
      <c r="CK13" s="116"/>
      <c r="CL13" s="16">
        <f t="shared" si="18"/>
        <v>158</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v>140</v>
      </c>
      <c r="G14" s="90"/>
      <c r="H14" s="90"/>
      <c r="I14" s="116"/>
      <c r="J14" s="16">
        <f t="shared" si="2"/>
        <v>140</v>
      </c>
      <c r="K14" s="90"/>
      <c r="L14" s="90"/>
      <c r="M14" s="90">
        <v>180</v>
      </c>
      <c r="N14" s="116"/>
      <c r="O14" s="16">
        <f t="shared" si="3"/>
        <v>180</v>
      </c>
      <c r="P14" s="90"/>
      <c r="Q14" s="90"/>
      <c r="R14" s="90"/>
      <c r="S14" s="116"/>
      <c r="T14" s="16">
        <f t="shared" si="4"/>
        <v>0</v>
      </c>
      <c r="U14" s="90"/>
      <c r="V14" s="90"/>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v>245</v>
      </c>
      <c r="AR14" s="90"/>
      <c r="AS14" s="16">
        <f t="shared" si="9"/>
        <v>245</v>
      </c>
      <c r="AT14" s="90"/>
      <c r="AU14" s="90"/>
      <c r="AV14" s="90">
        <v>323</v>
      </c>
      <c r="AW14" s="116"/>
      <c r="AX14" s="16">
        <f t="shared" si="10"/>
        <v>323</v>
      </c>
      <c r="AY14" s="90"/>
      <c r="AZ14" s="90"/>
      <c r="BA14" s="90"/>
      <c r="BB14" s="116"/>
      <c r="BC14" s="16">
        <f t="shared" si="11"/>
        <v>0</v>
      </c>
      <c r="BD14" s="90"/>
      <c r="BE14" s="90"/>
      <c r="BF14" s="90">
        <v>175</v>
      </c>
      <c r="BG14" s="116"/>
      <c r="BH14" s="16">
        <f t="shared" si="12"/>
        <v>175</v>
      </c>
      <c r="BI14" s="90">
        <v>519</v>
      </c>
      <c r="BJ14" s="90">
        <v>21</v>
      </c>
      <c r="BK14" s="90"/>
      <c r="BL14" s="116"/>
      <c r="BM14" s="16">
        <f t="shared" si="13"/>
        <v>519</v>
      </c>
      <c r="BN14" s="90"/>
      <c r="BO14" s="90"/>
      <c r="BP14" s="90"/>
      <c r="BQ14" s="116"/>
      <c r="BR14" s="16">
        <f t="shared" si="14"/>
        <v>0</v>
      </c>
      <c r="BS14" s="90"/>
      <c r="BT14" s="90"/>
      <c r="BU14" s="90">
        <v>195</v>
      </c>
      <c r="BV14" s="116"/>
      <c r="BW14" s="16">
        <f t="shared" si="15"/>
        <v>195</v>
      </c>
      <c r="BX14" s="90"/>
      <c r="BY14" s="90"/>
      <c r="BZ14" s="90">
        <v>265</v>
      </c>
      <c r="CA14" s="116"/>
      <c r="CB14" s="16">
        <f t="shared" si="16"/>
        <v>265</v>
      </c>
      <c r="CC14" s="90"/>
      <c r="CD14" s="90"/>
      <c r="CE14" s="90"/>
      <c r="CF14" s="116"/>
      <c r="CG14" s="16">
        <f t="shared" si="17"/>
        <v>0</v>
      </c>
      <c r="CH14" s="90"/>
      <c r="CI14" s="90"/>
      <c r="CJ14" s="90">
        <v>182</v>
      </c>
      <c r="CK14" s="116">
        <v>50</v>
      </c>
      <c r="CL14" s="16">
        <f t="shared" si="18"/>
        <v>182</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v>393</v>
      </c>
      <c r="G15" s="90"/>
      <c r="H15" s="90"/>
      <c r="I15" s="116"/>
      <c r="J15" s="16">
        <f t="shared" si="2"/>
        <v>393</v>
      </c>
      <c r="K15" s="90"/>
      <c r="L15" s="90"/>
      <c r="M15" s="90">
        <v>325</v>
      </c>
      <c r="N15" s="116"/>
      <c r="O15" s="16">
        <f t="shared" si="3"/>
        <v>325</v>
      </c>
      <c r="P15" s="90"/>
      <c r="Q15" s="90"/>
      <c r="R15" s="90"/>
      <c r="S15" s="116"/>
      <c r="T15" s="16">
        <f t="shared" si="4"/>
        <v>0</v>
      </c>
      <c r="U15" s="90"/>
      <c r="V15" s="90"/>
      <c r="W15" s="90"/>
      <c r="X15" s="116"/>
      <c r="Y15" s="16">
        <f t="shared" si="5"/>
        <v>0</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v>246</v>
      </c>
      <c r="AR15" s="90"/>
      <c r="AS15" s="16">
        <f t="shared" si="9"/>
        <v>246</v>
      </c>
      <c r="AT15" s="90"/>
      <c r="AU15" s="90"/>
      <c r="AV15" s="90">
        <v>200</v>
      </c>
      <c r="AW15" s="116"/>
      <c r="AX15" s="16">
        <f t="shared" si="10"/>
        <v>200</v>
      </c>
      <c r="AY15" s="90"/>
      <c r="AZ15" s="90"/>
      <c r="BA15" s="90"/>
      <c r="BB15" s="116"/>
      <c r="BC15" s="16">
        <f t="shared" si="11"/>
        <v>0</v>
      </c>
      <c r="BD15" s="90"/>
      <c r="BE15" s="90"/>
      <c r="BF15" s="90"/>
      <c r="BG15" s="116"/>
      <c r="BH15" s="16">
        <f t="shared" si="12"/>
        <v>0</v>
      </c>
      <c r="BI15" s="90"/>
      <c r="BJ15" s="90"/>
      <c r="BK15" s="90">
        <v>0</v>
      </c>
      <c r="BL15" s="116">
        <v>50</v>
      </c>
      <c r="BM15" s="16">
        <f t="shared" si="13"/>
        <v>0</v>
      </c>
      <c r="BN15" s="90"/>
      <c r="BO15" s="90"/>
      <c r="BP15" s="90"/>
      <c r="BQ15" s="116"/>
      <c r="BR15" s="16">
        <f t="shared" si="14"/>
        <v>0</v>
      </c>
      <c r="BS15" s="90"/>
      <c r="BT15" s="90"/>
      <c r="BU15" s="90"/>
      <c r="BV15" s="116"/>
      <c r="BW15" s="16">
        <f t="shared" si="15"/>
        <v>0</v>
      </c>
      <c r="BX15" s="90"/>
      <c r="BY15" s="90"/>
      <c r="BZ15" s="90">
        <v>270</v>
      </c>
      <c r="CA15" s="116"/>
      <c r="CB15" s="16">
        <f t="shared" si="16"/>
        <v>270</v>
      </c>
      <c r="CC15" s="90"/>
      <c r="CD15" s="90"/>
      <c r="CE15" s="90"/>
      <c r="CF15" s="116"/>
      <c r="CG15" s="16">
        <f t="shared" si="17"/>
        <v>0</v>
      </c>
      <c r="CH15" s="90"/>
      <c r="CI15" s="90"/>
      <c r="CJ15" s="90">
        <v>315</v>
      </c>
      <c r="CK15" s="116"/>
      <c r="CL15" s="16">
        <f t="shared" si="18"/>
        <v>315</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v>562</v>
      </c>
      <c r="G16" s="90">
        <v>20</v>
      </c>
      <c r="H16" s="90"/>
      <c r="I16" s="116"/>
      <c r="J16" s="16">
        <f t="shared" si="2"/>
        <v>562</v>
      </c>
      <c r="K16" s="90"/>
      <c r="L16" s="90"/>
      <c r="M16" s="90">
        <v>42</v>
      </c>
      <c r="N16" s="116">
        <v>50</v>
      </c>
      <c r="O16" s="16">
        <f t="shared" si="3"/>
        <v>42</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v>240</v>
      </c>
      <c r="AR16" s="90">
        <v>50</v>
      </c>
      <c r="AS16" s="16">
        <f t="shared" si="9"/>
        <v>240</v>
      </c>
      <c r="AT16" s="90"/>
      <c r="AU16" s="90"/>
      <c r="AV16" s="90">
        <v>108</v>
      </c>
      <c r="AW16" s="116"/>
      <c r="AX16" s="16">
        <f t="shared" si="10"/>
        <v>108</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v>258</v>
      </c>
      <c r="CK16" s="116"/>
      <c r="CL16" s="16">
        <f t="shared" si="18"/>
        <v>258</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v>252</v>
      </c>
      <c r="N17" s="116"/>
      <c r="O17" s="16">
        <f t="shared" si="3"/>
        <v>252</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v>213</v>
      </c>
      <c r="AR17" s="90"/>
      <c r="AS17" s="16">
        <f t="shared" si="9"/>
        <v>213</v>
      </c>
      <c r="AT17" s="90"/>
      <c r="AU17" s="90"/>
      <c r="AV17" s="90">
        <v>304</v>
      </c>
      <c r="AW17" s="116"/>
      <c r="AX17" s="16">
        <f t="shared" si="10"/>
        <v>304</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v>270</v>
      </c>
      <c r="CK17" s="116">
        <v>50</v>
      </c>
      <c r="CL17" s="16">
        <f t="shared" si="18"/>
        <v>270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v>132</v>
      </c>
      <c r="N18" s="116"/>
      <c r="O18" s="16">
        <f t="shared" si="3"/>
        <v>132</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v>123</v>
      </c>
      <c r="AR18" s="116"/>
      <c r="AS18" s="16">
        <f t="shared" si="9"/>
        <v>123</v>
      </c>
      <c r="AT18" s="90"/>
      <c r="AU18" s="90"/>
      <c r="AV18" s="90">
        <v>312</v>
      </c>
      <c r="AW18" s="116"/>
      <c r="AX18" s="16">
        <f t="shared" si="10"/>
        <v>312</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v>284</v>
      </c>
      <c r="CK18" s="116"/>
      <c r="CL18" s="16">
        <f t="shared" si="18"/>
        <v>284</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160</v>
      </c>
      <c r="N19" s="116"/>
      <c r="O19" s="16">
        <f t="shared" si="3"/>
        <v>160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v>292</v>
      </c>
      <c r="AW19" s="116">
        <v>50</v>
      </c>
      <c r="AX19" s="16">
        <f t="shared" si="10"/>
        <v>292</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v>294</v>
      </c>
      <c r="CK19" s="116"/>
      <c r="CL19" s="16">
        <f t="shared" si="18"/>
        <v>294</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90"/>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90"/>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90"/>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90"/>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90"/>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90"/>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90"/>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85" priority="212">
      <formula>IF(A25&gt;0,A25&lt;20)</formula>
    </cfRule>
  </conditionalFormatting>
  <conditionalFormatting sqref="F20:F208">
    <cfRule type="expression" dxfId="1584" priority="93">
      <formula>IF(F20&gt;0,F20&lt;20)</formula>
    </cfRule>
  </conditionalFormatting>
  <conditionalFormatting sqref="K22:K208">
    <cfRule type="expression" dxfId="1583" priority="92">
      <formula>IF(K22&gt;0,K22&lt;20)</formula>
    </cfRule>
  </conditionalFormatting>
  <conditionalFormatting sqref="P14:P208">
    <cfRule type="expression" dxfId="1582" priority="91">
      <formula>IF(P14&gt;0,P14&lt;20)</formula>
    </cfRule>
  </conditionalFormatting>
  <conditionalFormatting sqref="U22:U208">
    <cfRule type="expression" dxfId="1581" priority="90">
      <formula>IF(U22&gt;0,U22&lt;20)</formula>
    </cfRule>
  </conditionalFormatting>
  <conditionalFormatting sqref="Z17:Z208">
    <cfRule type="expression" dxfId="1580" priority="89">
      <formula>IF(Z17&gt;0,Z17&lt;20)</formula>
    </cfRule>
  </conditionalFormatting>
  <conditionalFormatting sqref="AE15:AE208">
    <cfRule type="expression" dxfId="1579" priority="88">
      <formula>IF(AE15&gt;0,AE15&lt;20)</formula>
    </cfRule>
  </conditionalFormatting>
  <conditionalFormatting sqref="AJ25:AJ208">
    <cfRule type="expression" dxfId="1578" priority="87">
      <formula>IF(AJ25&gt;0,AJ25&lt;20)</formula>
    </cfRule>
  </conditionalFormatting>
  <conditionalFormatting sqref="AO30:AO208">
    <cfRule type="expression" dxfId="1577" priority="86">
      <formula>IF(AO30&gt;0,AO30&lt;20)</formula>
    </cfRule>
  </conditionalFormatting>
  <conditionalFormatting sqref="AT20:AT208">
    <cfRule type="expression" dxfId="1576" priority="85">
      <formula>IF(AT20&gt;0,AT20&lt;20)</formula>
    </cfRule>
  </conditionalFormatting>
  <conditionalFormatting sqref="AY9:AY208">
    <cfRule type="expression" dxfId="1575" priority="84">
      <formula>IF(AY9&gt;0,AY9&lt;20)</formula>
    </cfRule>
  </conditionalFormatting>
  <conditionalFormatting sqref="BD9:BD208">
    <cfRule type="expression" dxfId="1574" priority="83">
      <formula>IF(BD9&gt;0,BD9&lt;20)</formula>
    </cfRule>
  </conditionalFormatting>
  <conditionalFormatting sqref="BI9:BI208">
    <cfRule type="expression" dxfId="1573" priority="82">
      <formula>IF(BI9&gt;0,BI9&lt;20)</formula>
    </cfRule>
  </conditionalFormatting>
  <conditionalFormatting sqref="BN9:BN208">
    <cfRule type="expression" dxfId="1572" priority="81">
      <formula>IF(BN9&gt;0,BN9&lt;20)</formula>
    </cfRule>
  </conditionalFormatting>
  <conditionalFormatting sqref="BS9:BS208">
    <cfRule type="expression" dxfId="1571" priority="80">
      <formula>IF(BS9&gt;0,BS9&lt;20)</formula>
    </cfRule>
  </conditionalFormatting>
  <conditionalFormatting sqref="BX9:BX208">
    <cfRule type="expression" dxfId="1570" priority="79">
      <formula>IF(BX9&gt;0,BX9&lt;20)</formula>
    </cfRule>
  </conditionalFormatting>
  <conditionalFormatting sqref="CC9:CC208">
    <cfRule type="expression" dxfId="1569" priority="78">
      <formula>IF(CC9&gt;0,CC9&lt;20)</formula>
    </cfRule>
  </conditionalFormatting>
  <conditionalFormatting sqref="CH9:CH208">
    <cfRule type="expression" dxfId="1568" priority="77">
      <formula>IF(CH9&gt;0,CH9&lt;20)</formula>
    </cfRule>
  </conditionalFormatting>
  <conditionalFormatting sqref="CM9:CM208">
    <cfRule type="expression" dxfId="1567" priority="76">
      <formula>IF(CM9&gt;0,CM9&lt;20)</formula>
    </cfRule>
  </conditionalFormatting>
  <conditionalFormatting sqref="CR9:CR208">
    <cfRule type="expression" dxfId="1566" priority="75">
      <formula>IF(CR9&gt;0,CR9&lt;20)</formula>
    </cfRule>
  </conditionalFormatting>
  <conditionalFormatting sqref="CW9:CW208">
    <cfRule type="expression" dxfId="1565" priority="74">
      <formula>IF(CW9&gt;0,CW9&lt;20)</formula>
    </cfRule>
  </conditionalFormatting>
  <conditionalFormatting sqref="DB9:DB208">
    <cfRule type="expression" dxfId="1564" priority="73">
      <formula>IF(DB9&gt;0,DB9&lt;20)</formula>
    </cfRule>
  </conditionalFormatting>
  <conditionalFormatting sqref="DG9:DG208">
    <cfRule type="expression" dxfId="1563" priority="72">
      <formula>IF(DG9&gt;0,DG9&lt;20)</formula>
    </cfRule>
  </conditionalFormatting>
  <conditionalFormatting sqref="DL9:DL208">
    <cfRule type="expression" dxfId="1562" priority="71">
      <formula>IF(DL9&gt;0,DL9&lt;20)</formula>
    </cfRule>
  </conditionalFormatting>
  <conditionalFormatting sqref="DQ9:DQ208">
    <cfRule type="expression" dxfId="1561" priority="70">
      <formula>IF(DQ9&gt;0,DQ9&lt;20)</formula>
    </cfRule>
  </conditionalFormatting>
  <conditionalFormatting sqref="DV9:DV208">
    <cfRule type="expression" dxfId="1560" priority="69">
      <formula>IF(DV9&gt;0,DV9&lt;20)</formula>
    </cfRule>
  </conditionalFormatting>
  <conditionalFormatting sqref="EA9:EA208">
    <cfRule type="expression" dxfId="1559" priority="68">
      <formula>IF(EA9&gt;0,EA9&lt;20)</formula>
    </cfRule>
  </conditionalFormatting>
  <conditionalFormatting sqref="EF9:EF208">
    <cfRule type="expression" dxfId="1558" priority="67">
      <formula>IF(EF9&gt;0,EF9&lt;20)</formula>
    </cfRule>
  </conditionalFormatting>
  <conditionalFormatting sqref="EK9:EK208">
    <cfRule type="expression" dxfId="1557" priority="66">
      <formula>IF(EK9&gt;0,EK9&lt;20)</formula>
    </cfRule>
  </conditionalFormatting>
  <conditionalFormatting sqref="EP9:EP208">
    <cfRule type="expression" dxfId="1556" priority="65">
      <formula>IF(EP9&gt;0,EP9&lt;20)</formula>
    </cfRule>
  </conditionalFormatting>
  <conditionalFormatting sqref="EU9:EU208">
    <cfRule type="expression" dxfId="1555" priority="64">
      <formula>IF(EU9&gt;0,EU9&lt;20)</formula>
    </cfRule>
  </conditionalFormatting>
  <conditionalFormatting sqref="EZ9:EZ208">
    <cfRule type="expression" dxfId="1554" priority="63">
      <formula>IF(EZ9&gt;0,EZ9&lt;20)</formula>
    </cfRule>
  </conditionalFormatting>
  <conditionalFormatting sqref="FE9:FE208">
    <cfRule type="expression" dxfId="1553" priority="62">
      <formula>IF(FE9&gt;0,FE9&lt;20)</formula>
    </cfRule>
  </conditionalFormatting>
  <conditionalFormatting sqref="IL9:IL208">
    <cfRule type="expression" dxfId="1552" priority="45">
      <formula>IF(IL9&gt;0,IL9&lt;20)</formula>
    </cfRule>
  </conditionalFormatting>
  <conditionalFormatting sqref="FJ9:FJ208">
    <cfRule type="expression" dxfId="1551" priority="61">
      <formula>IF(FJ9&gt;0,FJ9&lt;20)</formula>
    </cfRule>
  </conditionalFormatting>
  <conditionalFormatting sqref="FO9:FO208">
    <cfRule type="expression" dxfId="1550" priority="60">
      <formula>IF(FO9&gt;0,FO9&lt;20)</formula>
    </cfRule>
  </conditionalFormatting>
  <conditionalFormatting sqref="FT9:FT208">
    <cfRule type="expression" dxfId="1549" priority="59">
      <formula>IF(FT9&gt;0,FT9&lt;20)</formula>
    </cfRule>
  </conditionalFormatting>
  <conditionalFormatting sqref="FY9:FY208">
    <cfRule type="expression" dxfId="1548" priority="58">
      <formula>IF(FY9&gt;0,FY9&lt;20)</formula>
    </cfRule>
  </conditionalFormatting>
  <conditionalFormatting sqref="GD9:GD208">
    <cfRule type="expression" dxfId="1547" priority="57">
      <formula>IF(GD9&gt;0,GD9&lt;20)</formula>
    </cfRule>
  </conditionalFormatting>
  <conditionalFormatting sqref="GI9:GI208">
    <cfRule type="expression" dxfId="1546" priority="56">
      <formula>IF(GI9&gt;0,GI9&lt;20)</formula>
    </cfRule>
  </conditionalFormatting>
  <conditionalFormatting sqref="GN9:GN208">
    <cfRule type="expression" dxfId="1545" priority="55">
      <formula>IF(GN9&gt;0,GN9&lt;20)</formula>
    </cfRule>
  </conditionalFormatting>
  <conditionalFormatting sqref="GS9:GS208">
    <cfRule type="expression" dxfId="1544" priority="54">
      <formula>IF(GS9&gt;0,GS9&lt;20)</formula>
    </cfRule>
  </conditionalFormatting>
  <conditionalFormatting sqref="GX9:GX208">
    <cfRule type="expression" dxfId="1543" priority="53">
      <formula>IF(GX9&gt;0,GX9&lt;20)</formula>
    </cfRule>
  </conditionalFormatting>
  <conditionalFormatting sqref="HC9:HC208">
    <cfRule type="expression" dxfId="1542" priority="52">
      <formula>IF(HC9&gt;0,HC9&lt;20)</formula>
    </cfRule>
  </conditionalFormatting>
  <conditionalFormatting sqref="HH9:HH208">
    <cfRule type="expression" dxfId="1541" priority="51">
      <formula>IF(HH9&gt;0,HH9&lt;20)</formula>
    </cfRule>
  </conditionalFormatting>
  <conditionalFormatting sqref="HM9:HM208">
    <cfRule type="expression" dxfId="1540" priority="50">
      <formula>IF(HM9&gt;0,HM9&lt;20)</formula>
    </cfRule>
  </conditionalFormatting>
  <conditionalFormatting sqref="HR9:HR208">
    <cfRule type="expression" dxfId="1539" priority="49">
      <formula>IF(HR9&gt;0,HR9&lt;20)</formula>
    </cfRule>
  </conditionalFormatting>
  <conditionalFormatting sqref="HW9:HW208">
    <cfRule type="expression" dxfId="1538" priority="48">
      <formula>IF(HW9&gt;0,HW9&lt;20)</formula>
    </cfRule>
  </conditionalFormatting>
  <conditionalFormatting sqref="IB9:IB208">
    <cfRule type="expression" dxfId="1537" priority="47">
      <formula>IF(IB9&gt;0,IB9&lt;20)</formula>
    </cfRule>
  </conditionalFormatting>
  <conditionalFormatting sqref="IG9:IG208">
    <cfRule type="expression" dxfId="1536" priority="46">
      <formula>IF(IG9&gt;0,IG9&lt;20)</formula>
    </cfRule>
  </conditionalFormatting>
  <conditionalFormatting sqref="A19:A24">
    <cfRule type="expression" dxfId="1535" priority="43">
      <formula>IF(A19&gt;0,A19&lt;20)</formula>
    </cfRule>
  </conditionalFormatting>
  <conditionalFormatting sqref="F12:F19">
    <cfRule type="expression" dxfId="1534" priority="42">
      <formula>IF(F12&gt;0,F12&lt;20)</formula>
    </cfRule>
  </conditionalFormatting>
  <conditionalFormatting sqref="K13:K22">
    <cfRule type="expression" dxfId="1533" priority="41">
      <formula>IF(K13&gt;0,K13&lt;20)</formula>
    </cfRule>
  </conditionalFormatting>
  <conditionalFormatting sqref="P12:P13">
    <cfRule type="expression" dxfId="1532" priority="39">
      <formula>IF(P12&gt;0,P12&lt;20)</formula>
    </cfRule>
  </conditionalFormatting>
  <conditionalFormatting sqref="U10:U21">
    <cfRule type="expression" dxfId="1531" priority="38">
      <formula>IF(U10&gt;0,U10&lt;20)</formula>
    </cfRule>
  </conditionalFormatting>
  <conditionalFormatting sqref="AJ13:AJ19">
    <cfRule type="expression" dxfId="1530" priority="35">
      <formula>IF(AJ13&gt;0,AJ13&lt;20)</formula>
    </cfRule>
  </conditionalFormatting>
  <conditionalFormatting sqref="F9:F11">
    <cfRule type="expression" dxfId="1529" priority="34">
      <formula>IF(F9&gt;0,F9&lt;20)</formula>
    </cfRule>
  </conditionalFormatting>
  <conditionalFormatting sqref="K13">
    <cfRule type="expression" dxfId="1528" priority="33">
      <formula>IF(K13&gt;0,K13&lt;20)</formula>
    </cfRule>
  </conditionalFormatting>
  <conditionalFormatting sqref="K9:K13">
    <cfRule type="expression" dxfId="1527" priority="32">
      <formula>IF(K9&gt;0,K9&lt;20)</formula>
    </cfRule>
  </conditionalFormatting>
  <conditionalFormatting sqref="P9:P11">
    <cfRule type="expression" dxfId="1526" priority="31">
      <formula>IF(P9&gt;0,P9&lt;20)</formula>
    </cfRule>
  </conditionalFormatting>
  <conditionalFormatting sqref="U9">
    <cfRule type="expression" dxfId="1525" priority="30">
      <formula>IF(U9&gt;0,U9&lt;20)</formula>
    </cfRule>
  </conditionalFormatting>
  <conditionalFormatting sqref="Z9:Z16">
    <cfRule type="expression" dxfId="1524" priority="29">
      <formula>IF(Z9&gt;0,Z9&lt;20)</formula>
    </cfRule>
  </conditionalFormatting>
  <conditionalFormatting sqref="AE13:AE14">
    <cfRule type="expression" dxfId="1523" priority="28">
      <formula>IF(AE13&gt;0,AE13&lt;20)</formula>
    </cfRule>
  </conditionalFormatting>
  <conditionalFormatting sqref="AE9:AE12">
    <cfRule type="expression" dxfId="1522" priority="27">
      <formula>IF(AE9&gt;0,AE9&lt;20)</formula>
    </cfRule>
  </conditionalFormatting>
  <conditionalFormatting sqref="A14:A18">
    <cfRule type="expression" dxfId="1521" priority="22">
      <formula>AND(A14&lt;&gt;"",A14&lt;20)</formula>
    </cfRule>
  </conditionalFormatting>
  <conditionalFormatting sqref="AJ20:AJ24">
    <cfRule type="expression" dxfId="1520" priority="19">
      <formula>IF(AJ20&gt;0,AJ20&lt;20)</formula>
    </cfRule>
  </conditionalFormatting>
  <conditionalFormatting sqref="AO19">
    <cfRule type="expression" dxfId="1519" priority="18">
      <formula>IF(AO19&gt;0,AO19&lt;20)</formula>
    </cfRule>
  </conditionalFormatting>
  <conditionalFormatting sqref="AJ9:AJ12">
    <cfRule type="expression" dxfId="1518" priority="16">
      <formula>IF(AJ9&gt;0,AJ9&lt;20)</formula>
    </cfRule>
  </conditionalFormatting>
  <conditionalFormatting sqref="AO25:AO29">
    <cfRule type="expression" dxfId="1517" priority="15">
      <formula>IF(AO25&gt;0,AO25&lt;20)</formula>
    </cfRule>
  </conditionalFormatting>
  <conditionalFormatting sqref="AO20:AO24">
    <cfRule type="expression" dxfId="1516" priority="14">
      <formula>IF(AO20&gt;0,AO20&lt;20)</formula>
    </cfRule>
  </conditionalFormatting>
  <conditionalFormatting sqref="AQ25:AQ28">
    <cfRule type="expression" dxfId="1515" priority="13">
      <formula>IF(AQ25&gt;0,AQ25&lt;20)</formula>
    </cfRule>
  </conditionalFormatting>
  <conditionalFormatting sqref="AQ22:AQ24">
    <cfRule type="expression" dxfId="1514" priority="12">
      <formula>IF(AQ22&gt;0,AQ22&lt;20)</formula>
    </cfRule>
  </conditionalFormatting>
  <conditionalFormatting sqref="AT11:AT19">
    <cfRule type="expression" dxfId="1513" priority="11">
      <formula>IF(AT11&gt;0,AT11&lt;20)</formula>
    </cfRule>
  </conditionalFormatting>
  <conditionalFormatting sqref="AT9:AT10">
    <cfRule type="expression" dxfId="1512" priority="10">
      <formula>IF(AT9&gt;0,AT9&lt;20)</formula>
    </cfRule>
  </conditionalFormatting>
  <conditionalFormatting sqref="AO14:AO18">
    <cfRule type="expression" dxfId="1511" priority="9">
      <formula>IF(AO14&gt;0,AO14&lt;20)</formula>
    </cfRule>
  </conditionalFormatting>
  <conditionalFormatting sqref="AO9:AO13">
    <cfRule type="expression" dxfId="1510" priority="8">
      <formula>IF(AO9&gt;0,AO9&lt;20)</formula>
    </cfRule>
  </conditionalFormatting>
  <conditionalFormatting sqref="AQ14:AQ17">
    <cfRule type="expression" dxfId="1509" priority="7">
      <formula>IF(AQ14&gt;0,AQ14&lt;20)</formula>
    </cfRule>
  </conditionalFormatting>
  <conditionalFormatting sqref="AQ11:AQ13">
    <cfRule type="expression" dxfId="1508" priority="6">
      <formula>IF(AQ11&gt;0,AQ11&lt;20)</formula>
    </cfRule>
  </conditionalFormatting>
  <conditionalFormatting sqref="F12">
    <cfRule type="expression" dxfId="1507" priority="5">
      <formula>IF(F12&gt;0,F12&lt;20)</formula>
    </cfRule>
  </conditionalFormatting>
  <conditionalFormatting sqref="F13">
    <cfRule type="expression" dxfId="1506" priority="4">
      <formula>IF(F13&gt;0,F13&lt;20)</formula>
    </cfRule>
  </conditionalFormatting>
  <conditionalFormatting sqref="K12">
    <cfRule type="expression" dxfId="1505" priority="3">
      <formula>IF(K12&gt;0,K12&lt;20)</formula>
    </cfRule>
  </conditionalFormatting>
  <conditionalFormatting sqref="K14">
    <cfRule type="expression" dxfId="1504" priority="2">
      <formula>IF(K14&gt;0,K14&lt;20)</formula>
    </cfRule>
  </conditionalFormatting>
  <conditionalFormatting sqref="K13">
    <cfRule type="expression" dxfId="1503" priority="1">
      <formula>IF(K13&gt;0,K13&lt;20)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709" zoomScaleNormal="100" workbookViewId="0">
      <selection activeCell="E723" sqref="E723"/>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815</v>
      </c>
      <c r="D1" s="328"/>
      <c r="E1" s="88"/>
      <c r="F1" s="88"/>
      <c r="G1" s="89" t="s">
        <v>186</v>
      </c>
      <c r="H1" s="325" t="s">
        <v>731</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733</v>
      </c>
      <c r="D2" s="328"/>
      <c r="E2" s="88"/>
      <c r="F2" s="88"/>
      <c r="G2" s="89" t="s">
        <v>207</v>
      </c>
      <c r="H2" s="325" t="s">
        <v>732</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FA_IMPORT_A02SSE0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72</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304"/>
      <c r="I7" s="33">
        <f>E8-I6</f>
        <v>0</v>
      </c>
      <c r="J7" s="288" t="s">
        <v>231</v>
      </c>
      <c r="K7" s="289"/>
      <c r="L7" s="34">
        <f>I11</f>
        <v>793</v>
      </c>
      <c r="M7" s="196">
        <v>4</v>
      </c>
      <c r="N7" s="35">
        <f>SUM(AI7,AI18)</f>
        <v>0</v>
      </c>
      <c r="O7" s="35">
        <v>0</v>
      </c>
      <c r="P7" s="35">
        <f>SUM(AJ7,AJ18)</f>
        <v>0</v>
      </c>
      <c r="Q7" s="35">
        <v>0</v>
      </c>
      <c r="R7" s="35">
        <f>COUNTIFS($E17:$E41,"4",$F17:$F41,"Pole",$C17:$C41,"FST")</f>
        <v>0</v>
      </c>
      <c r="S7" s="35">
        <f>SUM(AL7,AK18)</f>
        <v>0</v>
      </c>
      <c r="T7" s="35">
        <v>0</v>
      </c>
      <c r="U7" s="35">
        <f>SUM(AK7,AL18)</f>
        <v>3</v>
      </c>
      <c r="V7" s="35">
        <v>0</v>
      </c>
      <c r="W7" s="34">
        <f>COUNTIFS($E17:$E41,"4",$F17:$F41,"HH",$C17:$C41,"FST")</f>
        <v>3</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f>IF($E7="EUC",COUNTIFS($C17:$C41,"FST",$E17:$E41,"4"),"0")</f>
        <v>3</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290" t="s">
        <v>237</v>
      </c>
      <c r="H8" s="291"/>
      <c r="I8" s="35">
        <f>IF(E8=0,0,12-(MOD(I6,12)))</f>
        <v>12</v>
      </c>
      <c r="J8" s="288" t="s">
        <v>238</v>
      </c>
      <c r="K8" s="289"/>
      <c r="L8" s="39">
        <f>I12-I6</f>
        <v>792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320" t="s">
        <v>242</v>
      </c>
      <c r="H9" s="43" t="s">
        <v>243</v>
      </c>
      <c r="I9" s="35">
        <f>IF(E9&lt;&gt;0,1,0)</f>
        <v>0</v>
      </c>
      <c r="J9" s="290" t="s">
        <v>244</v>
      </c>
      <c r="K9" s="291"/>
      <c r="L9" s="44">
        <f>'Cable Calculator'!D3</f>
        <v>866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793</v>
      </c>
      <c r="F10" s="88"/>
      <c r="G10" s="321"/>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320" t="s">
        <v>251</v>
      </c>
      <c r="H11" s="51" t="s">
        <v>252</v>
      </c>
      <c r="I11" s="112">
        <f>E10</f>
        <v>793</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72</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813</v>
      </c>
      <c r="E17" s="32">
        <v>4</v>
      </c>
      <c r="F17" s="32" t="s">
        <v>488</v>
      </c>
      <c r="G17" s="68" t="s">
        <v>277</v>
      </c>
      <c r="H17" s="69">
        <f>IF(I17=0,0,I17-(E17-1))</f>
        <v>861</v>
      </c>
      <c r="I17" s="70">
        <f>IF(E17=0,0,I12)</f>
        <v>864</v>
      </c>
      <c r="J17" s="71" t="s">
        <v>278</v>
      </c>
      <c r="K17" s="32"/>
      <c r="L17" s="233"/>
      <c r="M17" s="277"/>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734</v>
      </c>
      <c r="E18" s="32">
        <v>4</v>
      </c>
      <c r="F18" s="32" t="s">
        <v>488</v>
      </c>
      <c r="G18" s="68" t="s">
        <v>277</v>
      </c>
      <c r="H18" s="69">
        <f t="shared" ref="H18:H41" si="9">IF(E18=0,0,I18-(E18-1))</f>
        <v>857</v>
      </c>
      <c r="I18" s="70">
        <f t="shared" ref="I18:I41" si="10">IF(E18=0,0,H17-1)</f>
        <v>860</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814</v>
      </c>
      <c r="E19" s="32">
        <v>4</v>
      </c>
      <c r="F19" s="32" t="s">
        <v>488</v>
      </c>
      <c r="G19" s="75" t="s">
        <v>277</v>
      </c>
      <c r="H19" s="69">
        <f t="shared" si="9"/>
        <v>853</v>
      </c>
      <c r="I19" s="70">
        <f t="shared" si="10"/>
        <v>856</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t="s">
        <v>735</v>
      </c>
      <c r="E20" s="32">
        <v>24</v>
      </c>
      <c r="F20" s="32" t="s">
        <v>488</v>
      </c>
      <c r="G20" s="68" t="s">
        <v>277</v>
      </c>
      <c r="H20" s="69">
        <f t="shared" si="9"/>
        <v>829</v>
      </c>
      <c r="I20" s="70">
        <f t="shared" si="10"/>
        <v>852</v>
      </c>
      <c r="J20" s="73" t="str">
        <f t="shared" si="11"/>
        <v>--</v>
      </c>
      <c r="K20" s="32"/>
      <c r="L20" s="233"/>
      <c r="M20" s="277" t="s">
        <v>746</v>
      </c>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829-852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t="s">
        <v>735</v>
      </c>
      <c r="E21" s="32">
        <v>36</v>
      </c>
      <c r="F21" s="32" t="s">
        <v>488</v>
      </c>
      <c r="G21" s="68" t="s">
        <v>277</v>
      </c>
      <c r="H21" s="69">
        <f t="shared" si="9"/>
        <v>793</v>
      </c>
      <c r="I21" s="70">
        <f t="shared" si="10"/>
        <v>828</v>
      </c>
      <c r="J21" s="73" t="str">
        <f t="shared" si="11"/>
        <v>--</v>
      </c>
      <c r="K21" s="32"/>
      <c r="L21" s="233"/>
      <c r="M21" s="277" t="s">
        <v>747</v>
      </c>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793-828</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73</v>
      </c>
      <c r="X28" s="84"/>
      <c r="Y28" s="78">
        <f>SUM(E17:E28)</f>
        <v>72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73</v>
      </c>
      <c r="X30" s="84"/>
      <c r="Y30" s="78">
        <f>SUM(E17:E30)</f>
        <v>72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73</v>
      </c>
      <c r="X31" s="84"/>
      <c r="Y31" s="78">
        <f>SUM(E17:E31)</f>
        <v>72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73</v>
      </c>
      <c r="X32" s="84"/>
      <c r="Y32" s="78">
        <f>SUM(E17:E32)</f>
        <v>72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73</v>
      </c>
      <c r="X33" s="84"/>
      <c r="Y33" s="78">
        <f>SUM(E17:E33)</f>
        <v>72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73</v>
      </c>
      <c r="X34" s="84"/>
      <c r="Y34" s="78">
        <f>SUM(E17:E34)</f>
        <v>72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73</v>
      </c>
      <c r="X35" s="84"/>
      <c r="Y35" s="78">
        <f>SUM(E17:E35)</f>
        <v>72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73</v>
      </c>
      <c r="X36" s="84"/>
      <c r="Y36" s="78">
        <f>SUM(E17:E36)</f>
        <v>72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73</v>
      </c>
      <c r="X37" s="84"/>
      <c r="Y37" s="78">
        <f>SUM(E17:E37)</f>
        <v>72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73</v>
      </c>
      <c r="X38" s="84"/>
      <c r="Y38" s="78">
        <f>SUM(E17:E38)</f>
        <v>72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73</v>
      </c>
      <c r="X39" s="84"/>
      <c r="Y39" s="78">
        <f>SUM(E17:E39)</f>
        <v>72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73</v>
      </c>
      <c r="X40" s="84"/>
      <c r="Y40" s="78">
        <f>SUM(E17:E40)</f>
        <v>72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72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22</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24</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4</v>
      </c>
      <c r="V47" s="35">
        <v>0</v>
      </c>
      <c r="W47" s="34">
        <f>COUNTIFS($E58:$E82,"2",$F58:$F82,"HH",$C58:$C82,"FST")</f>
        <v>4</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f>IF($E48="EUC",COUNTIFS($C58:$C82,"FST",$E58:$E82,"2"),"0")</f>
        <v>4</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3" t="s">
        <v>230</v>
      </c>
      <c r="H48" s="304"/>
      <c r="I48" s="33">
        <f>E49-I47</f>
        <v>0</v>
      </c>
      <c r="J48" s="288" t="s">
        <v>231</v>
      </c>
      <c r="K48" s="289"/>
      <c r="L48" s="34">
        <f>I52</f>
        <v>829</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290" t="s">
        <v>237</v>
      </c>
      <c r="H49" s="291"/>
      <c r="I49" s="35">
        <f>IF(E49=0,0,12-(MOD(I47,12)))</f>
        <v>12</v>
      </c>
      <c r="J49" s="288" t="s">
        <v>238</v>
      </c>
      <c r="K49" s="289"/>
      <c r="L49" s="39">
        <f>I53-I47</f>
        <v>828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0" t="s">
        <v>242</v>
      </c>
      <c r="H50" s="43" t="s">
        <v>243</v>
      </c>
      <c r="I50" s="35">
        <f>IF(E50&lt;&gt;0,1,0)</f>
        <v>0</v>
      </c>
      <c r="J50" s="290" t="s">
        <v>244</v>
      </c>
      <c r="K50" s="291"/>
      <c r="L50" s="44">
        <f>'Cable Calculator'!I3</f>
        <v>1958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829</v>
      </c>
      <c r="F51" s="88"/>
      <c r="G51" s="321"/>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0" t="s">
        <v>251</v>
      </c>
      <c r="H52" s="51" t="s">
        <v>252</v>
      </c>
      <c r="I52" s="112">
        <f>E51</f>
        <v>829</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852</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494</v>
      </c>
      <c r="D58" s="102" t="s">
        <v>736</v>
      </c>
      <c r="E58" s="32">
        <v>12</v>
      </c>
      <c r="F58" s="32" t="s">
        <v>488</v>
      </c>
      <c r="G58" s="68" t="s">
        <v>277</v>
      </c>
      <c r="H58" s="69">
        <f>IF(I58=0,0,I58-(E58-1))</f>
        <v>841</v>
      </c>
      <c r="I58" s="70">
        <f>IF(E58=0,0,I53)</f>
        <v>852</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841-852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1</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737</v>
      </c>
      <c r="E59" s="32">
        <v>2</v>
      </c>
      <c r="F59" s="32" t="s">
        <v>488</v>
      </c>
      <c r="G59" s="68" t="s">
        <v>277</v>
      </c>
      <c r="H59" s="69">
        <f t="shared" ref="H59:H82" si="26">IF(E59=0,0,I59-(E59-1))</f>
        <v>839</v>
      </c>
      <c r="I59" s="70">
        <f t="shared" ref="I59:I82" si="27">IF(E59=0,0,H58-1)</f>
        <v>840</v>
      </c>
      <c r="J59" s="73" t="str">
        <f>IF(C59="","--",IF(AND(C59&lt;&gt;"FST",C59&lt;&gt;"TCF",BA58&lt;&gt;0),BA58,"--"))</f>
        <v>--</v>
      </c>
      <c r="K59" s="32"/>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839-840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2</v>
      </c>
    </row>
    <row r="60" spans="1:53" ht="15.75" thickBot="1" x14ac:dyDescent="0.3">
      <c r="A60" s="88"/>
      <c r="B60" s="74" t="s">
        <v>280</v>
      </c>
      <c r="C60" s="67" t="s">
        <v>484</v>
      </c>
      <c r="D60" s="102" t="s">
        <v>738</v>
      </c>
      <c r="E60" s="32">
        <v>2</v>
      </c>
      <c r="F60" s="32" t="s">
        <v>488</v>
      </c>
      <c r="G60" s="75" t="s">
        <v>277</v>
      </c>
      <c r="H60" s="69">
        <f t="shared" si="26"/>
        <v>837</v>
      </c>
      <c r="I60" s="70">
        <f t="shared" si="27"/>
        <v>838</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837-838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6</v>
      </c>
    </row>
    <row r="61" spans="1:53" ht="15.75" thickBot="1" x14ac:dyDescent="0.3">
      <c r="A61" s="88"/>
      <c r="B61" s="66" t="s">
        <v>281</v>
      </c>
      <c r="C61" s="67" t="s">
        <v>484</v>
      </c>
      <c r="D61" s="102" t="s">
        <v>739</v>
      </c>
      <c r="E61" s="32">
        <v>2</v>
      </c>
      <c r="F61" s="32" t="s">
        <v>488</v>
      </c>
      <c r="G61" s="68" t="s">
        <v>277</v>
      </c>
      <c r="H61" s="69">
        <f t="shared" si="26"/>
        <v>835</v>
      </c>
      <c r="I61" s="70">
        <f t="shared" si="27"/>
        <v>836</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835-836</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8</v>
      </c>
    </row>
    <row r="62" spans="1:53" ht="15.75" thickBot="1" x14ac:dyDescent="0.3">
      <c r="A62" s="88"/>
      <c r="B62" s="66" t="s">
        <v>282</v>
      </c>
      <c r="C62" s="67" t="s">
        <v>484</v>
      </c>
      <c r="D62" s="102" t="s">
        <v>740</v>
      </c>
      <c r="E62" s="32">
        <v>2</v>
      </c>
      <c r="F62" s="32" t="s">
        <v>488</v>
      </c>
      <c r="G62" s="68" t="s">
        <v>277</v>
      </c>
      <c r="H62" s="69">
        <f t="shared" si="26"/>
        <v>833</v>
      </c>
      <c r="I62" s="70">
        <f t="shared" si="27"/>
        <v>834</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833-834</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484</v>
      </c>
      <c r="D63" s="102" t="s">
        <v>741</v>
      </c>
      <c r="E63" s="32">
        <v>4</v>
      </c>
      <c r="F63" s="32" t="s">
        <v>488</v>
      </c>
      <c r="G63" s="68" t="s">
        <v>277</v>
      </c>
      <c r="H63" s="69">
        <f t="shared" si="26"/>
        <v>829</v>
      </c>
      <c r="I63" s="70">
        <f t="shared" si="27"/>
        <v>832</v>
      </c>
      <c r="J63" s="73" t="str">
        <f t="shared" si="28"/>
        <v>--</v>
      </c>
      <c r="K63" s="32"/>
      <c r="L63" s="233"/>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0</v>
      </c>
      <c r="AE63" s="109" t="str">
        <f t="shared" si="19"/>
        <v>829-832</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20</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36</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12</v>
      </c>
      <c r="J89" s="288" t="s">
        <v>231</v>
      </c>
      <c r="K89" s="289"/>
      <c r="L89" s="34">
        <f>I93</f>
        <v>793</v>
      </c>
      <c r="M89" s="196">
        <v>4</v>
      </c>
      <c r="N89" s="35">
        <f>SUM(AI89,AI100)</f>
        <v>0</v>
      </c>
      <c r="O89" s="35">
        <v>0</v>
      </c>
      <c r="P89" s="35">
        <f>SUM(AJ89,AJ100)</f>
        <v>0</v>
      </c>
      <c r="Q89" s="35">
        <v>0</v>
      </c>
      <c r="R89" s="35">
        <f>COUNTIFS($E99:$E123,"4",$F99:$F123,"Pole",$C99:$C123,"FST")</f>
        <v>7</v>
      </c>
      <c r="S89" s="35">
        <f>SUM(AL89,AK100)</f>
        <v>0</v>
      </c>
      <c r="T89" s="35">
        <v>0</v>
      </c>
      <c r="U89" s="35">
        <f>SUM(AK89,AL100)</f>
        <v>7</v>
      </c>
      <c r="V89" s="35">
        <v>0</v>
      </c>
      <c r="W89" s="34">
        <f>COUNTIFS($E99:$E123,"4",$F99:$F123,"HH",$C99:$C123,"FST")</f>
        <v>0</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7</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0" t="s">
        <v>237</v>
      </c>
      <c r="H90" s="291"/>
      <c r="I90" s="35">
        <f>IF(E90=0,0,12-(MOD(I88,12)))</f>
        <v>12</v>
      </c>
      <c r="J90" s="288" t="s">
        <v>238</v>
      </c>
      <c r="K90" s="289"/>
      <c r="L90" s="39">
        <f>I94-I88</f>
        <v>792</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0" t="s">
        <v>242</v>
      </c>
      <c r="H91" s="43" t="s">
        <v>243</v>
      </c>
      <c r="I91" s="35">
        <f>IF(E91&lt;&gt;0,1,0)</f>
        <v>1</v>
      </c>
      <c r="J91" s="290" t="s">
        <v>244</v>
      </c>
      <c r="K91" s="291"/>
      <c r="L91" s="44">
        <f>'Cable Calculator'!N3</f>
        <v>2080</v>
      </c>
      <c r="M91" s="196">
        <v>8</v>
      </c>
      <c r="N91" s="35">
        <f>SUM(AI91,AI102)</f>
        <v>0</v>
      </c>
      <c r="O91" s="35">
        <v>0</v>
      </c>
      <c r="P91" s="35">
        <f>SUM(AJ91,AJ102)</f>
        <v>0</v>
      </c>
      <c r="Q91" s="35">
        <v>0</v>
      </c>
      <c r="R91" s="35">
        <f>COUNTIFS($E99:$E123,"8",$F99:$F123,"Pole",$C99:$C123,"FST")</f>
        <v>1</v>
      </c>
      <c r="S91" s="35">
        <f>SUM(AL91,AK102)</f>
        <v>0</v>
      </c>
      <c r="T91" s="35">
        <v>0</v>
      </c>
      <c r="U91" s="35">
        <f>SUM(AK91,AL102)</f>
        <v>1</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793</v>
      </c>
      <c r="F92" s="88"/>
      <c r="G92" s="321"/>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0" t="s">
        <v>251</v>
      </c>
      <c r="H93" s="51" t="s">
        <v>252</v>
      </c>
      <c r="I93" s="112">
        <f>E92</f>
        <v>793</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828</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745</v>
      </c>
      <c r="E99" s="32">
        <v>8</v>
      </c>
      <c r="F99" s="32" t="s">
        <v>483</v>
      </c>
      <c r="G99" s="68" t="s">
        <v>277</v>
      </c>
      <c r="H99" s="69">
        <f>IF(I99=0,0,I99-(E99-1))</f>
        <v>821</v>
      </c>
      <c r="I99" s="70">
        <f>IF(E99=0,0,I94)</f>
        <v>828</v>
      </c>
      <c r="J99" s="71" t="s">
        <v>278</v>
      </c>
      <c r="K99" s="32">
        <v>200</v>
      </c>
      <c r="L99" s="233"/>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821-828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8</v>
      </c>
    </row>
    <row r="100" spans="1:53" ht="15.75" thickBot="1" x14ac:dyDescent="0.3">
      <c r="A100" s="88"/>
      <c r="B100" s="66" t="s">
        <v>279</v>
      </c>
      <c r="C100" s="67" t="s">
        <v>484</v>
      </c>
      <c r="D100" s="102" t="s">
        <v>748</v>
      </c>
      <c r="E100" s="32">
        <v>4</v>
      </c>
      <c r="F100" s="32" t="s">
        <v>483</v>
      </c>
      <c r="G100" s="68" t="s">
        <v>277</v>
      </c>
      <c r="H100" s="69">
        <f t="shared" ref="H100:H123" si="43">IF(E100=0,0,I100-(E100-1))</f>
        <v>817</v>
      </c>
      <c r="I100" s="70">
        <f t="shared" ref="I100:I123" si="44">IF(E100=0,0,H99-1)</f>
        <v>820</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817-820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749</v>
      </c>
      <c r="E101" s="32">
        <v>4</v>
      </c>
      <c r="F101" s="32" t="s">
        <v>483</v>
      </c>
      <c r="G101" s="75" t="s">
        <v>277</v>
      </c>
      <c r="H101" s="69">
        <f t="shared" si="43"/>
        <v>813</v>
      </c>
      <c r="I101" s="70">
        <f t="shared" si="44"/>
        <v>816</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813-816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8</v>
      </c>
    </row>
    <row r="102" spans="1:53" ht="15.75" thickBot="1" x14ac:dyDescent="0.3">
      <c r="A102" s="88"/>
      <c r="B102" s="66" t="s">
        <v>281</v>
      </c>
      <c r="C102" s="67" t="s">
        <v>484</v>
      </c>
      <c r="D102" s="102" t="s">
        <v>750</v>
      </c>
      <c r="E102" s="32">
        <v>4</v>
      </c>
      <c r="F102" s="32" t="s">
        <v>483</v>
      </c>
      <c r="G102" s="68" t="s">
        <v>277</v>
      </c>
      <c r="H102" s="69">
        <f t="shared" si="43"/>
        <v>809</v>
      </c>
      <c r="I102" s="70">
        <f t="shared" si="44"/>
        <v>812</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809-812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751</v>
      </c>
      <c r="E103" s="32">
        <v>4</v>
      </c>
      <c r="F103" s="32" t="s">
        <v>483</v>
      </c>
      <c r="G103" s="68" t="s">
        <v>277</v>
      </c>
      <c r="H103" s="69">
        <f t="shared" si="43"/>
        <v>805</v>
      </c>
      <c r="I103" s="70">
        <f t="shared" si="44"/>
        <v>808</v>
      </c>
      <c r="J103" s="73" t="str">
        <f t="shared" si="45"/>
        <v>--</v>
      </c>
      <c r="K103" s="32"/>
      <c r="L103" s="233"/>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805-808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752</v>
      </c>
      <c r="E104" s="32">
        <v>4</v>
      </c>
      <c r="F104" s="32" t="s">
        <v>483</v>
      </c>
      <c r="G104" s="68" t="s">
        <v>277</v>
      </c>
      <c r="H104" s="69">
        <f t="shared" si="43"/>
        <v>801</v>
      </c>
      <c r="I104" s="70">
        <f t="shared" si="44"/>
        <v>804</v>
      </c>
      <c r="J104" s="73" t="str">
        <f t="shared" si="45"/>
        <v>--</v>
      </c>
      <c r="K104" s="32"/>
      <c r="L104" s="233"/>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0</v>
      </c>
      <c r="AE104" s="109" t="str">
        <f t="shared" si="36"/>
        <v>801-804</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753</v>
      </c>
      <c r="E105" s="32">
        <v>4</v>
      </c>
      <c r="F105" s="32" t="s">
        <v>483</v>
      </c>
      <c r="G105" s="68" t="s">
        <v>277</v>
      </c>
      <c r="H105" s="69">
        <f t="shared" si="43"/>
        <v>797</v>
      </c>
      <c r="I105" s="70">
        <f t="shared" si="44"/>
        <v>800</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0</v>
      </c>
      <c r="AE105" s="109" t="str">
        <f t="shared" si="36"/>
        <v>797-800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754</v>
      </c>
      <c r="E106" s="32">
        <v>4</v>
      </c>
      <c r="F106" s="32" t="s">
        <v>483</v>
      </c>
      <c r="G106" s="68" t="s">
        <v>277</v>
      </c>
      <c r="H106" s="69">
        <f t="shared" si="43"/>
        <v>793</v>
      </c>
      <c r="I106" s="70">
        <f t="shared" si="44"/>
        <v>796</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0</v>
      </c>
      <c r="AE106" s="109" t="str">
        <f t="shared" si="36"/>
        <v>793-796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17</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12</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3" t="s">
        <v>230</v>
      </c>
      <c r="H130" s="304"/>
      <c r="I130" s="33">
        <f>E131-I129</f>
        <v>12</v>
      </c>
      <c r="J130" s="288" t="s">
        <v>231</v>
      </c>
      <c r="K130" s="289"/>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3</v>
      </c>
      <c r="V130" s="35">
        <v>0</v>
      </c>
      <c r="W130" s="34">
        <f>COUNTIFS($E140:$E164,"4",$F140:$F164,"HH",$C140:$C164,"FST")</f>
        <v>3</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0" t="s">
        <v>237</v>
      </c>
      <c r="H131" s="291"/>
      <c r="I131" s="35">
        <f>IF(E131=0,0,12-(MOD(I129,12)))</f>
        <v>12</v>
      </c>
      <c r="J131" s="288" t="s">
        <v>238</v>
      </c>
      <c r="K131" s="289"/>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0" t="s">
        <v>242</v>
      </c>
      <c r="H132" s="43" t="s">
        <v>243</v>
      </c>
      <c r="I132" s="35">
        <f>IF(E132&lt;&gt;0,1,0)</f>
        <v>1</v>
      </c>
      <c r="J132" s="290" t="s">
        <v>244</v>
      </c>
      <c r="K132" s="291"/>
      <c r="L132" s="44">
        <f>'Cable Calculator'!S3</f>
        <v>768</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321"/>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0" t="s">
        <v>251</v>
      </c>
      <c r="H134" s="51" t="s">
        <v>252</v>
      </c>
      <c r="I134" s="112">
        <f>E133</f>
        <v>841</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1"/>
      <c r="H135" s="47" t="s">
        <v>257</v>
      </c>
      <c r="I135" s="35">
        <f>IF(E133="","0",IF(AND(E130="EUC",E131=432), I134+(203-E132),IF(E133=0,0,(E133+(E131-E132)-1))))</f>
        <v>852</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742</v>
      </c>
      <c r="E140" s="32">
        <v>4</v>
      </c>
      <c r="F140" s="32" t="s">
        <v>488</v>
      </c>
      <c r="G140" s="68" t="s">
        <v>277</v>
      </c>
      <c r="H140" s="69">
        <f>IF(I140=0,0,I140-(E140-1))</f>
        <v>849</v>
      </c>
      <c r="I140" s="70">
        <f>IF(E140=0,0,I135)</f>
        <v>852</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743</v>
      </c>
      <c r="E141" s="32">
        <v>4</v>
      </c>
      <c r="F141" s="32" t="s">
        <v>488</v>
      </c>
      <c r="G141" s="68" t="s">
        <v>277</v>
      </c>
      <c r="H141" s="69">
        <f t="shared" ref="H141:H164" si="60">IF(E141=0,0,I141-(E141-1))</f>
        <v>845</v>
      </c>
      <c r="I141" s="70">
        <f t="shared" ref="I141:I164" si="61">IF(E141=0,0,H140-1)</f>
        <v>848</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845-848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744</v>
      </c>
      <c r="E142" s="32">
        <v>4</v>
      </c>
      <c r="F142" s="32" t="s">
        <v>488</v>
      </c>
      <c r="G142" s="75" t="s">
        <v>277</v>
      </c>
      <c r="H142" s="69">
        <f t="shared" si="60"/>
        <v>841</v>
      </c>
      <c r="I142" s="70">
        <f t="shared" si="61"/>
        <v>844</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0</v>
      </c>
      <c r="AE142" s="109" t="str">
        <f t="shared" si="53"/>
        <v>841-844</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156</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304"/>
      <c r="I171" s="33">
        <f>E172-I170</f>
        <v>60</v>
      </c>
      <c r="J171" s="288" t="s">
        <v>231</v>
      </c>
      <c r="K171" s="289"/>
      <c r="L171" s="34">
        <f>I175</f>
        <v>637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216</v>
      </c>
      <c r="F172" s="88"/>
      <c r="G172" s="290" t="s">
        <v>237</v>
      </c>
      <c r="H172" s="291"/>
      <c r="I172" s="35">
        <f>IF(E172=0,0,12-(MOD(I170,12)))</f>
        <v>12</v>
      </c>
      <c r="J172" s="288" t="s">
        <v>238</v>
      </c>
      <c r="K172" s="289"/>
      <c r="L172" s="39">
        <f>I176-I170</f>
        <v>636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60</v>
      </c>
      <c r="F173" s="88"/>
      <c r="G173" s="320" t="s">
        <v>242</v>
      </c>
      <c r="H173" s="43" t="s">
        <v>243</v>
      </c>
      <c r="I173" s="35">
        <f>IF(E173&lt;&gt;0,1,0)</f>
        <v>1</v>
      </c>
      <c r="J173" s="290" t="s">
        <v>244</v>
      </c>
      <c r="K173" s="291"/>
      <c r="L173" s="44">
        <f>'Cable Calculator'!X3</f>
        <v>1455</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637</v>
      </c>
      <c r="F174" s="88"/>
      <c r="G174" s="321"/>
      <c r="H174" s="47" t="s">
        <v>248</v>
      </c>
      <c r="I174" s="35">
        <f>IF(E173&lt;&gt;0,E173,0)</f>
        <v>60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1</v>
      </c>
      <c r="V174" s="35">
        <f>IF($E171="EUC",SUM($AN206,AP206,AR206),"0")</f>
        <v>0</v>
      </c>
      <c r="W174" s="34">
        <f>COUNTIFS($E181:$E205,"12",$F181:$F205,"HH",$C181:$C205,"FST")</f>
        <v>1</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1</v>
      </c>
      <c r="AL174" s="109" t="str">
        <f>IF($E171="RPX-T",COUNTIFS($C181:$C205,"FST",$E181:$E205,"12"),"0")</f>
        <v>0</v>
      </c>
      <c r="BA174" s="227"/>
    </row>
    <row r="175" spans="1:53" ht="16.5" customHeight="1" thickTop="1" thickBot="1" x14ac:dyDescent="0.3">
      <c r="A175" s="88"/>
      <c r="B175" s="36" t="s">
        <v>249</v>
      </c>
      <c r="C175" s="30">
        <v>0</v>
      </c>
      <c r="D175" s="49" t="s">
        <v>250</v>
      </c>
      <c r="E175" s="50">
        <f>E172/12</f>
        <v>18</v>
      </c>
      <c r="F175" s="88"/>
      <c r="G175" s="320" t="s">
        <v>251</v>
      </c>
      <c r="H175" s="51" t="s">
        <v>252</v>
      </c>
      <c r="I175" s="112">
        <f>E174</f>
        <v>637</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1"/>
      <c r="H176" s="47" t="s">
        <v>257</v>
      </c>
      <c r="I176" s="35">
        <f>IF(E174="","0",IF(AND(E171="EUC",E172=432), I175+(203-E173),IF(E174=0,0,(E174+(E172-E173)-1))))</f>
        <v>792</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156</v>
      </c>
      <c r="D177" s="31" t="s">
        <v>259</v>
      </c>
      <c r="E177" s="101" t="str">
        <f>IF(AS171="Y","DBL",IF(AS172="Y","TRPL",IF(AS173="Y","QUAD","")))</f>
        <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755</v>
      </c>
      <c r="E181" s="32">
        <v>12</v>
      </c>
      <c r="F181" s="32" t="s">
        <v>488</v>
      </c>
      <c r="G181" s="68" t="s">
        <v>277</v>
      </c>
      <c r="H181" s="69">
        <f>IF(I181=0,0,I181-(E181-1))</f>
        <v>781</v>
      </c>
      <c r="I181" s="70">
        <f>IF(E181=0,0,I176)</f>
        <v>792</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781-792</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t="s">
        <v>756</v>
      </c>
      <c r="E182" s="32">
        <v>96</v>
      </c>
      <c r="F182" s="32" t="s">
        <v>488</v>
      </c>
      <c r="G182" s="68" t="s">
        <v>277</v>
      </c>
      <c r="H182" s="69">
        <f t="shared" ref="H182:H205" si="77">IF(E182=0,0,I182-(E182-1))</f>
        <v>685</v>
      </c>
      <c r="I182" s="70">
        <f t="shared" ref="I182:I205" si="78">IF(E182=0,0,H181-1)</f>
        <v>780</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1</v>
      </c>
      <c r="AE182" s="109" t="str">
        <f t="shared" si="70"/>
        <v>685-780</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t="s">
        <v>756</v>
      </c>
      <c r="E183" s="32">
        <v>48</v>
      </c>
      <c r="F183" s="32" t="s">
        <v>488</v>
      </c>
      <c r="G183" s="75" t="s">
        <v>277</v>
      </c>
      <c r="H183" s="69">
        <f t="shared" si="77"/>
        <v>637</v>
      </c>
      <c r="I183" s="70">
        <f t="shared" si="78"/>
        <v>684</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1</v>
      </c>
      <c r="AE183" s="109" t="str">
        <f t="shared" si="70"/>
        <v>637-684</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157</v>
      </c>
      <c r="X192" s="84"/>
      <c r="Y192" s="78">
        <f>SUM(E181:E192)</f>
        <v>156</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157</v>
      </c>
      <c r="X193" s="84"/>
      <c r="Y193" s="78">
        <f>SUM(E181:E193)</f>
        <v>156</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157</v>
      </c>
      <c r="X194" s="84"/>
      <c r="Y194" s="78">
        <f>SUM(E181:E194)</f>
        <v>156</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157</v>
      </c>
      <c r="X195" s="84"/>
      <c r="Y195" s="78">
        <f>SUM(E181:E195)</f>
        <v>156</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157</v>
      </c>
      <c r="X196" s="84"/>
      <c r="Y196" s="78">
        <f>SUM(E181:E196)</f>
        <v>156</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157</v>
      </c>
      <c r="X197" s="84"/>
      <c r="Y197" s="78">
        <f>SUM(E181:E197)</f>
        <v>156</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157</v>
      </c>
      <c r="X198" s="84"/>
      <c r="Y198" s="78">
        <f>SUM(E181:E198)</f>
        <v>156</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157</v>
      </c>
      <c r="X199" s="84"/>
      <c r="Y199" s="78">
        <f>SUM(E181:E199)</f>
        <v>156</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157</v>
      </c>
      <c r="X200" s="84"/>
      <c r="Y200" s="78">
        <f>SUM(E181:E200)</f>
        <v>156</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157</v>
      </c>
      <c r="X201" s="84"/>
      <c r="Y201" s="78">
        <f>SUM(E181:E201)</f>
        <v>156</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157</v>
      </c>
      <c r="X202" s="84"/>
      <c r="Y202" s="78">
        <f>SUM(E181:E202)</f>
        <v>156</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157</v>
      </c>
      <c r="X203" s="84"/>
      <c r="Y203" s="78">
        <f>SUM(E181:E203)</f>
        <v>156</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157</v>
      </c>
      <c r="X204" s="84"/>
      <c r="Y204" s="78">
        <f>SUM(E181:E204)</f>
        <v>156</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156</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24</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96</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3" t="s">
        <v>230</v>
      </c>
      <c r="H212" s="304"/>
      <c r="I212" s="33">
        <f>E213-I211</f>
        <v>48</v>
      </c>
      <c r="J212" s="288" t="s">
        <v>231</v>
      </c>
      <c r="K212" s="289"/>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144</v>
      </c>
      <c r="F213" s="88"/>
      <c r="G213" s="290" t="s">
        <v>237</v>
      </c>
      <c r="H213" s="291"/>
      <c r="I213" s="35">
        <f>IF(E213=0,0,12-(MOD(I211,12)))</f>
        <v>12</v>
      </c>
      <c r="J213" s="288" t="s">
        <v>238</v>
      </c>
      <c r="K213" s="289"/>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48</v>
      </c>
      <c r="F214" s="88"/>
      <c r="G214" s="320" t="s">
        <v>242</v>
      </c>
      <c r="H214" s="43" t="s">
        <v>243</v>
      </c>
      <c r="I214" s="35">
        <f>IF(E214&lt;&gt;0,1,0)</f>
        <v>1</v>
      </c>
      <c r="J214" s="290" t="s">
        <v>244</v>
      </c>
      <c r="K214" s="291"/>
      <c r="L214" s="44">
        <f>'Cable Calculator'!AC3</f>
        <v>828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1"/>
      <c r="H215" s="47" t="s">
        <v>248</v>
      </c>
      <c r="I215" s="35">
        <f>IF(E214&lt;&gt;0,E214,0)</f>
        <v>48</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12</v>
      </c>
      <c r="F216" s="88"/>
      <c r="G216" s="320" t="s">
        <v>251</v>
      </c>
      <c r="H216" s="51" t="s">
        <v>252</v>
      </c>
      <c r="I216" s="112">
        <f>E215</f>
        <v>685</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1"/>
      <c r="H217" s="47" t="s">
        <v>257</v>
      </c>
      <c r="I217" s="35">
        <f>IF(E215="","0",IF(AND(E212="EUC",E213=432), I216+(203-E214),IF(E215=0,0,(E215+(E213-E214)-1))))</f>
        <v>780</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96</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t="s">
        <v>757</v>
      </c>
      <c r="E222" s="32">
        <v>12</v>
      </c>
      <c r="F222" s="32" t="s">
        <v>488</v>
      </c>
      <c r="G222" s="68" t="s">
        <v>277</v>
      </c>
      <c r="H222" s="69">
        <f>IF(I222=0,0,I222-(E222-1))</f>
        <v>769</v>
      </c>
      <c r="I222" s="70">
        <f>IF(E222=0,0,I217)</f>
        <v>780</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769-780</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t="s">
        <v>757</v>
      </c>
      <c r="E223" s="32">
        <v>84</v>
      </c>
      <c r="F223" s="32" t="s">
        <v>488</v>
      </c>
      <c r="G223" s="68" t="s">
        <v>277</v>
      </c>
      <c r="H223" s="69">
        <f t="shared" ref="H223:H246" si="94">IF(E223=0,0,I223-(E223-1))</f>
        <v>685</v>
      </c>
      <c r="I223" s="70">
        <f t="shared" ref="I223:I246" si="95">IF(E223=0,0,H222-1)</f>
        <v>768</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685-768</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97</v>
      </c>
      <c r="X233" s="84"/>
      <c r="Y233" s="78">
        <f>SUM(E222:E233)</f>
        <v>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97</v>
      </c>
      <c r="X234" s="84"/>
      <c r="Y234" s="78">
        <f>SUM(E222:E234)</f>
        <v>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97</v>
      </c>
      <c r="X235" s="84"/>
      <c r="Y235" s="78">
        <f>SUM(E222:E235)</f>
        <v>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97</v>
      </c>
      <c r="X236" s="84"/>
      <c r="Y236" s="78">
        <f>SUM(E222:E236)</f>
        <v>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97</v>
      </c>
      <c r="X237" s="84"/>
      <c r="Y237" s="78">
        <f>SUM(E222:E237)</f>
        <v>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97</v>
      </c>
      <c r="X238" s="84"/>
      <c r="Y238" s="78">
        <f>SUM(E222:E238)</f>
        <v>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97</v>
      </c>
      <c r="X239" s="84"/>
      <c r="Y239" s="78">
        <f>SUM(E222:E239)</f>
        <v>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97</v>
      </c>
      <c r="X240" s="84"/>
      <c r="Y240" s="78">
        <f>SUM(E222:E240)</f>
        <v>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97</v>
      </c>
      <c r="X241" s="84"/>
      <c r="Y241" s="78">
        <f>SUM(E222:E241)</f>
        <v>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97</v>
      </c>
      <c r="X242" s="84"/>
      <c r="Y242" s="78">
        <f>SUM(E222:E242)</f>
        <v>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97</v>
      </c>
      <c r="X243" s="84"/>
      <c r="Y243" s="78">
        <f>SUM(E222:E243)</f>
        <v>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97</v>
      </c>
      <c r="X244" s="84"/>
      <c r="Y244" s="78">
        <f>SUM(E222:E244)</f>
        <v>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97</v>
      </c>
      <c r="X245" s="84"/>
      <c r="Y245" s="78">
        <f>SUM(E222:E245)</f>
        <v>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48</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3" t="s">
        <v>230</v>
      </c>
      <c r="H253" s="304"/>
      <c r="I253" s="33">
        <f>E254-I252</f>
        <v>0</v>
      </c>
      <c r="J253" s="288" t="s">
        <v>231</v>
      </c>
      <c r="K253" s="289"/>
      <c r="L253" s="34">
        <f>I257</f>
        <v>637</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290" t="s">
        <v>237</v>
      </c>
      <c r="H254" s="291"/>
      <c r="I254" s="35">
        <f>IF(E254=0,0,12-(MOD(I252,12)))</f>
        <v>12</v>
      </c>
      <c r="J254" s="288" t="s">
        <v>238</v>
      </c>
      <c r="K254" s="289"/>
      <c r="L254" s="39">
        <f>I258-I252</f>
        <v>636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0" t="s">
        <v>242</v>
      </c>
      <c r="H255" s="43" t="s">
        <v>243</v>
      </c>
      <c r="I255" s="35">
        <f>IF(E255&lt;&gt;0,1,0)</f>
        <v>0</v>
      </c>
      <c r="J255" s="290" t="s">
        <v>244</v>
      </c>
      <c r="K255" s="291"/>
      <c r="L255" s="44">
        <f>'Cable Calculator'!AH3</f>
        <v>410</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637</v>
      </c>
      <c r="F256" s="88"/>
      <c r="G256" s="32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1</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1</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320" t="s">
        <v>251</v>
      </c>
      <c r="H257" s="51" t="s">
        <v>252</v>
      </c>
      <c r="I257" s="112">
        <f>E256</f>
        <v>637</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1"/>
      <c r="H258" s="47" t="s">
        <v>257</v>
      </c>
      <c r="I258" s="35">
        <f>IF(E256="","0",IF(AND(E253="EUC",E254=432), I257+(203-E255),IF(E256=0,0,(E256+(E254-E255)-1))))</f>
        <v>684</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48</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758</v>
      </c>
      <c r="E263" s="32">
        <v>12</v>
      </c>
      <c r="F263" s="32" t="s">
        <v>483</v>
      </c>
      <c r="G263" s="68" t="s">
        <v>277</v>
      </c>
      <c r="H263" s="69">
        <f>IF(I263=0,0,I263-(E263-1))</f>
        <v>673</v>
      </c>
      <c r="I263" s="70">
        <f>IF(E263=0,0,I258)</f>
        <v>684</v>
      </c>
      <c r="J263" s="71" t="s">
        <v>278</v>
      </c>
      <c r="K263" s="32"/>
      <c r="L263" s="233"/>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673-684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502</v>
      </c>
      <c r="D264" s="102" t="s">
        <v>759</v>
      </c>
      <c r="E264" s="32">
        <v>24</v>
      </c>
      <c r="F264" s="32" t="s">
        <v>483</v>
      </c>
      <c r="G264" s="68" t="s">
        <v>277</v>
      </c>
      <c r="H264" s="69">
        <f t="shared" ref="H264:H287" si="111">IF(E264=0,0,I264-(E264-1))</f>
        <v>649</v>
      </c>
      <c r="I264" s="70">
        <f t="shared" ref="I264:I287" si="112">IF(E264=0,0,H263-1)</f>
        <v>672</v>
      </c>
      <c r="J264" s="73" t="str">
        <f>IF(C264="","--",IF(AND(C264&lt;&gt;"FST",C264&lt;&gt;"TCF",BA263&lt;&gt;0),BA263,"--"))</f>
        <v>--</v>
      </c>
      <c r="K264" s="32"/>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1</v>
      </c>
      <c r="AE264" s="109" t="str">
        <f t="shared" si="104"/>
        <v>649-672</v>
      </c>
      <c r="AF264" s="109" t="str">
        <f t="shared" si="105"/>
        <v>N</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502</v>
      </c>
      <c r="D265" s="102" t="s">
        <v>759</v>
      </c>
      <c r="E265" s="32">
        <v>12</v>
      </c>
      <c r="F265" s="32" t="s">
        <v>483</v>
      </c>
      <c r="G265" s="75" t="s">
        <v>277</v>
      </c>
      <c r="H265" s="69">
        <f t="shared" si="111"/>
        <v>637</v>
      </c>
      <c r="I265" s="70">
        <f t="shared" si="112"/>
        <v>648</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1</v>
      </c>
      <c r="AE265" s="109" t="str">
        <f t="shared" si="104"/>
        <v>637-648</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49</v>
      </c>
      <c r="X274" s="84"/>
      <c r="Y274" s="78">
        <f>SUM(E263:E274)</f>
        <v>48</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49</v>
      </c>
      <c r="X275" s="84"/>
      <c r="Y275" s="78">
        <f>SUM(E263:E275)</f>
        <v>48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49</v>
      </c>
      <c r="X276" s="84"/>
      <c r="Y276" s="78">
        <f>SUM(E263:E276)</f>
        <v>48</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49</v>
      </c>
      <c r="X277" s="84"/>
      <c r="Y277" s="78">
        <f>SUM(E263:E277)</f>
        <v>48</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49</v>
      </c>
      <c r="X278" s="84"/>
      <c r="Y278" s="78">
        <f>SUM(E263:E278)</f>
        <v>48</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49</v>
      </c>
      <c r="X279" s="84"/>
      <c r="Y279" s="78">
        <f>SUM(E263:E279)</f>
        <v>48</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49</v>
      </c>
      <c r="X280" s="84"/>
      <c r="Y280" s="78">
        <f>SUM(E263:E280)</f>
        <v>48</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49</v>
      </c>
      <c r="X281" s="84"/>
      <c r="Y281" s="78">
        <f>SUM(E263:E281)</f>
        <v>48</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49</v>
      </c>
      <c r="X282" s="84"/>
      <c r="Y282" s="78">
        <f>SUM(E263:E282)</f>
        <v>48</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49</v>
      </c>
      <c r="X283" s="84"/>
      <c r="Y283" s="78">
        <f>SUM(E263:E283)</f>
        <v>48</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49</v>
      </c>
      <c r="X284" s="84"/>
      <c r="Y284" s="78">
        <f>SUM(E263:E284)</f>
        <v>48</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49</v>
      </c>
      <c r="X285" s="84"/>
      <c r="Y285" s="78">
        <f>SUM(E263:E285)</f>
        <v>48</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49</v>
      </c>
      <c r="X286" s="84"/>
      <c r="Y286" s="78">
        <f>SUM(E263:E286)</f>
        <v>48</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48</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24</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12</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304"/>
      <c r="I294" s="33">
        <f>E295-I293</f>
        <v>12</v>
      </c>
      <c r="J294" s="288" t="s">
        <v>231</v>
      </c>
      <c r="K294" s="289"/>
      <c r="L294" s="34">
        <f>I298</f>
        <v>769</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290" t="s">
        <v>237</v>
      </c>
      <c r="H295" s="291"/>
      <c r="I295" s="35">
        <f>IF(E295=0,0,12-(MOD(I293,12)))</f>
        <v>12</v>
      </c>
      <c r="J295" s="288" t="s">
        <v>238</v>
      </c>
      <c r="K295" s="289"/>
      <c r="L295" s="39">
        <f>I299-I293</f>
        <v>768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320" t="s">
        <v>242</v>
      </c>
      <c r="H296" s="43" t="s">
        <v>243</v>
      </c>
      <c r="I296" s="35">
        <f>IF(E296&lt;&gt;0,1,0)</f>
        <v>1</v>
      </c>
      <c r="J296" s="290" t="s">
        <v>244</v>
      </c>
      <c r="K296" s="291"/>
      <c r="L296" s="44">
        <f>'Cable Calculator'!AM3</f>
        <v>564</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769</v>
      </c>
      <c r="F297" s="88"/>
      <c r="G297" s="321"/>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0" t="s">
        <v>251</v>
      </c>
      <c r="H298" s="51" t="s">
        <v>252</v>
      </c>
      <c r="I298" s="112">
        <f>E297</f>
        <v>769</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1"/>
      <c r="H299" s="47" t="s">
        <v>257</v>
      </c>
      <c r="I299" s="35">
        <f>IF(E297="","0",IF(AND(E294="EUC",E295=432), I298+(203-E296),IF(E297=0,0,(E297+(E295-E296)-1))))</f>
        <v>780</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760</v>
      </c>
      <c r="E304" s="32">
        <v>4</v>
      </c>
      <c r="F304" s="32" t="s">
        <v>488</v>
      </c>
      <c r="G304" s="68" t="s">
        <v>277</v>
      </c>
      <c r="H304" s="69">
        <f>IF(I304=0,0,I304-(E304-1))</f>
        <v>777</v>
      </c>
      <c r="I304" s="70">
        <f>IF(E304=0,0,I299)</f>
        <v>780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777-780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761</v>
      </c>
      <c r="E305" s="32">
        <v>4</v>
      </c>
      <c r="F305" s="32" t="s">
        <v>488</v>
      </c>
      <c r="G305" s="68" t="s">
        <v>277</v>
      </c>
      <c r="H305" s="69">
        <f t="shared" ref="H305:H328" si="128">IF(E305=0,0,I305-(E305-1))</f>
        <v>773</v>
      </c>
      <c r="I305" s="70">
        <f t="shared" ref="I305:I328" si="129">IF(E305=0,0,H304-1)</f>
        <v>776</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773-776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762</v>
      </c>
      <c r="E306" s="32">
        <v>4</v>
      </c>
      <c r="F306" s="32" t="s">
        <v>488</v>
      </c>
      <c r="G306" s="75" t="s">
        <v>277</v>
      </c>
      <c r="H306" s="69">
        <f t="shared" si="128"/>
        <v>769</v>
      </c>
      <c r="I306" s="70">
        <f t="shared" si="129"/>
        <v>772</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769-772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84</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3" t="s">
        <v>230</v>
      </c>
      <c r="H335" s="304"/>
      <c r="I335" s="33">
        <f>E336-I334</f>
        <v>60</v>
      </c>
      <c r="J335" s="288" t="s">
        <v>231</v>
      </c>
      <c r="K335" s="289"/>
      <c r="L335" s="34">
        <f>I339</f>
        <v>685</v>
      </c>
      <c r="M335" s="196">
        <v>4</v>
      </c>
      <c r="N335" s="35">
        <f>SUM(AI335,AI346)</f>
        <v>0</v>
      </c>
      <c r="O335" s="35">
        <v>0</v>
      </c>
      <c r="P335" s="35">
        <f>SUM(AJ335,AJ346)</f>
        <v>0</v>
      </c>
      <c r="Q335" s="35">
        <v>0</v>
      </c>
      <c r="R335" s="35">
        <f>COUNTIFS($E345:$E369,"4",$F345:$F369,"Pole",$C345:$C369,"FST")</f>
        <v>4</v>
      </c>
      <c r="S335" s="35">
        <f>SUM(AL335,AK346)</f>
        <v>0</v>
      </c>
      <c r="T335" s="35">
        <v>0</v>
      </c>
      <c r="U335" s="35">
        <f>SUM(AK335,AL346)</f>
        <v>4</v>
      </c>
      <c r="V335" s="35">
        <v>0</v>
      </c>
      <c r="W335" s="34">
        <f>COUNTIFS($E345:$E369,"4",$F345:$F369,"HH",$C345:$C369,"FST")</f>
        <v>0</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f>IF($E335="EUC",COUNTIFS($C345:$C369,"FST",$E345:$E369,"4"),"0")</f>
        <v>4</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0" t="s">
        <v>237</v>
      </c>
      <c r="H336" s="291"/>
      <c r="I336" s="35">
        <f>IF(E336=0,0,12-(MOD(I334,12)))</f>
        <v>12</v>
      </c>
      <c r="J336" s="288" t="s">
        <v>238</v>
      </c>
      <c r="K336" s="289"/>
      <c r="L336" s="39">
        <f>I340-I334</f>
        <v>684</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320" t="s">
        <v>242</v>
      </c>
      <c r="H337" s="43" t="s">
        <v>243</v>
      </c>
      <c r="I337" s="35">
        <f>IF(E337&lt;&gt;0,1,0)</f>
        <v>1</v>
      </c>
      <c r="J337" s="290" t="s">
        <v>244</v>
      </c>
      <c r="K337" s="291"/>
      <c r="L337" s="44">
        <f>'Cable Calculator'!AR3</f>
        <v>2305</v>
      </c>
      <c r="M337" s="196">
        <v>8</v>
      </c>
      <c r="N337" s="35">
        <f>SUM(AI337,AI348)</f>
        <v>0</v>
      </c>
      <c r="O337" s="35">
        <v>0</v>
      </c>
      <c r="P337" s="35">
        <f>SUM(AJ337,AJ348)</f>
        <v>0</v>
      </c>
      <c r="Q337" s="35">
        <v>0</v>
      </c>
      <c r="R337" s="35">
        <f>COUNTIFS($E345:$E369,"8",$F345:$F369,"Pole",$C345:$C369,"FST")</f>
        <v>4</v>
      </c>
      <c r="S337" s="35">
        <f>SUM(AL337,AK348)</f>
        <v>0</v>
      </c>
      <c r="T337" s="35">
        <v>0</v>
      </c>
      <c r="U337" s="35">
        <f>SUM(AK337,AL348)</f>
        <v>4</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4</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685</v>
      </c>
      <c r="F338" s="88"/>
      <c r="G338" s="321"/>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1.5</v>
      </c>
      <c r="V338" s="35">
        <f>IF($E335="EUC",SUM($AN370,AP370,AR370),"0")</f>
        <v>0.5</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0" t="s">
        <v>251</v>
      </c>
      <c r="H339" s="51" t="s">
        <v>252</v>
      </c>
      <c r="I339" s="112">
        <f>E338</f>
        <v>685</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1"/>
      <c r="H340" s="47" t="s">
        <v>257</v>
      </c>
      <c r="I340" s="35">
        <f>IF(E338="","0",IF(AND(E335="EUC",E336=432), I339+(203-E337),IF(E338=0,0,(E338+(E336-E337)-1))))</f>
        <v>768</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763</v>
      </c>
      <c r="E345" s="32">
        <v>4</v>
      </c>
      <c r="F345" s="32" t="s">
        <v>483</v>
      </c>
      <c r="G345" s="68" t="s">
        <v>277</v>
      </c>
      <c r="H345" s="69">
        <f>IF(I345=0,0,I345-(E345-1))</f>
        <v>765</v>
      </c>
      <c r="I345" s="70">
        <f>IF(E345=0,0,I340)</f>
        <v>768</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765-768</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764</v>
      </c>
      <c r="E346" s="32">
        <v>4</v>
      </c>
      <c r="F346" s="32" t="s">
        <v>483</v>
      </c>
      <c r="G346" s="68" t="s">
        <v>277</v>
      </c>
      <c r="H346" s="69">
        <f t="shared" ref="H346:H369" si="145">IF(E346=0,0,I346-(E346-1))</f>
        <v>761</v>
      </c>
      <c r="I346" s="70">
        <f t="shared" ref="I346:I369" si="146">IF(E346=0,0,H345-1)</f>
        <v>764</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761-764</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765</v>
      </c>
      <c r="E347" s="32">
        <v>8</v>
      </c>
      <c r="F347" s="32" t="s">
        <v>483</v>
      </c>
      <c r="G347" s="75" t="s">
        <v>277</v>
      </c>
      <c r="H347" s="69">
        <f t="shared" si="145"/>
        <v>753</v>
      </c>
      <c r="I347" s="70">
        <f t="shared" si="146"/>
        <v>760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0</v>
      </c>
      <c r="AE347" s="109" t="str">
        <f t="shared" si="138"/>
        <v>753-760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766</v>
      </c>
      <c r="E348" s="32">
        <v>8</v>
      </c>
      <c r="F348" s="32" t="s">
        <v>483</v>
      </c>
      <c r="G348" s="68" t="s">
        <v>277</v>
      </c>
      <c r="H348" s="69">
        <f t="shared" si="145"/>
        <v>745</v>
      </c>
      <c r="I348" s="70">
        <f t="shared" si="146"/>
        <v>752</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0</v>
      </c>
      <c r="AE348" s="109" t="str">
        <f t="shared" si="138"/>
        <v>745-752</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494</v>
      </c>
      <c r="D349" s="102" t="s">
        <v>767</v>
      </c>
      <c r="E349" s="32">
        <v>12</v>
      </c>
      <c r="F349" s="32" t="s">
        <v>483</v>
      </c>
      <c r="G349" s="68" t="s">
        <v>277</v>
      </c>
      <c r="H349" s="69">
        <f t="shared" si="145"/>
        <v>733</v>
      </c>
      <c r="I349" s="70">
        <f t="shared" si="146"/>
        <v>744</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733-744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1</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768</v>
      </c>
      <c r="E350" s="32">
        <v>4</v>
      </c>
      <c r="F350" s="32" t="s">
        <v>483</v>
      </c>
      <c r="G350" s="68" t="s">
        <v>277</v>
      </c>
      <c r="H350" s="69">
        <f t="shared" si="145"/>
        <v>729</v>
      </c>
      <c r="I350" s="70">
        <f t="shared" si="146"/>
        <v>732</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0</v>
      </c>
      <c r="AE350" s="109" t="str">
        <f t="shared" si="138"/>
        <v>729-732</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t="s">
        <v>484</v>
      </c>
      <c r="D351" s="102" t="s">
        <v>769</v>
      </c>
      <c r="E351" s="32">
        <v>8</v>
      </c>
      <c r="F351" s="32" t="s">
        <v>483</v>
      </c>
      <c r="G351" s="68" t="s">
        <v>277</v>
      </c>
      <c r="H351" s="69">
        <f t="shared" si="145"/>
        <v>721</v>
      </c>
      <c r="I351" s="70">
        <f t="shared" si="146"/>
        <v>728</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0</v>
      </c>
      <c r="AE351" s="109" t="str">
        <f t="shared" si="138"/>
        <v>721-728</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499</v>
      </c>
      <c r="D352" s="102" t="s">
        <v>773</v>
      </c>
      <c r="E352" s="32">
        <v>24</v>
      </c>
      <c r="F352" s="32" t="s">
        <v>483</v>
      </c>
      <c r="G352" s="68" t="s">
        <v>277</v>
      </c>
      <c r="H352" s="69">
        <f t="shared" si="145"/>
        <v>697</v>
      </c>
      <c r="I352" s="70">
        <f t="shared" si="146"/>
        <v>720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697-720</v>
      </c>
      <c r="AF352" s="109" t="str">
        <f t="shared" si="139"/>
        <v>Y</v>
      </c>
      <c r="AG352" s="109" t="str">
        <f t="shared" si="140"/>
        <v>B</v>
      </c>
      <c r="AM352" s="109">
        <f t="shared" si="141"/>
        <v>0.5</v>
      </c>
      <c r="AN352" s="109">
        <f t="shared" si="142"/>
        <v>0.5</v>
      </c>
      <c r="AO352" s="109" t="str">
        <f t="shared" si="143"/>
        <v/>
      </c>
      <c r="AQ352" s="109" t="str">
        <f t="shared" si="144"/>
        <v/>
      </c>
      <c r="BA352" s="229">
        <f>MOD(SUM(E345:E353),12)</f>
        <v>4</v>
      </c>
    </row>
    <row r="353" spans="1:53" ht="15.75" thickBot="1" x14ac:dyDescent="0.3">
      <c r="A353" s="88"/>
      <c r="B353" s="66" t="s">
        <v>286</v>
      </c>
      <c r="C353" s="67" t="s">
        <v>484</v>
      </c>
      <c r="D353" s="102" t="s">
        <v>774</v>
      </c>
      <c r="E353" s="32">
        <v>4</v>
      </c>
      <c r="F353" s="32" t="s">
        <v>483</v>
      </c>
      <c r="G353" s="68" t="s">
        <v>277</v>
      </c>
      <c r="H353" s="69">
        <f t="shared" si="145"/>
        <v>693</v>
      </c>
      <c r="I353" s="70">
        <f t="shared" si="146"/>
        <v>696</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0</v>
      </c>
      <c r="AE353" s="109" t="str">
        <f t="shared" si="138"/>
        <v>693-696</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t="s">
        <v>484</v>
      </c>
      <c r="D354" s="102" t="s">
        <v>775</v>
      </c>
      <c r="E354" s="32">
        <v>8</v>
      </c>
      <c r="F354" s="32" t="s">
        <v>483</v>
      </c>
      <c r="G354" s="68" t="s">
        <v>277</v>
      </c>
      <c r="H354" s="69">
        <f t="shared" si="145"/>
        <v>685</v>
      </c>
      <c r="I354" s="70">
        <f t="shared" si="146"/>
        <v>692</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0</v>
      </c>
      <c r="AE354" s="109" t="str">
        <f t="shared" si="138"/>
        <v>685-692</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17</v>
      </c>
      <c r="AM370" s="109">
        <f>SUM(AM345:AM369)</f>
        <v>1.5</v>
      </c>
      <c r="AN370" s="109">
        <f>SUM(AN345:AN369)</f>
        <v>0.5</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0</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c r="D376" s="31" t="s">
        <v>229</v>
      </c>
      <c r="E376" s="66" t="str">
        <f>TEXT(IF('Cable Calculator'!AW7="","",'Cable Calculator'!AW7),)</f>
        <v/>
      </c>
      <c r="F376" s="88"/>
      <c r="G376" s="303" t="s">
        <v>230</v>
      </c>
      <c r="H376" s="304"/>
      <c r="I376" s="33">
        <f>E377-I375</f>
        <v>0</v>
      </c>
      <c r="J376" s="288" t="s">
        <v>231</v>
      </c>
      <c r="K376" s="289"/>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290" t="s">
        <v>237</v>
      </c>
      <c r="H377" s="291"/>
      <c r="I377" s="35">
        <f>IF(E377=0,0,12-(MOD(I375,12)))</f>
        <v>0</v>
      </c>
      <c r="J377" s="288" t="s">
        <v>238</v>
      </c>
      <c r="K377" s="289"/>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320" t="s">
        <v>242</v>
      </c>
      <c r="H378" s="43" t="s">
        <v>243</v>
      </c>
      <c r="I378" s="35">
        <f>IF(E378&lt;&gt;0,1,0)</f>
        <v>0</v>
      </c>
      <c r="J378" s="290" t="s">
        <v>244</v>
      </c>
      <c r="K378" s="291"/>
      <c r="L378" s="44">
        <f>'Cable Calculator'!AW3</f>
        <v>2646</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321"/>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320" t="s">
        <v>251</v>
      </c>
      <c r="H380" s="51" t="s">
        <v>252</v>
      </c>
      <c r="I380" s="112">
        <f>E379</f>
        <v>0</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1"/>
      <c r="H381" s="47" t="s">
        <v>257</v>
      </c>
      <c r="I381" s="35" t="str">
        <f>IF(E379="","0",IF(AND(E376="EUC",E377=432), I380+(203-E378),IF(E379=0,0,(E379+(E377-E378)-1))))</f>
        <v>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12</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1</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3" t="s">
        <v>230</v>
      </c>
      <c r="H417" s="304"/>
      <c r="I417" s="33">
        <f>E418-I416</f>
        <v>12</v>
      </c>
      <c r="J417" s="288" t="s">
        <v>231</v>
      </c>
      <c r="K417" s="289"/>
      <c r="L417" s="34">
        <f>I421</f>
        <v>733</v>
      </c>
      <c r="M417" s="196">
        <v>4</v>
      </c>
      <c r="N417" s="35">
        <f>SUM(AI417,AI428)</f>
        <v>0</v>
      </c>
      <c r="O417" s="35">
        <v>0</v>
      </c>
      <c r="P417" s="35">
        <f>SUM(AJ417,AJ428)</f>
        <v>3</v>
      </c>
      <c r="Q417" s="35">
        <v>0</v>
      </c>
      <c r="R417" s="35">
        <f>COUNTIFS($E427:$E451,"4",$F427:$F451,"Pole",$C427:$C451,"FST")</f>
        <v>3</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f>IF($E417="RPX",COUNTIFS($C427:$C451,"FST",$E427:$E451,"4"),"0")</f>
        <v>3</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0" t="s">
        <v>237</v>
      </c>
      <c r="H418" s="291"/>
      <c r="I418" s="35">
        <f>IF(E418=0,0,12-(MOD(I416,12)))</f>
        <v>12</v>
      </c>
      <c r="J418" s="288" t="s">
        <v>238</v>
      </c>
      <c r="K418" s="289"/>
      <c r="L418" s="39">
        <f>I422-I416</f>
        <v>732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0" t="s">
        <v>242</v>
      </c>
      <c r="H419" s="43" t="s">
        <v>243</v>
      </c>
      <c r="I419" s="35">
        <f>IF(E419&lt;&gt;0,1,0)</f>
        <v>1</v>
      </c>
      <c r="J419" s="290" t="s">
        <v>244</v>
      </c>
      <c r="K419" s="291"/>
      <c r="L419" s="44">
        <f>'Cable Calculator'!BB3</f>
        <v>576</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733</v>
      </c>
      <c r="F420" s="88"/>
      <c r="G420" s="321"/>
      <c r="H420" s="47" t="s">
        <v>248</v>
      </c>
      <c r="I420" s="35">
        <f>IF(E419&lt;&gt;0,E419,0)</f>
        <v>12</v>
      </c>
      <c r="J420" s="194"/>
      <c r="K420" s="195"/>
      <c r="L420" s="48"/>
      <c r="M420" s="196">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0" t="s">
        <v>251</v>
      </c>
      <c r="H421" s="51" t="s">
        <v>252</v>
      </c>
      <c r="I421" s="112">
        <f>E420</f>
        <v>733</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Y</v>
      </c>
      <c r="F422" s="88"/>
      <c r="G422" s="321"/>
      <c r="H422" s="47" t="s">
        <v>257</v>
      </c>
      <c r="I422" s="35">
        <f>IF(E420="","0",IF(AND(E417="EUC",E418=432), I421+(203-E419),IF(E420=0,0,(E420+(E418-E419)-1))))</f>
        <v>744</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771</v>
      </c>
      <c r="E427" s="32">
        <v>4</v>
      </c>
      <c r="F427" s="32" t="s">
        <v>483</v>
      </c>
      <c r="G427" s="68" t="s">
        <v>277</v>
      </c>
      <c r="H427" s="69">
        <f>IF(I427=0,0,I427-(E427-1))</f>
        <v>741</v>
      </c>
      <c r="I427" s="70">
        <f>IF(E427=0,0,I422)</f>
        <v>744</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741-744</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770</v>
      </c>
      <c r="E428" s="32">
        <v>4</v>
      </c>
      <c r="F428" s="32" t="s">
        <v>483</v>
      </c>
      <c r="G428" s="68" t="s">
        <v>277</v>
      </c>
      <c r="H428" s="69">
        <f t="shared" ref="H428:H451" si="179">IF(E428=0,0,I428-(E428-1))</f>
        <v>737</v>
      </c>
      <c r="I428" s="70">
        <f t="shared" ref="I428:I451" si="180">IF(E428=0,0,H427-1)</f>
        <v>740</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737-740</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772</v>
      </c>
      <c r="E429" s="32">
        <v>4</v>
      </c>
      <c r="F429" s="32" t="s">
        <v>483</v>
      </c>
      <c r="G429" s="75" t="s">
        <v>277</v>
      </c>
      <c r="H429" s="69">
        <f t="shared" si="179"/>
        <v>733</v>
      </c>
      <c r="I429" s="70">
        <f t="shared" si="180"/>
        <v>736</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733-736</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A</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24</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RPX</v>
      </c>
      <c r="F458" s="88"/>
      <c r="G458" s="303" t="s">
        <v>230</v>
      </c>
      <c r="H458" s="304"/>
      <c r="I458" s="33">
        <f>E459-I457</f>
        <v>0</v>
      </c>
      <c r="J458" s="288" t="s">
        <v>231</v>
      </c>
      <c r="K458" s="289"/>
      <c r="L458" s="34">
        <f>I462</f>
        <v>697</v>
      </c>
      <c r="M458" s="196">
        <v>4</v>
      </c>
      <c r="N458" s="35">
        <f>SUM(AI458,AI469)</f>
        <v>0</v>
      </c>
      <c r="O458" s="35">
        <v>0</v>
      </c>
      <c r="P458" s="35">
        <f>SUM(AJ458,AJ469)</f>
        <v>4</v>
      </c>
      <c r="Q458" s="35">
        <v>0</v>
      </c>
      <c r="R458" s="35">
        <f>COUNTIFS($E468:$E492,"4",$F468:$F492,"Pole",$C468:$C492,"FST")</f>
        <v>4</v>
      </c>
      <c r="S458" s="35">
        <f>SUM(AL458,AK469)</f>
        <v>0</v>
      </c>
      <c r="T458" s="35">
        <v>0</v>
      </c>
      <c r="U458" s="35">
        <f>SUM(AK458,AL469)</f>
        <v>0</v>
      </c>
      <c r="V458" s="35">
        <v>0</v>
      </c>
      <c r="W458" s="34">
        <f>COUNTIFS($E468:$E492,"4",$F468:$F492,"HH",$C468:$C492,"FST")</f>
        <v>0</v>
      </c>
      <c r="X458" s="35">
        <f>COUNTIFS($E468:$E492,"4",$F468:$F492,"Ped",$C468:$C492,"FST")</f>
        <v>0</v>
      </c>
      <c r="Y458" s="25"/>
      <c r="Z458" s="297" t="s">
        <v>232</v>
      </c>
      <c r="AA458" s="299" t="s">
        <v>233</v>
      </c>
      <c r="AB458" s="300"/>
      <c r="AC458" s="25"/>
      <c r="AD458" s="25"/>
      <c r="AH458" s="109">
        <v>4</v>
      </c>
      <c r="AI458" s="109" t="str">
        <f>IF($E458="SS",COUNTIFS($C468:$C492,"FST",$E468:$E492,"4"),"0")</f>
        <v>0</v>
      </c>
      <c r="AJ458" s="109">
        <f>IF($E458="RPX",COUNTIFS($C468:$C492,"FST",$E468:$E492,"4"),"0")</f>
        <v>4</v>
      </c>
      <c r="AK458" s="109" t="str">
        <f>IF($E458="EUC",COUNTIFS($C468:$C492,"FST",$E468:$E492,"4"),"0")</f>
        <v>0</v>
      </c>
      <c r="AL458" s="109" t="str">
        <f>IF($E458="RPX-T",COUNTIFS($C468:$C492,"FST",$E468:$E492,"4"),"0")</f>
        <v>0</v>
      </c>
      <c r="AS458" s="109" t="str">
        <f>IF(AND(E463="Y",E459=24,E460=0),"Y","N")</f>
        <v>Y</v>
      </c>
      <c r="AT458" s="110" t="s">
        <v>234</v>
      </c>
      <c r="AU458" s="109">
        <f>COUNTIFS($E458,"SS",$AS458,"Y")</f>
        <v>0</v>
      </c>
      <c r="AV458" s="111">
        <f>COUNTIFS($E458,"RPX",$AS458,"Y")</f>
        <v>1</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0" t="s">
        <v>237</v>
      </c>
      <c r="H459" s="291"/>
      <c r="I459" s="35">
        <f>IF(E459=0,0,12-(MOD(I457,12)))</f>
        <v>12</v>
      </c>
      <c r="J459" s="288" t="s">
        <v>238</v>
      </c>
      <c r="K459" s="289"/>
      <c r="L459" s="39">
        <f>I463-I457</f>
        <v>696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0" t="s">
        <v>242</v>
      </c>
      <c r="H460" s="43" t="s">
        <v>243</v>
      </c>
      <c r="I460" s="35">
        <f>IF(E460&lt;&gt;0,1,0)</f>
        <v>0</v>
      </c>
      <c r="J460" s="290" t="s">
        <v>244</v>
      </c>
      <c r="K460" s="291"/>
      <c r="L460" s="44">
        <f>'Cable Calculator'!BG3</f>
        <v>1176</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697</v>
      </c>
      <c r="F461" s="88"/>
      <c r="G461" s="321"/>
      <c r="H461" s="47" t="s">
        <v>248</v>
      </c>
      <c r="I461" s="35">
        <f>IF(E460&lt;&gt;0,E460,0)</f>
        <v>0</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0" t="s">
        <v>251</v>
      </c>
      <c r="H462" s="51" t="s">
        <v>252</v>
      </c>
      <c r="I462" s="112">
        <f>E461</f>
        <v>697</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1"/>
      <c r="H463" s="47" t="s">
        <v>257</v>
      </c>
      <c r="I463" s="35">
        <f>IF(E461="","0",IF(AND(E458="EUC",E459=432), I462+(203-E460),IF(E461=0,0,(E461+(E459-E460)-1))))</f>
        <v>720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776</v>
      </c>
      <c r="E468" s="32">
        <v>8</v>
      </c>
      <c r="F468" s="32" t="s">
        <v>483</v>
      </c>
      <c r="G468" s="68" t="s">
        <v>277</v>
      </c>
      <c r="H468" s="69">
        <f>IF(I468=0,0,I468-(E468-1))</f>
        <v>713</v>
      </c>
      <c r="I468" s="70">
        <f>IF(E468=0,0,I463)</f>
        <v>720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713-720</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777</v>
      </c>
      <c r="E469" s="32">
        <v>4</v>
      </c>
      <c r="F469" s="32" t="s">
        <v>483</v>
      </c>
      <c r="G469" s="68" t="s">
        <v>277</v>
      </c>
      <c r="H469" s="69">
        <f t="shared" ref="H469:H492" si="196">IF(E469=0,0,I469-(E469-1))</f>
        <v>709</v>
      </c>
      <c r="I469" s="70">
        <f t="shared" ref="I469:I492" si="197">IF(E469=0,0,H468-1)</f>
        <v>712</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709-712</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484</v>
      </c>
      <c r="D470" s="102" t="s">
        <v>778</v>
      </c>
      <c r="E470" s="32">
        <v>4</v>
      </c>
      <c r="F470" s="32" t="s">
        <v>483</v>
      </c>
      <c r="G470" s="75" t="s">
        <v>277</v>
      </c>
      <c r="H470" s="69">
        <f t="shared" si="196"/>
        <v>705</v>
      </c>
      <c r="I470" s="70">
        <f t="shared" si="197"/>
        <v>708</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705-708</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8</v>
      </c>
    </row>
    <row r="471" spans="1:53" ht="15.75" thickBot="1" x14ac:dyDescent="0.3">
      <c r="A471" s="88"/>
      <c r="B471" s="66" t="s">
        <v>281</v>
      </c>
      <c r="C471" s="67" t="s">
        <v>484</v>
      </c>
      <c r="D471" s="102" t="s">
        <v>779</v>
      </c>
      <c r="E471" s="32">
        <v>4</v>
      </c>
      <c r="F471" s="32" t="s">
        <v>483</v>
      </c>
      <c r="G471" s="68" t="s">
        <v>277</v>
      </c>
      <c r="H471" s="69">
        <f t="shared" si="196"/>
        <v>701</v>
      </c>
      <c r="I471" s="70">
        <f t="shared" si="197"/>
        <v>704</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0</v>
      </c>
      <c r="AE471" s="109" t="str">
        <f t="shared" si="189"/>
        <v>701-704</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780</v>
      </c>
      <c r="E472" s="32">
        <v>4</v>
      </c>
      <c r="F472" s="32" t="s">
        <v>483</v>
      </c>
      <c r="G472" s="68" t="s">
        <v>277</v>
      </c>
      <c r="H472" s="69">
        <f t="shared" si="196"/>
        <v>697</v>
      </c>
      <c r="I472" s="70">
        <f t="shared" si="197"/>
        <v>700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697-700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132</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3" t="s">
        <v>230</v>
      </c>
      <c r="H499" s="304"/>
      <c r="I499" s="33">
        <f>E500-I498</f>
        <v>12</v>
      </c>
      <c r="J499" s="288" t="s">
        <v>231</v>
      </c>
      <c r="K499" s="289"/>
      <c r="L499" s="34">
        <f>I503</f>
        <v>505</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144</v>
      </c>
      <c r="F500" s="88"/>
      <c r="G500" s="290" t="s">
        <v>237</v>
      </c>
      <c r="H500" s="291"/>
      <c r="I500" s="35">
        <f>IF(E500=0,0,12-(MOD(I498,12)))</f>
        <v>12</v>
      </c>
      <c r="J500" s="288" t="s">
        <v>238</v>
      </c>
      <c r="K500" s="289"/>
      <c r="L500" s="39">
        <f>I504-I498</f>
        <v>504</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0" t="s">
        <v>242</v>
      </c>
      <c r="H501" s="43" t="s">
        <v>243</v>
      </c>
      <c r="I501" s="35">
        <f>IF(E501&lt;&gt;0,1,0)</f>
        <v>1</v>
      </c>
      <c r="J501" s="290" t="s">
        <v>244</v>
      </c>
      <c r="K501" s="291"/>
      <c r="L501" s="44">
        <f>'Cable Calculator'!BL3</f>
        <v>1652</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505</v>
      </c>
      <c r="F502" s="88"/>
      <c r="G502" s="321"/>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12</v>
      </c>
      <c r="F503" s="88"/>
      <c r="G503" s="320" t="s">
        <v>251</v>
      </c>
      <c r="H503" s="51" t="s">
        <v>252</v>
      </c>
      <c r="I503" s="112">
        <f>E502</f>
        <v>505</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1"/>
      <c r="H504" s="47" t="s">
        <v>257</v>
      </c>
      <c r="I504" s="35">
        <f>IF(E502="","0",IF(AND(E499="EUC",E500=432), I503+(203-E501),IF(E502=0,0,(E502+(E500-E501)-1))))</f>
        <v>636</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132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781</v>
      </c>
      <c r="E509" s="32">
        <v>4</v>
      </c>
      <c r="F509" s="32" t="s">
        <v>488</v>
      </c>
      <c r="G509" s="68" t="s">
        <v>277</v>
      </c>
      <c r="H509" s="69">
        <f>IF(I509=0,0,I509-(E509-1))</f>
        <v>633</v>
      </c>
      <c r="I509" s="70">
        <f>IF(E509=0,0,I504)</f>
        <v>636</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633-636</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782</v>
      </c>
      <c r="E510" s="32">
        <v>2</v>
      </c>
      <c r="F510" s="32" t="s">
        <v>488</v>
      </c>
      <c r="G510" s="68" t="s">
        <v>277</v>
      </c>
      <c r="H510" s="69">
        <f t="shared" ref="H510:H533" si="213">IF(E510=0,0,I510-(E510-1))</f>
        <v>631</v>
      </c>
      <c r="I510" s="70">
        <f t="shared" ref="I510:I533" si="214">IF(E510=0,0,H509-1)</f>
        <v>632</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0</v>
      </c>
      <c r="AE510" s="109" t="str">
        <f t="shared" si="206"/>
        <v>631-632</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t="s">
        <v>484</v>
      </c>
      <c r="D511" s="102" t="s">
        <v>783</v>
      </c>
      <c r="E511" s="32">
        <v>2</v>
      </c>
      <c r="F511" s="32" t="s">
        <v>488</v>
      </c>
      <c r="G511" s="75" t="s">
        <v>277</v>
      </c>
      <c r="H511" s="69">
        <f t="shared" si="213"/>
        <v>629</v>
      </c>
      <c r="I511" s="70">
        <f t="shared" si="214"/>
        <v>630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0</v>
      </c>
      <c r="AE511" s="109" t="str">
        <f t="shared" si="206"/>
        <v>629-630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784</v>
      </c>
      <c r="E512" s="32">
        <v>4</v>
      </c>
      <c r="F512" s="32" t="s">
        <v>488</v>
      </c>
      <c r="G512" s="68" t="s">
        <v>277</v>
      </c>
      <c r="H512" s="69">
        <f t="shared" si="213"/>
        <v>625</v>
      </c>
      <c r="I512" s="70">
        <f t="shared" si="214"/>
        <v>628</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0</v>
      </c>
      <c r="AE512" s="109" t="str">
        <f t="shared" si="206"/>
        <v>625-628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t="s">
        <v>785</v>
      </c>
      <c r="E513" s="32">
        <v>120</v>
      </c>
      <c r="F513" s="32" t="s">
        <v>483</v>
      </c>
      <c r="G513" s="68" t="s">
        <v>277</v>
      </c>
      <c r="H513" s="69">
        <f t="shared" si="213"/>
        <v>505</v>
      </c>
      <c r="I513" s="70">
        <f t="shared" si="214"/>
        <v>624</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505-624</v>
      </c>
      <c r="AF513" s="109" t="str">
        <f t="shared" si="207"/>
        <v>N</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133</v>
      </c>
      <c r="X520" s="84"/>
      <c r="Y520" s="78">
        <f>SUM(E509:E520)</f>
        <v>132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133</v>
      </c>
      <c r="X521" s="84"/>
      <c r="Y521" s="78">
        <f>SUM(E509:E521)</f>
        <v>132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133</v>
      </c>
      <c r="X522" s="84"/>
      <c r="Y522" s="78">
        <f>SUM(E509:E522)</f>
        <v>132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133</v>
      </c>
      <c r="X523" s="84"/>
      <c r="Y523" s="78">
        <f>SUM(E509:E523)</f>
        <v>132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133</v>
      </c>
      <c r="X524" s="84"/>
      <c r="Y524" s="78">
        <f>SUM(E509:E524)</f>
        <v>132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133</v>
      </c>
      <c r="X525" s="84"/>
      <c r="Y525" s="78">
        <f>SUM(E509:E525)</f>
        <v>132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133</v>
      </c>
      <c r="X526" s="84"/>
      <c r="Y526" s="78">
        <f>SUM(E509:E526)</f>
        <v>132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133</v>
      </c>
      <c r="X527" s="84"/>
      <c r="Y527" s="78">
        <f>SUM(E509:E527)</f>
        <v>132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133</v>
      </c>
      <c r="X528" s="84"/>
      <c r="Y528" s="78">
        <f>SUM(E509:E528)</f>
        <v>132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133</v>
      </c>
      <c r="X529" s="84"/>
      <c r="Y529" s="78">
        <f>SUM(E509:E529)</f>
        <v>132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133</v>
      </c>
      <c r="X530" s="84"/>
      <c r="Y530" s="78">
        <f>SUM(E509:E530)</f>
        <v>132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133</v>
      </c>
      <c r="X531" s="84"/>
      <c r="Y531" s="78">
        <f>SUM(E509:E531)</f>
        <v>132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133</v>
      </c>
      <c r="X532" s="84"/>
      <c r="Y532" s="78">
        <f>SUM(E509:E532)</f>
        <v>132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132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120</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3" t="s">
        <v>230</v>
      </c>
      <c r="H540" s="304"/>
      <c r="I540" s="33">
        <f>E541-I539</f>
        <v>24</v>
      </c>
      <c r="J540" s="288" t="s">
        <v>231</v>
      </c>
      <c r="K540" s="289"/>
      <c r="L540" s="34">
        <f>I544</f>
        <v>505</v>
      </c>
      <c r="M540" s="196">
        <v>4</v>
      </c>
      <c r="N540" s="35">
        <f>SUM(AI540,AI551)</f>
        <v>0</v>
      </c>
      <c r="O540" s="35">
        <v>0</v>
      </c>
      <c r="P540" s="35">
        <f>SUM(AJ540,AJ551)</f>
        <v>2</v>
      </c>
      <c r="Q540" s="35">
        <v>0</v>
      </c>
      <c r="R540" s="35">
        <f>COUNTIFS($E550:$E574,"4",$F550:$F574,"Pole",$C550:$C574,"FST")</f>
        <v>2</v>
      </c>
      <c r="S540" s="35">
        <f>SUM(AL540,AK551)</f>
        <v>0</v>
      </c>
      <c r="T540" s="35">
        <v>0</v>
      </c>
      <c r="U540" s="35">
        <f>SUM(AK540,AL551)</f>
        <v>0</v>
      </c>
      <c r="V540" s="35">
        <v>0</v>
      </c>
      <c r="W540" s="34">
        <f>COUNTIFS($E550:$E574,"4",$F550:$F574,"HH",$C550:$C574,"FST")</f>
        <v>0</v>
      </c>
      <c r="X540" s="35">
        <f>COUNTIFS($E550:$E574,"4",$F550:$F574,"Ped",$C550:$C574,"FST")</f>
        <v>0</v>
      </c>
      <c r="Y540" s="25"/>
      <c r="Z540" s="297" t="s">
        <v>232</v>
      </c>
      <c r="AA540" s="299" t="s">
        <v>233</v>
      </c>
      <c r="AB540" s="300"/>
      <c r="AC540" s="25"/>
      <c r="AD540" s="25"/>
      <c r="AH540" s="109">
        <v>4</v>
      </c>
      <c r="AI540" s="109" t="str">
        <f>IF($E540="SS",COUNTIFS($C550:$C574,"FST",$E550:$E574,"4"),"0")</f>
        <v>0</v>
      </c>
      <c r="AJ540" s="109">
        <f>IF($E540="RPX",COUNTIFS($C550:$C574,"FST",$E550:$E574,"4"),"0")</f>
        <v>2</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144</v>
      </c>
      <c r="F541" s="88"/>
      <c r="G541" s="290" t="s">
        <v>237</v>
      </c>
      <c r="H541" s="291"/>
      <c r="I541" s="35">
        <f>IF(E541=0,0,12-(MOD(I539,12)))</f>
        <v>12</v>
      </c>
      <c r="J541" s="288" t="s">
        <v>238</v>
      </c>
      <c r="K541" s="289"/>
      <c r="L541" s="39">
        <f>I545-I539</f>
        <v>504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24</v>
      </c>
      <c r="F542" s="88"/>
      <c r="G542" s="320" t="s">
        <v>242</v>
      </c>
      <c r="H542" s="43" t="s">
        <v>243</v>
      </c>
      <c r="I542" s="35">
        <f>IF(E542&lt;&gt;0,1,0)</f>
        <v>1</v>
      </c>
      <c r="J542" s="290" t="s">
        <v>244</v>
      </c>
      <c r="K542" s="291"/>
      <c r="L542" s="44">
        <f>'Cable Calculator'!BQ3</f>
        <v>982</v>
      </c>
      <c r="M542" s="196">
        <v>8</v>
      </c>
      <c r="N542" s="35">
        <f>SUM(AI542,AI553)</f>
        <v>0</v>
      </c>
      <c r="O542" s="35">
        <v>0</v>
      </c>
      <c r="P542" s="35">
        <f>SUM(AJ542,AJ553)</f>
        <v>2</v>
      </c>
      <c r="Q542" s="35">
        <v>0</v>
      </c>
      <c r="R542" s="35">
        <f>COUNTIFS($E550:$E574,"8",$F550:$F574,"Pole",$C550:$C574,"FST")</f>
        <v>2</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2</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505</v>
      </c>
      <c r="F543" s="88"/>
      <c r="G543" s="321"/>
      <c r="H543" s="47" t="s">
        <v>248</v>
      </c>
      <c r="I543" s="35">
        <f>IF(E542&lt;&gt;0,E542,0)</f>
        <v>24</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12</v>
      </c>
      <c r="F544" s="88"/>
      <c r="G544" s="320" t="s">
        <v>251</v>
      </c>
      <c r="H544" s="51" t="s">
        <v>252</v>
      </c>
      <c r="I544" s="112">
        <f>E543</f>
        <v>505</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1"/>
      <c r="H545" s="47" t="s">
        <v>257</v>
      </c>
      <c r="I545" s="35">
        <f>IF(E543="","0",IF(AND(E540="EUC",E541=432), I544+(203-E542),IF(E543=0,0,(E543+(E541-E542)-1))))</f>
        <v>624</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120</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816</v>
      </c>
      <c r="E550" s="32">
        <v>4</v>
      </c>
      <c r="F550" s="32" t="s">
        <v>483</v>
      </c>
      <c r="G550" s="68" t="s">
        <v>277</v>
      </c>
      <c r="H550" s="69">
        <f>IF(I550=0,0,I550-(E550-1))</f>
        <v>621</v>
      </c>
      <c r="I550" s="70">
        <f>IF(E550=0,0,I545)</f>
        <v>624</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786</v>
      </c>
      <c r="E551" s="32">
        <v>4</v>
      </c>
      <c r="F551" s="32" t="s">
        <v>483</v>
      </c>
      <c r="G551" s="68" t="s">
        <v>277</v>
      </c>
      <c r="H551" s="69">
        <f t="shared" ref="H551:H574" si="230">IF(E551=0,0,I551-(E551-1))</f>
        <v>617</v>
      </c>
      <c r="I551" s="70">
        <f t="shared" ref="I551:I574" si="231">IF(E551=0,0,H550-1)</f>
        <v>620</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787</v>
      </c>
      <c r="E552" s="32">
        <v>8</v>
      </c>
      <c r="F552" s="32" t="s">
        <v>483</v>
      </c>
      <c r="G552" s="75" t="s">
        <v>277</v>
      </c>
      <c r="H552" s="69">
        <f t="shared" si="230"/>
        <v>609</v>
      </c>
      <c r="I552" s="70">
        <f t="shared" si="231"/>
        <v>616</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609-616</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484</v>
      </c>
      <c r="D553" s="102" t="s">
        <v>788</v>
      </c>
      <c r="E553" s="32">
        <v>8</v>
      </c>
      <c r="F553" s="32" t="s">
        <v>483</v>
      </c>
      <c r="G553" s="68" t="s">
        <v>277</v>
      </c>
      <c r="H553" s="69">
        <f t="shared" si="230"/>
        <v>601</v>
      </c>
      <c r="I553" s="70">
        <f t="shared" si="231"/>
        <v>608</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601-608</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t="s">
        <v>502</v>
      </c>
      <c r="D554" s="102" t="s">
        <v>789</v>
      </c>
      <c r="E554" s="32">
        <v>24</v>
      </c>
      <c r="F554" s="32" t="s">
        <v>483</v>
      </c>
      <c r="G554" s="68" t="s">
        <v>277</v>
      </c>
      <c r="H554" s="69">
        <f t="shared" si="230"/>
        <v>577</v>
      </c>
      <c r="I554" s="70">
        <f t="shared" si="231"/>
        <v>600</v>
      </c>
      <c r="J554" s="73" t="str">
        <f t="shared" si="232"/>
        <v>--</v>
      </c>
      <c r="K554" s="32"/>
      <c r="L554" s="233"/>
      <c r="M554" s="277" t="s">
        <v>790</v>
      </c>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577-600</v>
      </c>
      <c r="AF554" s="109" t="str">
        <f t="shared" si="224"/>
        <v>N</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502</v>
      </c>
      <c r="D555" s="102" t="s">
        <v>789</v>
      </c>
      <c r="E555" s="32">
        <v>72</v>
      </c>
      <c r="F555" s="32" t="s">
        <v>483</v>
      </c>
      <c r="G555" s="68" t="s">
        <v>277</v>
      </c>
      <c r="H555" s="69">
        <f t="shared" si="230"/>
        <v>505</v>
      </c>
      <c r="I555" s="70">
        <f t="shared" si="231"/>
        <v>576</v>
      </c>
      <c r="J555" s="73" t="str">
        <f t="shared" si="232"/>
        <v>--</v>
      </c>
      <c r="K555" s="32"/>
      <c r="L555" s="233"/>
      <c r="M555" s="277" t="s">
        <v>791</v>
      </c>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505-576</v>
      </c>
      <c r="AF555" s="109" t="str">
        <f t="shared" si="224"/>
        <v>N</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121</v>
      </c>
      <c r="X561" s="84"/>
      <c r="Y561" s="78">
        <f>SUM(E550:E561)</f>
        <v>120</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121</v>
      </c>
      <c r="X562" s="84"/>
      <c r="Y562" s="78">
        <f>SUM(E550:E562)</f>
        <v>120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121</v>
      </c>
      <c r="X563" s="84"/>
      <c r="Y563" s="78">
        <f>SUM(E550:E563)</f>
        <v>120</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121</v>
      </c>
      <c r="X564" s="84"/>
      <c r="Y564" s="78">
        <f>SUM(E550:E564)</f>
        <v>120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121</v>
      </c>
      <c r="X565" s="84"/>
      <c r="Y565" s="78">
        <f>SUM(E550:E565)</f>
        <v>120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121</v>
      </c>
      <c r="X566" s="84"/>
      <c r="Y566" s="78">
        <f>SUM(E550:E566)</f>
        <v>120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121</v>
      </c>
      <c r="X567" s="84"/>
      <c r="Y567" s="78">
        <f>SUM(E550:E567)</f>
        <v>120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121</v>
      </c>
      <c r="X568" s="84"/>
      <c r="Y568" s="78">
        <f>SUM(E550:E568)</f>
        <v>120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121</v>
      </c>
      <c r="X569" s="84"/>
      <c r="Y569" s="78">
        <f>SUM(E550:E569)</f>
        <v>120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121</v>
      </c>
      <c r="X570" s="84"/>
      <c r="Y570" s="78">
        <f>SUM(E550:E570)</f>
        <v>120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121</v>
      </c>
      <c r="X571" s="84"/>
      <c r="Y571" s="78">
        <f>SUM(E550:E571)</f>
        <v>120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121</v>
      </c>
      <c r="X572" s="84"/>
      <c r="Y572" s="78">
        <f>SUM(E550:E572)</f>
        <v>120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121</v>
      </c>
      <c r="X573" s="84"/>
      <c r="Y573" s="78">
        <f>SUM(E550:E573)</f>
        <v>120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120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21</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24</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3" t="s">
        <v>230</v>
      </c>
      <c r="H581" s="304"/>
      <c r="I581" s="33">
        <f>E582-I580</f>
        <v>0</v>
      </c>
      <c r="J581" s="288" t="s">
        <v>231</v>
      </c>
      <c r="K581" s="289"/>
      <c r="L581" s="34">
        <f>I585</f>
        <v>577</v>
      </c>
      <c r="M581" s="196">
        <v>4</v>
      </c>
      <c r="N581" s="35">
        <f>SUM(AI581,AI592)</f>
        <v>0</v>
      </c>
      <c r="O581" s="35">
        <v>0</v>
      </c>
      <c r="P581" s="35">
        <f>SUM(AJ581,AJ592)</f>
        <v>2</v>
      </c>
      <c r="Q581" s="35">
        <v>0</v>
      </c>
      <c r="R581" s="35">
        <f>COUNTIFS($E591:$E615,"4",$F591:$F615,"Pole",$C591:$C615,"FST")</f>
        <v>2</v>
      </c>
      <c r="S581" s="35">
        <f>SUM(AL581,AK592)</f>
        <v>0</v>
      </c>
      <c r="T581" s="35">
        <v>0</v>
      </c>
      <c r="U581" s="35">
        <f>SUM(AK581,AL592)</f>
        <v>0</v>
      </c>
      <c r="V581" s="35">
        <v>0</v>
      </c>
      <c r="W581" s="34">
        <f>COUNTIFS($E591:$E615,"4",$F591:$F615,"HH",$C591:$C615,"FST")</f>
        <v>0</v>
      </c>
      <c r="X581" s="35">
        <f>COUNTIFS($E591:$E615,"4",$F591:$F615,"Ped",$C591:$C615,"FST")</f>
        <v>0</v>
      </c>
      <c r="Y581" s="25"/>
      <c r="Z581" s="297" t="s">
        <v>232</v>
      </c>
      <c r="AA581" s="299" t="s">
        <v>233</v>
      </c>
      <c r="AB581" s="300"/>
      <c r="AC581" s="25"/>
      <c r="AD581" s="25"/>
      <c r="AH581" s="109">
        <v>4</v>
      </c>
      <c r="AI581" s="109" t="str">
        <f>IF($E581="SS",COUNTIFS($C591:$C615,"FST",$E591:$E615,"4"),"0")</f>
        <v>0</v>
      </c>
      <c r="AJ581" s="109">
        <f>IF($E581="RPX",COUNTIFS($C591:$C615,"FST",$E591:$E615,"4"),"0")</f>
        <v>2</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0" t="s">
        <v>237</v>
      </c>
      <c r="H582" s="291"/>
      <c r="I582" s="35">
        <f>IF(E582=0,0,12-(MOD(I580,12)))</f>
        <v>12</v>
      </c>
      <c r="J582" s="288" t="s">
        <v>238</v>
      </c>
      <c r="K582" s="289"/>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0</v>
      </c>
      <c r="F583" s="88"/>
      <c r="G583" s="320" t="s">
        <v>242</v>
      </c>
      <c r="H583" s="43" t="s">
        <v>243</v>
      </c>
      <c r="I583" s="35">
        <f>IF(E583&lt;&gt;0,1,0)</f>
        <v>0</v>
      </c>
      <c r="J583" s="290" t="s">
        <v>244</v>
      </c>
      <c r="K583" s="291"/>
      <c r="L583" s="44">
        <f>'Cable Calculator'!BV3</f>
        <v>1211</v>
      </c>
      <c r="M583" s="196">
        <v>8</v>
      </c>
      <c r="N583" s="35">
        <f>SUM(AI583,AI594)</f>
        <v>0</v>
      </c>
      <c r="O583" s="35">
        <v>0</v>
      </c>
      <c r="P583" s="35">
        <f>SUM(AJ583,AJ594)</f>
        <v>2</v>
      </c>
      <c r="Q583" s="35">
        <v>0</v>
      </c>
      <c r="R583" s="35">
        <f>COUNTIFS($E591:$E615,"8",$F591:$F615,"Pole",$C591:$C615,"FST")</f>
        <v>2</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2</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1"/>
      <c r="H584" s="47" t="s">
        <v>248</v>
      </c>
      <c r="I584" s="35">
        <f>IF(E583&lt;&gt;0,E583,0)</f>
        <v>0</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0" t="s">
        <v>251</v>
      </c>
      <c r="H585" s="51" t="s">
        <v>252</v>
      </c>
      <c r="I585" s="112">
        <f>E584</f>
        <v>577</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1"/>
      <c r="H586" s="47" t="s">
        <v>257</v>
      </c>
      <c r="I586" s="35">
        <f>IF(E584="","0",IF(AND(E581="EUC",E582=432), I585+(203-E583),IF(E584=0,0,(E584+(E582-E583)-1))))</f>
        <v>600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24</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794</v>
      </c>
      <c r="E591" s="32">
        <v>8</v>
      </c>
      <c r="F591" s="32" t="s">
        <v>483</v>
      </c>
      <c r="G591" s="68" t="s">
        <v>277</v>
      </c>
      <c r="H591" s="69">
        <f>IF(I591=0,0,I591-(E591-1))</f>
        <v>593</v>
      </c>
      <c r="I591" s="70">
        <f>IF(E591=0,0,I586)</f>
        <v>600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593-600</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8</v>
      </c>
    </row>
    <row r="592" spans="1:53" ht="15.75" thickBot="1" x14ac:dyDescent="0.3">
      <c r="A592" s="88"/>
      <c r="B592" s="66" t="s">
        <v>279</v>
      </c>
      <c r="C592" s="67" t="s">
        <v>484</v>
      </c>
      <c r="D592" s="102" t="s">
        <v>792</v>
      </c>
      <c r="E592" s="32">
        <v>4</v>
      </c>
      <c r="F592" s="32" t="s">
        <v>483</v>
      </c>
      <c r="G592" s="68" t="s">
        <v>277</v>
      </c>
      <c r="H592" s="69">
        <f t="shared" ref="H592:H615" si="247">IF(E592=0,0,I592-(E592-1))</f>
        <v>589</v>
      </c>
      <c r="I592" s="70">
        <f t="shared" ref="I592:I615" si="248">IF(E592=0,0,H591-1)</f>
        <v>592</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0</v>
      </c>
      <c r="AE592" s="109" t="str">
        <f t="shared" si="240"/>
        <v>589-592</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793</v>
      </c>
      <c r="E593" s="32">
        <v>4</v>
      </c>
      <c r="F593" s="32" t="s">
        <v>483</v>
      </c>
      <c r="G593" s="75" t="s">
        <v>277</v>
      </c>
      <c r="H593" s="69">
        <f t="shared" si="247"/>
        <v>585</v>
      </c>
      <c r="I593" s="70">
        <f t="shared" si="248"/>
        <v>588</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0</v>
      </c>
      <c r="AE593" s="109" t="str">
        <f t="shared" si="240"/>
        <v>585-588</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484</v>
      </c>
      <c r="D594" s="102" t="s">
        <v>795</v>
      </c>
      <c r="E594" s="32">
        <v>8</v>
      </c>
      <c r="F594" s="32" t="s">
        <v>483</v>
      </c>
      <c r="G594" s="68" t="s">
        <v>277</v>
      </c>
      <c r="H594" s="69">
        <f t="shared" si="247"/>
        <v>577</v>
      </c>
      <c r="I594" s="70">
        <f t="shared" si="248"/>
        <v>584</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0</v>
      </c>
      <c r="AE594" s="109" t="str">
        <f t="shared" si="240"/>
        <v>577-584</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25</v>
      </c>
      <c r="X602" s="84"/>
      <c r="Y602" s="78">
        <f>SUM(E591:E602)</f>
        <v>24</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25</v>
      </c>
      <c r="X603" s="84"/>
      <c r="Y603" s="78">
        <f>SUM(E591:E603)</f>
        <v>24</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25</v>
      </c>
      <c r="X604" s="84"/>
      <c r="Y604" s="78">
        <f>SUM(E591:E604)</f>
        <v>24</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25</v>
      </c>
      <c r="X605" s="84"/>
      <c r="Y605" s="78">
        <f>SUM(E591:E605)</f>
        <v>24</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25</v>
      </c>
      <c r="X606" s="84"/>
      <c r="Y606" s="78">
        <f>SUM(E591:E606)</f>
        <v>24</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25</v>
      </c>
      <c r="X607" s="84"/>
      <c r="Y607" s="78">
        <f>SUM(E591:E607)</f>
        <v>24</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25</v>
      </c>
      <c r="X608" s="84"/>
      <c r="Y608" s="78">
        <f>SUM(E591:E608)</f>
        <v>24</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25</v>
      </c>
      <c r="X609" s="84"/>
      <c r="Y609" s="78">
        <f>SUM(E591:E609)</f>
        <v>24</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25</v>
      </c>
      <c r="X610" s="84"/>
      <c r="Y610" s="78">
        <f>SUM(E591:E610)</f>
        <v>24</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25</v>
      </c>
      <c r="X611" s="84"/>
      <c r="Y611" s="78">
        <f>SUM(E591:E611)</f>
        <v>24</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25</v>
      </c>
      <c r="X612" s="84"/>
      <c r="Y612" s="78">
        <f>SUM(E591:E612)</f>
        <v>24</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25</v>
      </c>
      <c r="X613" s="84"/>
      <c r="Y613" s="78">
        <f>SUM(E591:E613)</f>
        <v>24</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25</v>
      </c>
      <c r="X614" s="84"/>
      <c r="Y614" s="78">
        <f>SUM(E591:E614)</f>
        <v>24</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24</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21</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72</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RPX</v>
      </c>
      <c r="F622" s="88"/>
      <c r="G622" s="303" t="s">
        <v>230</v>
      </c>
      <c r="H622" s="304"/>
      <c r="I622" s="33">
        <f>E623-I621</f>
        <v>0</v>
      </c>
      <c r="J622" s="288" t="s">
        <v>231</v>
      </c>
      <c r="K622" s="289"/>
      <c r="L622" s="34">
        <f>I626</f>
        <v>505</v>
      </c>
      <c r="M622" s="196">
        <v>4</v>
      </c>
      <c r="N622" s="35">
        <f>SUM(AI622,AI633)</f>
        <v>0</v>
      </c>
      <c r="O622" s="35">
        <v>0</v>
      </c>
      <c r="P622" s="35">
        <f>SUM(AJ622,AJ633)</f>
        <v>4</v>
      </c>
      <c r="Q622" s="35">
        <v>0</v>
      </c>
      <c r="R622" s="35">
        <f>COUNTIFS($E632:$E656,"4",$F632:$F656,"Pole",$C632:$C656,"FST")</f>
        <v>4</v>
      </c>
      <c r="S622" s="35">
        <f>SUM(AL622,AK633)</f>
        <v>0</v>
      </c>
      <c r="T622" s="35">
        <v>0</v>
      </c>
      <c r="U622" s="35">
        <f>SUM(AK622,AL633)</f>
        <v>0</v>
      </c>
      <c r="V622" s="35">
        <v>0</v>
      </c>
      <c r="W622" s="34">
        <f>COUNTIFS($E632:$E656,"4",$F632:$F656,"HH",$C632:$C656,"FST")</f>
        <v>0</v>
      </c>
      <c r="X622" s="35">
        <f>COUNTIFS($E632:$E656,"4",$F632:$F656,"Ped",$C632:$C656,"FST")</f>
        <v>0</v>
      </c>
      <c r="Y622" s="25"/>
      <c r="Z622" s="297" t="s">
        <v>232</v>
      </c>
      <c r="AA622" s="299" t="s">
        <v>233</v>
      </c>
      <c r="AB622" s="300"/>
      <c r="AC622" s="25"/>
      <c r="AD622" s="25"/>
      <c r="AH622" s="109">
        <v>4</v>
      </c>
      <c r="AI622" s="109" t="str">
        <f>IF($E622="SS",COUNTIFS($C632:$C656,"FST",$E632:$E656,"4"),"0")</f>
        <v>0</v>
      </c>
      <c r="AJ622" s="109">
        <f>IF($E622="RPX",COUNTIFS($C632:$C656,"FST",$E632:$E656,"4"),"0")</f>
        <v>4</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72</v>
      </c>
      <c r="F623" s="88"/>
      <c r="G623" s="290" t="s">
        <v>237</v>
      </c>
      <c r="H623" s="291"/>
      <c r="I623" s="35">
        <f>IF(E623=0,0,12-(MOD(I621,12)))</f>
        <v>12</v>
      </c>
      <c r="J623" s="288" t="s">
        <v>238</v>
      </c>
      <c r="K623" s="289"/>
      <c r="L623" s="39">
        <f>I627-I621</f>
        <v>504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0" t="s">
        <v>242</v>
      </c>
      <c r="H624" s="43" t="s">
        <v>243</v>
      </c>
      <c r="I624" s="35">
        <f>IF(E624&lt;&gt;0,1,0)</f>
        <v>0</v>
      </c>
      <c r="J624" s="290" t="s">
        <v>244</v>
      </c>
      <c r="K624" s="291"/>
      <c r="L624" s="44">
        <f>'Cable Calculator'!CA3</f>
        <v>1555</v>
      </c>
      <c r="M624" s="196">
        <v>8</v>
      </c>
      <c r="N624" s="35">
        <f>SUM(AI624,AI635)</f>
        <v>0</v>
      </c>
      <c r="O624" s="35">
        <v>0</v>
      </c>
      <c r="P624" s="35">
        <f>SUM(AJ624,AJ635)</f>
        <v>1</v>
      </c>
      <c r="Q624" s="35">
        <v>0</v>
      </c>
      <c r="R624" s="35">
        <f>COUNTIFS($E632:$E656,"8",$F632:$F656,"Pole",$C632:$C656,"FST")</f>
        <v>1</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f>IF($E622="RPX",COUNTIFS($C632:$C656,"FST",$E632:$E656,"8"),"0")</f>
        <v>1</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505</v>
      </c>
      <c r="F625" s="88"/>
      <c r="G625" s="321"/>
      <c r="H625" s="47" t="s">
        <v>248</v>
      </c>
      <c r="I625" s="35">
        <f>IF(E624&lt;&gt;0,E624,0)</f>
        <v>0</v>
      </c>
      <c r="J625" s="194"/>
      <c r="K625" s="195"/>
      <c r="L625" s="48"/>
      <c r="M625" s="196">
        <v>12</v>
      </c>
      <c r="N625" s="35" t="str">
        <f>IF($E622="SS",SUM(AI625,AJ636,AM657,AO657,AQ657),"0")</f>
        <v>0</v>
      </c>
      <c r="O625" s="35" t="str">
        <f>IF($E622="SS",SUM(AN657,AP657,AR657),"0")</f>
        <v>0</v>
      </c>
      <c r="P625" s="35">
        <f>IF($E622="RPX",SUM(AJ625,AJ636,AM657,AO657,AQ657),"0")</f>
        <v>0.5</v>
      </c>
      <c r="Q625" s="35">
        <f>IF($E622="RPX",SUM(AN657,AP657,AR657),"0")</f>
        <v>0.5</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6</v>
      </c>
      <c r="F626" s="88"/>
      <c r="G626" s="320" t="s">
        <v>251</v>
      </c>
      <c r="H626" s="51" t="s">
        <v>252</v>
      </c>
      <c r="I626" s="112">
        <f>E625</f>
        <v>505</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1"/>
      <c r="H627" s="47" t="s">
        <v>257</v>
      </c>
      <c r="I627" s="35">
        <f>IF(E625="","0",IF(AND(E622="EUC",E623=432), I626+(203-E624),IF(E625=0,0,(E625+(E623-E624)-1))))</f>
        <v>576</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72</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797</v>
      </c>
      <c r="E632" s="32">
        <v>8</v>
      </c>
      <c r="F632" s="32" t="s">
        <v>483</v>
      </c>
      <c r="G632" s="68" t="s">
        <v>277</v>
      </c>
      <c r="H632" s="69">
        <f>IF(I632=0,0,I632-(E632-1))</f>
        <v>569</v>
      </c>
      <c r="I632" s="70">
        <f>IF(E632=0,0,I627)</f>
        <v>576</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569-576</v>
      </c>
      <c r="AF632" s="109" t="str">
        <f t="shared" ref="AF632:AF656" si="258">IF(C632="Field SPL","N","Y")</f>
        <v>Y</v>
      </c>
      <c r="AG632" s="109" t="str">
        <f t="shared" ref="AG632:AG656" si="259">IF(OR(E$622="RPX",E$622="SS"),"A","B")</f>
        <v>A</v>
      </c>
      <c r="AH632" s="109">
        <v>2</v>
      </c>
      <c r="AI632" s="109" t="str">
        <f>IF(E622="SS",COUNTIFS(C632:C656,"TCF",E632:E656,"2"),"")</f>
        <v/>
      </c>
      <c r="AJ632" s="109">
        <f>IF(E622="RPX",COUNTIFS(C632:C656,"TCF",E632:E656,"2"),"")</f>
        <v>0</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8</v>
      </c>
    </row>
    <row r="633" spans="1:53" ht="15.75" thickBot="1" x14ac:dyDescent="0.3">
      <c r="A633" s="88"/>
      <c r="B633" s="66" t="s">
        <v>279</v>
      </c>
      <c r="C633" s="67" t="s">
        <v>484</v>
      </c>
      <c r="D633" s="102" t="s">
        <v>796</v>
      </c>
      <c r="E633" s="32">
        <v>4</v>
      </c>
      <c r="F633" s="32" t="s">
        <v>483</v>
      </c>
      <c r="G633" s="68" t="s">
        <v>277</v>
      </c>
      <c r="H633" s="69">
        <f t="shared" ref="H633:H656" si="264">IF(E633=0,0,I633-(E633-1))</f>
        <v>565</v>
      </c>
      <c r="I633" s="70">
        <f t="shared" ref="I633:I656" si="265">IF(E633=0,0,H632-1)</f>
        <v>568</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565-568</v>
      </c>
      <c r="AF633" s="109" t="str">
        <f t="shared" si="258"/>
        <v>Y</v>
      </c>
      <c r="AG633" s="109" t="str">
        <f t="shared" si="259"/>
        <v>A</v>
      </c>
      <c r="AH633" s="109">
        <v>4</v>
      </c>
      <c r="AI633" s="109" t="str">
        <f>IF(E622="SS",COUNTIFS(C632:C656,"TCF",E632:E656,"4"),"")</f>
        <v/>
      </c>
      <c r="AJ633" s="109">
        <f>IF(E622="RPX",COUNTIFS(C632:C656,"TCF",E632:E656,"4"),"")</f>
        <v>0</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t="s">
        <v>484</v>
      </c>
      <c r="D634" s="102" t="s">
        <v>798</v>
      </c>
      <c r="E634" s="32">
        <v>4</v>
      </c>
      <c r="F634" s="32" t="s">
        <v>483</v>
      </c>
      <c r="G634" s="75" t="s">
        <v>277</v>
      </c>
      <c r="H634" s="69">
        <f t="shared" si="264"/>
        <v>561</v>
      </c>
      <c r="I634" s="70">
        <f t="shared" si="265"/>
        <v>564</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561-564</v>
      </c>
      <c r="AF634" s="109" t="str">
        <f t="shared" si="258"/>
        <v>Y</v>
      </c>
      <c r="AG634" s="109" t="str">
        <f t="shared" si="259"/>
        <v>A</v>
      </c>
      <c r="AH634" s="109">
        <v>6</v>
      </c>
      <c r="AI634" s="109" t="str">
        <f>IF(E622="SS",COUNTIFS(C632:C656,"TCF",E632:E656,"6"),"")</f>
        <v/>
      </c>
      <c r="AJ634" s="109">
        <f>IF(E622="RPX",COUNTIFS(C632:C656,"TCF",E632:E656,"6"),"")</f>
        <v>0</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8</v>
      </c>
    </row>
    <row r="635" spans="1:53" ht="15.75" thickBot="1" x14ac:dyDescent="0.3">
      <c r="A635" s="88"/>
      <c r="B635" s="66" t="s">
        <v>281</v>
      </c>
      <c r="C635" s="67" t="s">
        <v>484</v>
      </c>
      <c r="D635" s="102" t="s">
        <v>799</v>
      </c>
      <c r="E635" s="32">
        <v>4</v>
      </c>
      <c r="F635" s="32" t="s">
        <v>483</v>
      </c>
      <c r="G635" s="68" t="s">
        <v>277</v>
      </c>
      <c r="H635" s="69">
        <f t="shared" si="264"/>
        <v>557</v>
      </c>
      <c r="I635" s="70">
        <f t="shared" si="265"/>
        <v>560</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0</v>
      </c>
      <c r="AE635" s="109" t="str">
        <f t="shared" si="257"/>
        <v>557-560</v>
      </c>
      <c r="AF635" s="109" t="str">
        <f t="shared" si="258"/>
        <v>Y</v>
      </c>
      <c r="AG635" s="109" t="str">
        <f t="shared" si="259"/>
        <v>A</v>
      </c>
      <c r="AH635" s="109">
        <v>8</v>
      </c>
      <c r="AI635" s="109" t="str">
        <f>IF(E622="SS",COUNTIFS(C632:C656,"TCF",E632:E656,"8"),"")</f>
        <v/>
      </c>
      <c r="AJ635" s="109">
        <f>IF(E622="RPX",COUNTIFS(C632:C656,"TCF",E632:E656,"8"),"")</f>
        <v>0</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484</v>
      </c>
      <c r="D636" s="102" t="s">
        <v>800</v>
      </c>
      <c r="E636" s="32">
        <v>4</v>
      </c>
      <c r="F636" s="32" t="s">
        <v>483</v>
      </c>
      <c r="G636" s="68" t="s">
        <v>277</v>
      </c>
      <c r="H636" s="69">
        <f t="shared" si="264"/>
        <v>553</v>
      </c>
      <c r="I636" s="70">
        <f t="shared" si="265"/>
        <v>556</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0</v>
      </c>
      <c r="AE636" s="109" t="str">
        <f t="shared" si="257"/>
        <v>553-556</v>
      </c>
      <c r="AF636" s="109" t="str">
        <f t="shared" si="258"/>
        <v>Y</v>
      </c>
      <c r="AG636" s="109" t="str">
        <f t="shared" si="259"/>
        <v>A</v>
      </c>
      <c r="AH636" s="109">
        <v>12</v>
      </c>
      <c r="AI636" s="109" t="str">
        <f>IF(E622="SS",COUNTIFS(C632:C656,"TCF",E632:E656,"12"),"")</f>
        <v/>
      </c>
      <c r="AJ636" s="109">
        <f>IF(E622="RPX",COUNTIFS(C632:C656,"TCF",E632:E656,"12"),"")</f>
        <v>0</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t="s">
        <v>501</v>
      </c>
      <c r="D637" s="102" t="s">
        <v>801</v>
      </c>
      <c r="E637" s="32">
        <v>48</v>
      </c>
      <c r="F637" s="32" t="s">
        <v>483</v>
      </c>
      <c r="G637" s="68" t="s">
        <v>277</v>
      </c>
      <c r="H637" s="69">
        <f t="shared" si="264"/>
        <v>505</v>
      </c>
      <c r="I637" s="70">
        <f t="shared" si="265"/>
        <v>552</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505-552</v>
      </c>
      <c r="AF637" s="109" t="str">
        <f t="shared" si="258"/>
        <v>Y</v>
      </c>
      <c r="AG637" s="109" t="str">
        <f t="shared" si="259"/>
        <v>A</v>
      </c>
      <c r="AM637" s="109">
        <f t="shared" si="260"/>
        <v>0</v>
      </c>
      <c r="AN637" s="109">
        <f t="shared" si="261"/>
        <v>0</v>
      </c>
      <c r="AO637" s="109" t="str">
        <f t="shared" si="262"/>
        <v/>
      </c>
      <c r="AQ637" s="109" t="str">
        <f t="shared" si="263"/>
        <v>Y</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A</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A</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A</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A</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A</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73</v>
      </c>
      <c r="X643" s="84"/>
      <c r="Y643" s="78">
        <f>SUM(E632:E643)</f>
        <v>72</v>
      </c>
      <c r="Z643" s="72"/>
      <c r="AA643" s="72"/>
      <c r="AB643" s="72"/>
      <c r="AC643" s="72">
        <f t="shared" si="255"/>
        <v>1</v>
      </c>
      <c r="AD643" s="72">
        <f t="shared" si="256"/>
        <v>1</v>
      </c>
      <c r="AE643" s="109" t="str">
        <f t="shared" si="257"/>
        <v>0-0</v>
      </c>
      <c r="AF643" s="109" t="str">
        <f t="shared" si="258"/>
        <v>Y</v>
      </c>
      <c r="AG643" s="109" t="str">
        <f t="shared" si="259"/>
        <v>A</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73</v>
      </c>
      <c r="X644" s="84"/>
      <c r="Y644" s="78">
        <f>SUM(E632:E644)</f>
        <v>72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A</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73</v>
      </c>
      <c r="X645" s="84"/>
      <c r="Y645" s="78">
        <f>SUM(E632:E645)</f>
        <v>72</v>
      </c>
      <c r="Z645" s="72" t="str">
        <f t="shared" si="269"/>
        <v/>
      </c>
      <c r="AA645" s="72"/>
      <c r="AB645" s="72"/>
      <c r="AC645" s="72">
        <f t="shared" si="255"/>
        <v>1</v>
      </c>
      <c r="AD645" s="72">
        <f t="shared" si="256"/>
        <v>1</v>
      </c>
      <c r="AE645" s="109" t="str">
        <f t="shared" si="257"/>
        <v>0-0</v>
      </c>
      <c r="AF645" s="109" t="str">
        <f t="shared" si="258"/>
        <v>Y</v>
      </c>
      <c r="AG645" s="109" t="str">
        <f t="shared" si="259"/>
        <v>A</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73</v>
      </c>
      <c r="X646" s="84"/>
      <c r="Y646" s="78">
        <f>SUM(E632:E646)</f>
        <v>72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A</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73</v>
      </c>
      <c r="X647" s="84"/>
      <c r="Y647" s="78">
        <f>SUM(E632:E647)</f>
        <v>72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A</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73</v>
      </c>
      <c r="X648" s="84"/>
      <c r="Y648" s="78">
        <f>SUM(E632:E648)</f>
        <v>72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A</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73</v>
      </c>
      <c r="X649" s="84"/>
      <c r="Y649" s="78">
        <f>SUM(E632:E649)</f>
        <v>72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A</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73</v>
      </c>
      <c r="X650" s="84"/>
      <c r="Y650" s="78">
        <f>SUM(E632:E650)</f>
        <v>72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A</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73</v>
      </c>
      <c r="X651" s="84"/>
      <c r="Y651" s="78">
        <f>SUM(E632:E651)</f>
        <v>72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A</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73</v>
      </c>
      <c r="X652" s="84"/>
      <c r="Y652" s="78">
        <f>SUM(E632:E652)</f>
        <v>72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A</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73</v>
      </c>
      <c r="X653" s="84"/>
      <c r="Y653" s="78">
        <f>SUM(E632:E653)</f>
        <v>72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A</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73</v>
      </c>
      <c r="X654" s="84"/>
      <c r="Y654" s="78">
        <f>SUM(E632:E654)</f>
        <v>72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A</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73</v>
      </c>
      <c r="X655" s="84"/>
      <c r="Y655" s="78">
        <f>SUM(E632:E655)</f>
        <v>72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A</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72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A</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20</v>
      </c>
      <c r="AM657" s="109">
        <f>SUM(AM632:AM656)</f>
        <v>0</v>
      </c>
      <c r="AN657" s="109">
        <f>SUM(AN632:AN656)</f>
        <v>0</v>
      </c>
      <c r="AO657" s="109">
        <f>((COUNTIF(AO632:AO656,"Y")/3)*2)</f>
        <v>0</v>
      </c>
      <c r="AP657" s="109">
        <f>(COUNTIF(AO632:AO656,"Y")/3)</f>
        <v>0</v>
      </c>
      <c r="AQ657" s="109">
        <f>(COUNTIF(AQ632:AQ656,"Y")/2)</f>
        <v>0.5</v>
      </c>
      <c r="AR657" s="109">
        <f>(COUNTIF(AQ632:AQ656,"Y")/2)</f>
        <v>0.5</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48</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t="str">
        <f>IF(OR($AS663="Y",$AS664="Y",$AS665="Y"),"",COUNTIFS($E663,"SS",$E668,"Y"))</f>
        <v/>
      </c>
      <c r="AV662" s="111" t="str">
        <f>IF(OR($AS663="Y",$AS664="Y",$AS665="Y"),"",COUNTIFS($E663,"RPX",$E668,"Y"))</f>
        <v/>
      </c>
      <c r="AW662" s="111" t="str">
        <f>IF(OR($AS663="Y",$AS664="Y",$AS665="Y"),"",COUNTIFS($E663,"EUC",$E668,"Y"))</f>
        <v/>
      </c>
      <c r="AX662" s="109" t="str">
        <f>IF(OR($AS663="Y",$AS664="Y",$AS665="Y"),"",COUNTIFS($E663,"RPX-T",$E668,"Y"))</f>
        <v/>
      </c>
      <c r="BA662" s="226"/>
    </row>
    <row r="663" spans="1:53" ht="16.5" customHeight="1" thickTop="1" thickBot="1" x14ac:dyDescent="0.3">
      <c r="A663" s="88"/>
      <c r="B663" s="29" t="s">
        <v>228</v>
      </c>
      <c r="C663" s="30">
        <v>0</v>
      </c>
      <c r="D663" s="31" t="s">
        <v>229</v>
      </c>
      <c r="E663" s="66" t="str">
        <f>TEXT(IF('Cable Calculator'!CF7="","",'Cable Calculator'!CF7),)</f>
        <v>EUC</v>
      </c>
      <c r="F663" s="88"/>
      <c r="G663" s="303" t="s">
        <v>230</v>
      </c>
      <c r="H663" s="304"/>
      <c r="I663" s="33">
        <f>E664-I662</f>
        <v>0</v>
      </c>
      <c r="J663" s="288" t="s">
        <v>231</v>
      </c>
      <c r="K663" s="289"/>
      <c r="L663" s="34">
        <f>I667</f>
        <v>505</v>
      </c>
      <c r="M663" s="196">
        <v>4</v>
      </c>
      <c r="N663" s="35">
        <f>SUM(AI663,AI674)</f>
        <v>0</v>
      </c>
      <c r="O663" s="35">
        <v>0</v>
      </c>
      <c r="P663" s="35">
        <f>SUM(AJ663,AJ674)</f>
        <v>0</v>
      </c>
      <c r="Q663" s="35">
        <v>0</v>
      </c>
      <c r="R663" s="35">
        <f>COUNTIFS($E673:$E697,"4",$F673:$F697,"Pole",$C673:$C697,"FST")</f>
        <v>1</v>
      </c>
      <c r="S663" s="35">
        <f>SUM(AL663,AK674)</f>
        <v>0</v>
      </c>
      <c r="T663" s="35">
        <v>0</v>
      </c>
      <c r="U663" s="35">
        <f>SUM(AK663,AL674)</f>
        <v>1</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f>IF($E663="EUC",COUNTIFS($C673:$C697,"FST",$E673:$E697,"4"),"0")</f>
        <v>1</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48</v>
      </c>
      <c r="F664" s="88"/>
      <c r="G664" s="290" t="s">
        <v>237</v>
      </c>
      <c r="H664" s="291"/>
      <c r="I664" s="35">
        <f>IF(E664=0,0,12-(MOD(I662,12)))</f>
        <v>12</v>
      </c>
      <c r="J664" s="288" t="s">
        <v>238</v>
      </c>
      <c r="K664" s="289"/>
      <c r="L664" s="39">
        <f>I668-I662</f>
        <v>504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0" t="s">
        <v>242</v>
      </c>
      <c r="H665" s="43" t="s">
        <v>243</v>
      </c>
      <c r="I665" s="35">
        <f>IF(E665&lt;&gt;0,1,0)</f>
        <v>0</v>
      </c>
      <c r="J665" s="290" t="s">
        <v>244</v>
      </c>
      <c r="K665" s="291"/>
      <c r="L665" s="44">
        <f>'Cable Calculator'!CF3</f>
        <v>966</v>
      </c>
      <c r="M665" s="196">
        <v>8</v>
      </c>
      <c r="N665" s="35">
        <f>SUM(AI665,AI676)</f>
        <v>0</v>
      </c>
      <c r="O665" s="35">
        <v>0</v>
      </c>
      <c r="P665" s="35">
        <f>SUM(AJ665,AJ676)</f>
        <v>0</v>
      </c>
      <c r="Q665" s="35">
        <v>0</v>
      </c>
      <c r="R665" s="35">
        <f>COUNTIFS($E673:$E697,"8",$F673:$F697,"Pole",$C673:$C697,"FST")</f>
        <v>0</v>
      </c>
      <c r="S665" s="35">
        <f>SUM(AL665,AK676)</f>
        <v>0</v>
      </c>
      <c r="T665" s="35">
        <v>0</v>
      </c>
      <c r="U665" s="35">
        <f>SUM(AK665,AL676)</f>
        <v>1</v>
      </c>
      <c r="V665" s="35">
        <v>0</v>
      </c>
      <c r="W665" s="34">
        <f>COUNTIFS($E673:$E697,"8",$F673:$F697,"HH",$C673:$C697,"FST")</f>
        <v>1</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1</v>
      </c>
      <c r="AL665" s="109" t="str">
        <f>IF($E663="RPX-T",COUNTIFS($C673:$C697,"FST",$E673:$E697,"8"),"0")</f>
        <v>0</v>
      </c>
      <c r="AS665" s="109" t="str">
        <f>IF(AND(E668="Y",E664=48,E665=0),"Y","N")</f>
        <v>Y</v>
      </c>
      <c r="AT665" s="110" t="s">
        <v>245</v>
      </c>
      <c r="AU665" s="109">
        <f>COUNTIFS($E663,"SS",$AS665,"Y")</f>
        <v>0</v>
      </c>
      <c r="AV665" s="108">
        <f>COUNTIFS($E663,"RPX",$AS665,"Y")</f>
        <v>0</v>
      </c>
      <c r="AW665" s="108">
        <f>COUNTIFS($E663,"EUC",$AS665,"Y")</f>
        <v>1</v>
      </c>
      <c r="AX665" s="109">
        <f>COUNTIFS($E663,"RPX-T",$AS665,"Y")</f>
        <v>0</v>
      </c>
      <c r="BA665" s="227"/>
    </row>
    <row r="666" spans="1:53" ht="16.5" thickTop="1" thickBot="1" x14ac:dyDescent="0.3">
      <c r="A666" s="88"/>
      <c r="B666" s="29" t="s">
        <v>246</v>
      </c>
      <c r="C666" s="37">
        <v>0</v>
      </c>
      <c r="D666" s="41" t="s">
        <v>247</v>
      </c>
      <c r="E666" s="42">
        <v>505</v>
      </c>
      <c r="F666" s="88"/>
      <c r="G666" s="321"/>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1</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4</v>
      </c>
      <c r="F667" s="88"/>
      <c r="G667" s="320" t="s">
        <v>251</v>
      </c>
      <c r="H667" s="51" t="s">
        <v>252</v>
      </c>
      <c r="I667" s="112">
        <f>E666</f>
        <v>505</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1"/>
      <c r="H668" s="47" t="s">
        <v>257</v>
      </c>
      <c r="I668" s="35">
        <f>IF(E666="","0",IF(AND(E663="EUC",E664=432), I667+(203-E665),IF(E666=0,0,(E666+(E664-E665)-1))))</f>
        <v>552</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48</v>
      </c>
      <c r="D669" s="31" t="s">
        <v>259</v>
      </c>
      <c r="E669" s="101" t="str">
        <f>IF(AS663="Y","DBL",IF(AS664="Y","TRPL",IF(AS665="Y","QUAD","")))</f>
        <v>QUAD</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494</v>
      </c>
      <c r="D673" s="102" t="s">
        <v>802</v>
      </c>
      <c r="E673" s="32">
        <v>36</v>
      </c>
      <c r="F673" s="32" t="s">
        <v>483</v>
      </c>
      <c r="G673" s="68" t="s">
        <v>277</v>
      </c>
      <c r="H673" s="69">
        <f>IF(I673=0,0,I673-(E673-1))</f>
        <v>517</v>
      </c>
      <c r="I673" s="70">
        <f>IF(E673=0,0,I668)</f>
        <v>552</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517-552</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1</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t="s">
        <v>484</v>
      </c>
      <c r="D674" s="102" t="s">
        <v>803</v>
      </c>
      <c r="E674" s="32">
        <v>4</v>
      </c>
      <c r="F674" s="32" t="s">
        <v>483</v>
      </c>
      <c r="G674" s="68" t="s">
        <v>277</v>
      </c>
      <c r="H674" s="69">
        <f t="shared" ref="H674:H697" si="281">IF(E674=0,0,I674-(E674-1))</f>
        <v>513</v>
      </c>
      <c r="I674" s="70">
        <f t="shared" ref="I674:I697" si="282">IF(E674=0,0,H673-1)</f>
        <v>516</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513-516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4</v>
      </c>
    </row>
    <row r="675" spans="1:53" ht="15.75" thickBot="1" x14ac:dyDescent="0.3">
      <c r="A675" s="88"/>
      <c r="B675" s="74" t="s">
        <v>280</v>
      </c>
      <c r="C675" s="67" t="s">
        <v>484</v>
      </c>
      <c r="D675" s="102" t="s">
        <v>804</v>
      </c>
      <c r="E675" s="32">
        <v>8</v>
      </c>
      <c r="F675" s="32" t="s">
        <v>488</v>
      </c>
      <c r="G675" s="75" t="s">
        <v>277</v>
      </c>
      <c r="H675" s="69">
        <f t="shared" si="281"/>
        <v>505</v>
      </c>
      <c r="I675" s="70">
        <f t="shared" si="282"/>
        <v>512</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0</v>
      </c>
      <c r="AE675" s="109" t="str">
        <f t="shared" si="274"/>
        <v>505-512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49</v>
      </c>
      <c r="X684" s="84"/>
      <c r="Y684" s="78">
        <f>SUM(E673:E684)</f>
        <v>48</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49</v>
      </c>
      <c r="X685" s="84"/>
      <c r="Y685" s="78">
        <f>SUM(E673:E685)</f>
        <v>48</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49</v>
      </c>
      <c r="X686" s="84"/>
      <c r="Y686" s="78">
        <f>SUM(E673:E686)</f>
        <v>48</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49</v>
      </c>
      <c r="X687" s="84"/>
      <c r="Y687" s="78">
        <f>SUM(E673:E687)</f>
        <v>48</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49</v>
      </c>
      <c r="X688" s="84"/>
      <c r="Y688" s="78">
        <f>SUM(E673:E688)</f>
        <v>48</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49</v>
      </c>
      <c r="X689" s="84"/>
      <c r="Y689" s="78">
        <f>SUM(E673:E689)</f>
        <v>48</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49</v>
      </c>
      <c r="X690" s="84"/>
      <c r="Y690" s="78">
        <f>SUM(E673:E690)</f>
        <v>48</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49</v>
      </c>
      <c r="X691" s="84"/>
      <c r="Y691" s="78">
        <f>SUM(E673:E691)</f>
        <v>48</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49</v>
      </c>
      <c r="X692" s="84"/>
      <c r="Y692" s="78">
        <f>SUM(E673:E692)</f>
        <v>48</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49</v>
      </c>
      <c r="X693" s="84"/>
      <c r="Y693" s="78">
        <f>SUM(E673:E693)</f>
        <v>48</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49</v>
      </c>
      <c r="X694" s="84"/>
      <c r="Y694" s="78">
        <f>SUM(E673:E694)</f>
        <v>48</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49</v>
      </c>
      <c r="X695" s="84"/>
      <c r="Y695" s="78">
        <f>SUM(E673:E695)</f>
        <v>48</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49</v>
      </c>
      <c r="X696" s="84"/>
      <c r="Y696" s="78">
        <f>SUM(E673:E696)</f>
        <v>48</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48</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23</v>
      </c>
      <c r="AM698" s="109">
        <f>SUM(AM673:AM697)</f>
        <v>1</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36</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RPX</v>
      </c>
      <c r="F704" s="88"/>
      <c r="G704" s="303" t="s">
        <v>230</v>
      </c>
      <c r="H704" s="304"/>
      <c r="I704" s="33">
        <f>E705-I703</f>
        <v>12</v>
      </c>
      <c r="J704" s="288" t="s">
        <v>231</v>
      </c>
      <c r="K704" s="289"/>
      <c r="L704" s="34">
        <f>I708</f>
        <v>517</v>
      </c>
      <c r="M704" s="196">
        <v>4</v>
      </c>
      <c r="N704" s="35">
        <f>SUM(AI704,AI715)</f>
        <v>0</v>
      </c>
      <c r="O704" s="35">
        <v>0</v>
      </c>
      <c r="P704" s="35">
        <f>SUM(AJ704,AJ715)</f>
        <v>7</v>
      </c>
      <c r="Q704" s="35">
        <v>0</v>
      </c>
      <c r="R704" s="35">
        <f>COUNTIFS($E714:$E738,"4",$F714:$F738,"Pole",$C714:$C738,"FST")</f>
        <v>7</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f>IF($E704="RPX",COUNTIFS($C714:$C738,"FST",$E714:$E738,"4"),"0")</f>
        <v>7</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48</v>
      </c>
      <c r="F705" s="88"/>
      <c r="G705" s="290" t="s">
        <v>237</v>
      </c>
      <c r="H705" s="291"/>
      <c r="I705" s="35">
        <f>IF(E705=0,0,12-(MOD(I703,12)))</f>
        <v>12</v>
      </c>
      <c r="J705" s="288" t="s">
        <v>238</v>
      </c>
      <c r="K705" s="289"/>
      <c r="L705" s="39">
        <f>I709-I703</f>
        <v>516</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Y</v>
      </c>
      <c r="AT705" s="110" t="s">
        <v>239</v>
      </c>
      <c r="AU705" s="109">
        <f>COUNTIFS($E704,"SS",$AS705,"Y")</f>
        <v>0</v>
      </c>
      <c r="AV705" s="108">
        <f>COUNTIFS($E704,"RPX",$AS705,"Y")</f>
        <v>1</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0" t="s">
        <v>242</v>
      </c>
      <c r="H706" s="43" t="s">
        <v>243</v>
      </c>
      <c r="I706" s="35">
        <f>IF(E706&lt;&gt;0,1,0)</f>
        <v>1</v>
      </c>
      <c r="J706" s="290" t="s">
        <v>244</v>
      </c>
      <c r="K706" s="291"/>
      <c r="L706" s="44">
        <f>'Cable Calculator'!CK3</f>
        <v>2476</v>
      </c>
      <c r="M706" s="196">
        <v>8</v>
      </c>
      <c r="N706" s="35">
        <f>SUM(AI706,AI717)</f>
        <v>0</v>
      </c>
      <c r="O706" s="35">
        <v>0</v>
      </c>
      <c r="P706" s="35">
        <f>SUM(AJ706,AJ717)</f>
        <v>1</v>
      </c>
      <c r="Q706" s="35">
        <v>0</v>
      </c>
      <c r="R706" s="35">
        <f>COUNTIFS($E714:$E738,"8",$F714:$F738,"Pole",$C714:$C738,"FST")</f>
        <v>1</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1</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517</v>
      </c>
      <c r="F707" s="88"/>
      <c r="G707" s="321"/>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4</v>
      </c>
      <c r="F708" s="88"/>
      <c r="G708" s="320" t="s">
        <v>251</v>
      </c>
      <c r="H708" s="51" t="s">
        <v>252</v>
      </c>
      <c r="I708" s="112">
        <f>E707</f>
        <v>517</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1"/>
      <c r="H709" s="47" t="s">
        <v>257</v>
      </c>
      <c r="I709" s="35">
        <f>IF(E707="","0",IF(AND(E704="EUC",E705=432), I708+(203-E706),IF(E707=0,0,(E707+(E705-E706)-1))))</f>
        <v>552</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36</v>
      </c>
      <c r="D710" s="31" t="s">
        <v>259</v>
      </c>
      <c r="E710" s="101" t="str">
        <f>IF(AS704="Y","DBL",IF(AS705="Y","TRPL",IF(AS706="Y","QUAD","")))</f>
        <v>TRPL</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805</v>
      </c>
      <c r="E714" s="32">
        <v>4</v>
      </c>
      <c r="F714" s="32" t="s">
        <v>483</v>
      </c>
      <c r="G714" s="68" t="s">
        <v>277</v>
      </c>
      <c r="H714" s="69">
        <f>IF(I714=0,0,I714-(E714-1))</f>
        <v>549</v>
      </c>
      <c r="I714" s="70">
        <f>IF(E714=0,0,I709)</f>
        <v>552</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549-552</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806</v>
      </c>
      <c r="E715" s="32">
        <v>4</v>
      </c>
      <c r="F715" s="32" t="s">
        <v>483</v>
      </c>
      <c r="G715" s="68" t="s">
        <v>277</v>
      </c>
      <c r="H715" s="69">
        <f t="shared" ref="H715:H738" si="298">IF(E715=0,0,I715-(E715-1))</f>
        <v>545</v>
      </c>
      <c r="I715" s="70">
        <f t="shared" ref="I715:I738" si="299">IF(E715=0,0,H714-1)</f>
        <v>548</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0</v>
      </c>
      <c r="AE715" s="109" t="str">
        <f t="shared" si="291"/>
        <v>545-548</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807</v>
      </c>
      <c r="E716" s="32">
        <v>4</v>
      </c>
      <c r="F716" s="32" t="s">
        <v>483</v>
      </c>
      <c r="G716" s="75" t="s">
        <v>277</v>
      </c>
      <c r="H716" s="69">
        <f t="shared" si="298"/>
        <v>541</v>
      </c>
      <c r="I716" s="70">
        <f t="shared" si="299"/>
        <v>544</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0</v>
      </c>
      <c r="AE716" s="109" t="str">
        <f t="shared" si="291"/>
        <v>541-544</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808</v>
      </c>
      <c r="E717" s="32">
        <v>4</v>
      </c>
      <c r="F717" s="32" t="s">
        <v>483</v>
      </c>
      <c r="G717" s="68" t="s">
        <v>277</v>
      </c>
      <c r="H717" s="69">
        <f t="shared" si="298"/>
        <v>537</v>
      </c>
      <c r="I717" s="70">
        <f t="shared" si="299"/>
        <v>540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0</v>
      </c>
      <c r="AE717" s="109" t="str">
        <f t="shared" si="291"/>
        <v>537-540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t="s">
        <v>484</v>
      </c>
      <c r="D718" s="102" t="s">
        <v>809</v>
      </c>
      <c r="E718" s="32">
        <v>4</v>
      </c>
      <c r="F718" s="32" t="s">
        <v>483</v>
      </c>
      <c r="G718" s="68" t="s">
        <v>277</v>
      </c>
      <c r="H718" s="69">
        <f t="shared" si="298"/>
        <v>533</v>
      </c>
      <c r="I718" s="70">
        <f t="shared" si="299"/>
        <v>536</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533-536</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t="s">
        <v>484</v>
      </c>
      <c r="D719" s="102" t="s">
        <v>810</v>
      </c>
      <c r="E719" s="32">
        <v>4</v>
      </c>
      <c r="F719" s="32" t="s">
        <v>483</v>
      </c>
      <c r="G719" s="68" t="s">
        <v>277</v>
      </c>
      <c r="H719" s="69">
        <f t="shared" si="298"/>
        <v>529</v>
      </c>
      <c r="I719" s="70">
        <f t="shared" si="299"/>
        <v>532</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0</v>
      </c>
      <c r="AE719" s="109" t="str">
        <f t="shared" si="291"/>
        <v>529-532</v>
      </c>
      <c r="AF719" s="109" t="str">
        <f t="shared" si="292"/>
        <v>Y</v>
      </c>
      <c r="AG719" s="109" t="str">
        <f t="shared" si="293"/>
        <v>A</v>
      </c>
      <c r="AM719" s="109">
        <f t="shared" si="294"/>
        <v>0</v>
      </c>
      <c r="AN719" s="109">
        <f t="shared" si="295"/>
        <v>0</v>
      </c>
      <c r="AO719" s="109" t="str">
        <f t="shared" si="296"/>
        <v/>
      </c>
      <c r="AQ719" s="109" t="str">
        <f t="shared" si="297"/>
        <v/>
      </c>
      <c r="BA719" s="229">
        <f>MOD(SUM(E714:E720),12)</f>
        <v>4</v>
      </c>
    </row>
    <row r="720" spans="1:53" ht="15.75" thickBot="1" x14ac:dyDescent="0.3">
      <c r="A720" s="88"/>
      <c r="B720" s="66" t="s">
        <v>284</v>
      </c>
      <c r="C720" s="67" t="s">
        <v>484</v>
      </c>
      <c r="D720" s="102" t="s">
        <v>811</v>
      </c>
      <c r="E720" s="32">
        <v>4</v>
      </c>
      <c r="F720" s="32" t="s">
        <v>483</v>
      </c>
      <c r="G720" s="68" t="s">
        <v>277</v>
      </c>
      <c r="H720" s="69">
        <f t="shared" si="298"/>
        <v>525</v>
      </c>
      <c r="I720" s="70">
        <f t="shared" si="299"/>
        <v>528</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0</v>
      </c>
      <c r="AE720" s="109" t="str">
        <f t="shared" si="291"/>
        <v>525-528</v>
      </c>
      <c r="AF720" s="109" t="str">
        <f t="shared" si="292"/>
        <v>Y</v>
      </c>
      <c r="AG720" s="109" t="str">
        <f t="shared" si="293"/>
        <v>A</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t="s">
        <v>484</v>
      </c>
      <c r="D721" s="102" t="s">
        <v>812</v>
      </c>
      <c r="E721" s="32">
        <v>8</v>
      </c>
      <c r="F721" s="32" t="s">
        <v>483</v>
      </c>
      <c r="G721" s="68" t="s">
        <v>277</v>
      </c>
      <c r="H721" s="69">
        <f t="shared" si="298"/>
        <v>517</v>
      </c>
      <c r="I721" s="70">
        <f t="shared" si="299"/>
        <v>524</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0</v>
      </c>
      <c r="AE721" s="109" t="str">
        <f t="shared" si="291"/>
        <v>517-524</v>
      </c>
      <c r="AF721" s="109" t="str">
        <f t="shared" si="292"/>
        <v>Y</v>
      </c>
      <c r="AG721" s="109" t="str">
        <f t="shared" si="293"/>
        <v>A</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37</v>
      </c>
      <c r="X725" s="84"/>
      <c r="Y725" s="78">
        <f>SUM(E714:E725)</f>
        <v>36</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37</v>
      </c>
      <c r="X726" s="84"/>
      <c r="Y726" s="78">
        <f>SUM(E714:E726)</f>
        <v>36</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37</v>
      </c>
      <c r="X727" s="84"/>
      <c r="Y727" s="78">
        <f>SUM(E714:E727)</f>
        <v>36</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37</v>
      </c>
      <c r="X728" s="84"/>
      <c r="Y728" s="78">
        <f>SUM(E714:E728)</f>
        <v>36</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37</v>
      </c>
      <c r="X729" s="84"/>
      <c r="Y729" s="78">
        <f>SUM(E714:E729)</f>
        <v>36</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37</v>
      </c>
      <c r="X730" s="84"/>
      <c r="Y730" s="78">
        <f>SUM(E714:E730)</f>
        <v>36</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37</v>
      </c>
      <c r="X731" s="84"/>
      <c r="Y731" s="78">
        <f>SUM(E714:E731)</f>
        <v>36</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37</v>
      </c>
      <c r="X732" s="84"/>
      <c r="Y732" s="78">
        <f>SUM(E714:E732)</f>
        <v>36</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37</v>
      </c>
      <c r="X733" s="84"/>
      <c r="Y733" s="78">
        <f>SUM(E714:E733)</f>
        <v>36</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37</v>
      </c>
      <c r="X734" s="84"/>
      <c r="Y734" s="78">
        <f>SUM(E714:E734)</f>
        <v>36</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37</v>
      </c>
      <c r="X735" s="84"/>
      <c r="Y735" s="78">
        <f>SUM(E714:E735)</f>
        <v>36</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37</v>
      </c>
      <c r="X736" s="84"/>
      <c r="Y736" s="78">
        <f>SUM(E714:E736)</f>
        <v>36</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37</v>
      </c>
      <c r="X737" s="84"/>
      <c r="Y737" s="78">
        <f>SUM(E714:E737)</f>
        <v>36</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36</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17</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f>'Cable Calculator'!CP3</f>
        <v>160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321"/>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1"/>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1"/>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1"/>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1"/>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1"/>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1"/>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13310.77</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13348.990000000002</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600.71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400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52</v>
      </c>
      <c r="F2" s="186">
        <f t="shared" ref="F2:F5" si="0">PRODUCT(D2:E2)</f>
        <v>5831.8</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6</v>
      </c>
      <c r="J2" s="181">
        <f>COUNTIFS('Assignment Tool'!$E$17:$E$2050, "4",'Assignment Tool'!$F$17:$F$2050,"POLE", 'Assignment Tool'!$C$17:$C$2050, "FST",'Assignment Tool'!$K$17:$K$2050,"")</f>
        <v>34</v>
      </c>
      <c r="K2" s="180">
        <f>COUNTIFS('Assignment Tool'!$E$17:$E$2050, "4",'Assignment Tool'!$F$17:$F$2050,"PED", 'Assignment Tool'!$C$17:$C$2050, "FST",'Assignment Tool'!$K$17:$K$2050,"")</f>
        <v>0</v>
      </c>
      <c r="L2" s="180">
        <f>COUNTIFS('Assignment Tool'!$E$17:$E$2050, "4",'Assignment Tool'!$F$17:$F$2050,"HH", 'Assignment Tool'!$C$17:$C$2050, "FST",'Assignment Tool'!$K$17:$K$2050,"")</f>
        <v>12</v>
      </c>
      <c r="N2" s="181">
        <f>PRODUCT(SUM(G2,J2),D2)</f>
        <v>3813.1000000000004</v>
      </c>
      <c r="O2" s="180">
        <f>PRODUCT(SUM(H2:I2,K2:L2),D2)</f>
        <v>2018.7</v>
      </c>
      <c r="P2" s="183">
        <f>SUM(N2:N5,F11:F16,F27:F36,F43:F46,F51:F54,N88:N135)</f>
        <v>13348.990000000002</v>
      </c>
      <c r="Q2" s="182">
        <f>SUM(O2:O5,F17:F26,F37:F42,F47:F50,F55:F58,F60:F67,O88:O135)</f>
        <v>13310.77</v>
      </c>
      <c r="R2" s="126">
        <f>SUM(F69:F71)</f>
        <v>600.71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12</v>
      </c>
      <c r="F4" s="186">
        <f t="shared" si="0"/>
        <v>2037.2400000000002</v>
      </c>
      <c r="G4" s="181">
        <f>COUNTIFS('Assignment Tool'!$E$17:$E$2050, "8", 'Assignment Tool'!$F$17:$F$2050, "POLE", 'Assignment Tool'!$C$17:$C$2050, "FST",'Assignment Tool'!$K$17:$K$2050,"")</f>
        <v>11</v>
      </c>
      <c r="H4" s="180">
        <f>COUNTIFS('Assignment Tool'!$E$17:$E$2050, "8", 'Assignment Tool'!$F$17:$F$2050, "PED", 'Assignment Tool'!$C$17:$C$2050, "FST",'Assignment Tool'!$K$17:$K$2050,"")</f>
        <v>0</v>
      </c>
      <c r="I4" s="180">
        <f>COUNTIFS('Assignment Tool'!$E$17:$E$2050, "8", 'Assignment Tool'!$F$17:$F$2050, "HH", 'Assignment Tool'!$C$17:$C$2050, "FST",'Assignment Tool'!$K$17:$K$2050,"")</f>
        <v>1</v>
      </c>
      <c r="N4" s="181">
        <f t="shared" ref="N4:N5" si="2">PRODUCT(G4,D4)</f>
        <v>1867.47</v>
      </c>
      <c r="O4" s="180">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2</v>
      </c>
      <c r="F5" s="186">
        <f t="shared" si="0"/>
        <v>455.9</v>
      </c>
      <c r="G5" s="181">
        <f>COUNTIFS('Assignment Tool'!$E$17:$E$2050, "12", 'Assignment Tool'!$F$17:$F$2050, "POLE", 'Assignment Tool'!$C$17:$C$2050, "FST",'Assignment Tool'!$K$17:$K$2050,"")</f>
        <v>1</v>
      </c>
      <c r="H5" s="180">
        <f>COUNTIFS('Assignment Tool'!$E$17:$E$2050, "12", 'Assignment Tool'!$F$17:$F$2050, "PED", 'Assignment Tool'!$C$17:$C$2050, "FST",'Assignment Tool'!$K$17:$K$2050,"")</f>
        <v>0</v>
      </c>
      <c r="I5" s="180">
        <f>COUNTIFS('Assignment Tool'!$E$17:$E$2050, "12", 'Assignment Tool'!$F$17:$F$2050, "HH", 'Assignment Tool'!$C$17:$C$2050, "FST",'Assignment Tool'!$K$17:$K$2050,"")</f>
        <v>1</v>
      </c>
      <c r="N5" s="181">
        <f t="shared" si="2"/>
        <v>227.95</v>
      </c>
      <c r="O5" s="180">
        <f t="shared" si="3"/>
        <v>227.95</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0.5</v>
      </c>
      <c r="F11" s="181">
        <f>E11*D11</f>
        <v>123.59</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7</v>
      </c>
      <c r="F12" s="181">
        <f t="shared" ref="F12:F58" si="5">E12*D12</f>
        <v>1506.05</v>
      </c>
      <c r="Q12" s="21"/>
      <c r="R12" s="21"/>
      <c r="Y12" s="1">
        <v>72</v>
      </c>
      <c r="AA12" s="1">
        <f t="shared" si="4"/>
        <v>132</v>
      </c>
      <c r="AC12" s="1">
        <v>900</v>
      </c>
    </row>
    <row r="13" spans="1:29" x14ac:dyDescent="0.25">
      <c r="A13" s="181">
        <v>100083493</v>
      </c>
      <c r="B13" s="181"/>
      <c r="C13" s="181" t="s">
        <v>505</v>
      </c>
      <c r="D13" s="1">
        <v>183.1</v>
      </c>
      <c r="E13" s="162">
        <f>'Construction Exempt Material'!B19</f>
        <v>22</v>
      </c>
      <c r="F13" s="181">
        <f t="shared" si="5"/>
        <v>4028.2</v>
      </c>
      <c r="Q13" s="21"/>
      <c r="R13" s="21"/>
      <c r="Y13" s="1">
        <v>84</v>
      </c>
      <c r="AA13" s="1">
        <f t="shared" si="4"/>
        <v>144</v>
      </c>
      <c r="AC13" s="1">
        <v>1000</v>
      </c>
    </row>
    <row r="14" spans="1:29" x14ac:dyDescent="0.25">
      <c r="A14" s="181">
        <v>100089023</v>
      </c>
      <c r="B14" s="181"/>
      <c r="C14" s="181" t="s">
        <v>506</v>
      </c>
      <c r="D14" s="1">
        <v>247.18</v>
      </c>
      <c r="E14" s="162">
        <f>'Construction Exempt Material'!B20</f>
        <v>0.5</v>
      </c>
      <c r="F14" s="181">
        <f t="shared" si="5"/>
        <v>123.59</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5.5</v>
      </c>
      <c r="F17" s="180">
        <f t="shared" si="5"/>
        <v>1467.2349999999999</v>
      </c>
      <c r="Q17" s="21"/>
      <c r="Y17" s="1">
        <v>132</v>
      </c>
      <c r="AA17" s="1">
        <f t="shared" si="4"/>
        <v>192</v>
      </c>
    </row>
    <row r="18" spans="1:27" x14ac:dyDescent="0.25">
      <c r="A18" s="180">
        <v>100083594</v>
      </c>
      <c r="B18" s="180"/>
      <c r="C18" s="180" t="s">
        <v>510</v>
      </c>
      <c r="D18" s="1">
        <v>233.96</v>
      </c>
      <c r="E18" s="162">
        <f>'Construction Exempt Material'!B24</f>
        <v>6</v>
      </c>
      <c r="F18" s="180">
        <f t="shared" si="5"/>
        <v>1403.76</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24</v>
      </c>
      <c r="F20" s="180">
        <f t="shared" si="5"/>
        <v>4796.6400000000003</v>
      </c>
      <c r="AA20" s="1">
        <f t="shared" si="4"/>
        <v>228</v>
      </c>
    </row>
    <row r="21" spans="1:27" x14ac:dyDescent="0.25">
      <c r="A21" s="180">
        <v>200008456</v>
      </c>
      <c r="B21" s="180"/>
      <c r="C21" s="180" t="s">
        <v>513</v>
      </c>
      <c r="D21" s="1">
        <v>201.13</v>
      </c>
      <c r="E21" s="162">
        <f>'Construction Exempt Material'!B27</f>
        <v>6</v>
      </c>
      <c r="F21" s="180">
        <f t="shared" si="5"/>
        <v>1206.78</v>
      </c>
      <c r="AA21" s="1">
        <f t="shared" si="4"/>
        <v>240</v>
      </c>
    </row>
    <row r="22" spans="1:27" x14ac:dyDescent="0.25">
      <c r="A22" s="180">
        <v>100089396</v>
      </c>
      <c r="B22" s="180"/>
      <c r="C22" s="180" t="s">
        <v>514</v>
      </c>
      <c r="D22" s="1">
        <v>266.77</v>
      </c>
      <c r="E22" s="162">
        <f>'Construction Exempt Material'!B28</f>
        <v>0.5</v>
      </c>
      <c r="F22" s="180">
        <f t="shared" si="5"/>
        <v>133.38499999999999</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1</v>
      </c>
      <c r="F43" s="181">
        <f t="shared" si="5"/>
        <v>247.44</v>
      </c>
    </row>
    <row r="44" spans="1:6" x14ac:dyDescent="0.25">
      <c r="A44" s="181">
        <v>100088380</v>
      </c>
      <c r="B44" s="181"/>
      <c r="C44" s="181" t="s">
        <v>536</v>
      </c>
      <c r="D44" s="1">
        <v>494.87</v>
      </c>
      <c r="E44" s="162">
        <f>'Construction Exempt Material'!B50</f>
        <v>1</v>
      </c>
      <c r="F44" s="181">
        <f t="shared" si="5"/>
        <v>494.87</v>
      </c>
    </row>
    <row r="45" spans="1:6" x14ac:dyDescent="0.25">
      <c r="A45" s="181">
        <v>200002564</v>
      </c>
      <c r="B45" s="181"/>
      <c r="C45" s="181" t="s">
        <v>537</v>
      </c>
      <c r="D45" s="1">
        <v>742.32</v>
      </c>
      <c r="E45" s="162">
        <f>'Construction Exempt Material'!B51</f>
        <v>1</v>
      </c>
      <c r="F45" s="181">
        <f t="shared" si="5"/>
        <v>742.32</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1</v>
      </c>
      <c r="F50" s="180">
        <f t="shared" si="5"/>
        <v>1067.08</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19</v>
      </c>
      <c r="F61" s="180">
        <f t="shared" ref="F61:F67" si="6">E61*D61</f>
        <v>464.74</v>
      </c>
      <c r="G61" s="1">
        <f>SUM(I2:I4,L2,I88:I123,L88:L99,I61:I64)</f>
        <v>19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1</v>
      </c>
      <c r="F66" s="180">
        <f t="shared" si="6"/>
        <v>87.96</v>
      </c>
      <c r="G66" s="1">
        <f>SUM(I5,I124:I135,J61)</f>
        <v>1</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6</v>
      </c>
      <c r="F69" s="126">
        <f>E69*D69</f>
        <v>135.96</v>
      </c>
    </row>
    <row r="70" spans="1:16" x14ac:dyDescent="0.25">
      <c r="A70" s="1">
        <v>100069989</v>
      </c>
      <c r="B70" s="1" t="s">
        <v>565</v>
      </c>
      <c r="C70" s="1" t="s">
        <v>566</v>
      </c>
      <c r="D70" s="1">
        <v>0.65</v>
      </c>
      <c r="E70" s="1">
        <f>'Construction Exempt Material'!B69</f>
        <v>715</v>
      </c>
      <c r="F70" s="126">
        <f>E70*D70</f>
        <v>464.75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1</v>
      </c>
      <c r="G115" s="181">
        <f>COUNTIFS('Assignment Tool'!$E$17:$E$2050, "8", 'Assignment Tool'!$F$17:$F$2050, "POLE", 'Assignment Tool'!$C$17:$C$2050, "FST",'Assignment Tool'!$K$17:$K$2050,"200")</f>
        <v>1</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174.41</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E10" sqref="E10"/>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817</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12</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19</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1</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0.5</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7</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22</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0.5</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5.5</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6</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6</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0.5</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1</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715</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6</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BE27773F338E24882667BBB0808D4F5" ma:contentTypeVersion="6" ma:contentTypeDescription="Create a new document." ma:contentTypeScope="" ma:versionID="273437627bbc5fd7e1ec81a0e017bd50">
  <xsd:schema xmlns:xsd="http://www.w3.org/2001/XMLSchema" xmlns:xs="http://www.w3.org/2001/XMLSchema" xmlns:p="http://schemas.microsoft.com/office/2006/metadata/properties" xmlns:ns2="ea0a2d9d-c55f-462a-bbb3-9689c6d3ef5a" xmlns:ns3="52640b6a-3863-4978-8671-def655997e60" targetNamespace="http://schemas.microsoft.com/office/2006/metadata/properties" ma:root="true" ma:fieldsID="5306f66939636db90f7b165ccd272037" ns2:_="" ns3:_="">
    <xsd:import namespace="ea0a2d9d-c55f-462a-bbb3-9689c6d3ef5a"/>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0a2d9d-c55f-462a-bbb3-9689c6d3ef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5D63E6-1168-4F87-BD33-72E841EB87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0a2d9d-c55f-462a-bbb3-9689c6d3ef5a"/>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52640b6a-3863-4978-8671-def655997e60"/>
    <ds:schemaRef ds:uri="http://purl.org/dc/terms/"/>
    <ds:schemaRef ds:uri="http://schemas.openxmlformats.org/package/2006/metadata/core-properties"/>
    <ds:schemaRef ds:uri="ea0a2d9d-c55f-462a-bbb3-9689c6d3ef5a"/>
    <ds:schemaRef ds:uri="http://purl.org/dc/dcmitype/"/>
    <ds:schemaRef ds:uri="http://schemas.microsoft.com/office/infopath/2007/PartnerControls"/>
    <ds:schemaRef ds:uri="http://schemas.microsoft.com/office/2006/documentManagement/types"/>
    <ds:schemaRef ds:uri="http://schemas.microsoft.com/office/2006/metadata/properties"/>
    <ds:schemaRef ds:uri="http://www.w3.org/XML/1998/namespace"/>
    <ds:schemaRef ds:uri="http://purl.org/dc/elements/1.1/"/>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2024-06-13T20:53:54Z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0x010100EBE27773F338E24882667BBB0808D4F5</vt:lpwstr>
  </property>
</Properties>
</file>