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SHR-Yuliet\SHR-Yuliet\A055S08-ARAMIS\"/>
    </mc:Choice>
  </mc:AlternateContent>
  <xr:revisionPtr revIDLastSave="0" documentId="13_ncr:1_{FFF5EE89-54F1-42F2-9771-BB673A4401BF}" xr6:coauthVersionLast="47" xr6:coauthVersionMax="47" xr10:uidLastSave="{00000000-0000-0000-0000-000000000000}"/>
  <workbookProtection workbookAlgorithmName="SHA-512" workbookHashValue="gVQQrxLZ2u+5AYQqBekLPlb93q9Wv95oFEwBg16cqo3g05rKzZJOImucdpSpql0wvqUsdcC9UqRe4CfGN/Iscw==" workbookSaltValue="80MVfpeRSS8EgQBB6nD35Q==" workbookSpinCount="100000" lockStructure="1"/>
  <bookViews>
    <workbookView xWindow="-28920" yWindow="-120" windowWidth="29040" windowHeight="15840" tabRatio="769"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23" i="29"/>
  <c r="J122" i="29"/>
  <c r="J121" i="29"/>
  <c r="J120" i="29"/>
  <c r="J119" i="29"/>
  <c r="J118" i="29"/>
  <c r="J117" i="29"/>
  <c r="J116" i="29"/>
  <c r="J115"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AK471"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AA1148"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I1033" i="29"/>
  <c r="X1032" i="29"/>
  <c r="W1032" i="29"/>
  <c r="R1032" i="29"/>
  <c r="L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Z899" i="29" s="1"/>
  <c r="I898" i="29"/>
  <c r="H898" i="29"/>
  <c r="Y897" i="29"/>
  <c r="I897" i="29"/>
  <c r="H897" i="29"/>
  <c r="Y896" i="29"/>
  <c r="W896" i="29" s="1"/>
  <c r="I896" i="29"/>
  <c r="H896" i="29"/>
  <c r="Y895" i="29"/>
  <c r="W895" i="29" s="1"/>
  <c r="I895" i="29"/>
  <c r="H895" i="29"/>
  <c r="Y894" i="29"/>
  <c r="W894" i="29" s="1"/>
  <c r="AA897"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I633" i="29"/>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7" i="29"/>
  <c r="M627" i="29"/>
  <c r="I627" i="29"/>
  <c r="I632" i="29" s="1"/>
  <c r="H63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AA609"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I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I469" i="29"/>
  <c r="H469" i="29"/>
  <c r="I470" i="29" s="1"/>
  <c r="H470" i="29" s="1"/>
  <c r="I471" i="29" s="1"/>
  <c r="H471" i="29" s="1"/>
  <c r="I472" i="29" s="1"/>
  <c r="H472" i="29" s="1"/>
  <c r="I473" i="29" s="1"/>
  <c r="H473" i="29" s="1"/>
  <c r="I474" i="29" s="1"/>
  <c r="H474" i="29" s="1"/>
  <c r="I475" i="29" s="1"/>
  <c r="H475" i="29" s="1"/>
  <c r="I476" i="29" s="1"/>
  <c r="H476" i="29" s="1"/>
  <c r="I477" i="29" s="1"/>
  <c r="H477" i="29" s="1"/>
  <c r="I478" i="29" s="1"/>
  <c r="H478" i="29" s="1"/>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AA163"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35" i="29" l="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J61" i="2" l="1"/>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3" i="34" s="1"/>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3" i="34" s="1"/>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3" i="34" s="1"/>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C3" i="34" l="1"/>
  <c r="FC2" i="34" s="1"/>
  <c r="EN3" i="34"/>
  <c r="L1157" i="29" s="1"/>
  <c r="DY3" i="34"/>
  <c r="L1034" i="29" s="1"/>
  <c r="DT3" i="34"/>
  <c r="DT2" i="34" s="1"/>
  <c r="DE3" i="34"/>
  <c r="L870" i="29" s="1"/>
  <c r="CZ3" i="34"/>
  <c r="CZ2" i="34" s="1"/>
  <c r="CU3" i="34"/>
  <c r="L788" i="29" s="1"/>
  <c r="CP3" i="34"/>
  <c r="CP2" i="34" s="1"/>
  <c r="CK3" i="34"/>
  <c r="CK2" i="34" s="1"/>
  <c r="BV3" i="34"/>
  <c r="BV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AW3" i="34" s="1"/>
  <c r="O5" i="34"/>
  <c r="AI5" i="34"/>
  <c r="BG3" i="34"/>
  <c r="BG2" i="34" s="1"/>
  <c r="BC5" i="34"/>
  <c r="BM5" i="34"/>
  <c r="BL3" i="34" s="1"/>
  <c r="AS5" i="34"/>
  <c r="AR3" i="34" s="1"/>
  <c r="Y5" i="34"/>
  <c r="AI3" i="34"/>
  <c r="AD3" i="34"/>
  <c r="T5" i="34"/>
  <c r="Y3" i="34"/>
  <c r="AN3" i="34"/>
  <c r="AM3" i="34" s="1"/>
  <c r="AD5" i="34"/>
  <c r="T3" i="34"/>
  <c r="O3" i="34"/>
  <c r="J3" i="34"/>
  <c r="I3" i="34" s="1"/>
  <c r="IP3" i="34"/>
  <c r="IO3" i="34" s="1"/>
  <c r="IO2" i="34" s="1"/>
  <c r="E12" i="29"/>
  <c r="E7" i="29"/>
  <c r="E9" i="34"/>
  <c r="E7" i="34"/>
  <c r="E6" i="34" s="1"/>
  <c r="L1321" i="29" l="1"/>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N2" i="34" l="1"/>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404" i="29" l="1"/>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W582" i="29"/>
  <c r="AU582" i="29"/>
  <c r="AV581" i="29"/>
  <c r="AW583" i="29"/>
  <c r="AU581" i="29"/>
  <c r="AW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B23" i="1" s="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S255" i="29"/>
  <c r="AS253" i="29"/>
  <c r="AS581" i="29"/>
  <c r="AX581" i="29" s="1"/>
  <c r="AS583" i="29"/>
  <c r="AX583" i="29" s="1"/>
  <c r="AS582" i="29"/>
  <c r="AX582" i="29" s="1"/>
  <c r="AS132" i="29"/>
  <c r="AU132" i="29" s="1"/>
  <c r="AS131" i="29"/>
  <c r="AU131" i="29" s="1"/>
  <c r="AS130" i="29"/>
  <c r="AU130" i="29" s="1"/>
  <c r="AS295" i="29"/>
  <c r="AV295" i="29" s="1"/>
  <c r="AS296" i="29"/>
  <c r="AV296" i="29" s="1"/>
  <c r="AS294" i="29"/>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E792" i="29" l="1"/>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B10" i="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<sst xmlns="http://schemas.openxmlformats.org/spreadsheetml/2006/main" count="7748" uniqueCount="763">
  <si>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</si>
  <si>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</si>
  <si>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</si>
  <si>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</si>
  <si>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</si>
  <si>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</si>
  <si>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</si>
  <si>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</si>
  <si>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</si>
  <si>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</si>
  <si>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</si>
  <si>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</si>
  <si>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</si>
  <si>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</si>
  <si>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</si>
  <si>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</si>
  <si>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</si>
  <si>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</si>
  <si>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</si>
  <si>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</si>
  <si>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</si>
  <si>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</si>
  <si>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</si>
  <si>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</si>
  <si>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</si>
  <si>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</si>
  <si>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</si>
  <si>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</si>
  <si>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</si>
  <si>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</si>
  <si>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</si>
  <si>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</si>
  <si>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</si>
  <si>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</si>
  <si>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</si>
  <si>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</si>
  <si>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</si>
  <si>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</si>
  <si>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</si>
  <si>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</si>
  <si>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</si>
  <si>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</si>
  <si>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</si>
  <si>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</si>
  <si>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</si>
  <si>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</si>
  <si>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</si>
  <si>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</si>
  <si>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</si>
  <si>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</si>
  <si>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</si>
  <si>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</si>
  <si>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</si>
  <si>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</si>
  <si>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</si>
  <si>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</si>
  <si>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</si>
  <si>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</si>
  <si>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</si>
  <si>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</si>
  <si>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</si>
  <si>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</si>
  <si>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</si>
  <si>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</si>
  <si>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</si>
  <si>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</si>
  <si>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</si>
  <si>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</si>
  <si>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</si>
  <si>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</si>
  <si>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</si>
  <si>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</si>
  <si>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</si>
  <si>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</si>
  <si>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</si>
  <si>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</si>
  <si>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</si>
  <si>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</si>
  <si>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</si>
  <si>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</si>
  <si>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</si>
  <si>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</si>
  <si>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</si>
  <si>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</si>
  <si>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</si>
  <si>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</si>
  <si>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</si>
  <si>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</si>
  <si>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</si>
  <si>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</si>
  <si>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</si>
  <si>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</si>
  <si>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</si>
  <si>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</si>
  <si>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</si>
  <si>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</si>
  <si>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</si>
  <si>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</si>
  <si>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</si>
  <si>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</si>
  <si>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</si>
  <si>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</si>
  <si>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</si>
  <si>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</si>
  <si>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</si>
  <si>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</si>
  <si>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</si>
  <si>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</si>
  <si>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</si>
  <si>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</si>
  <si>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</si>
  <si>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</si>
  <si>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</si>
  <si>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</si>
  <si>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</si>
  <si>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</si>
  <si>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</si>
  <si>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</si>
  <si>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</si>
  <si>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</si>
  <si>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</si>
  <si>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</si>
  <si>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</si>
  <si>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</si>
  <si>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</si>
  <si>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</si>
  <si>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</si>
  <si>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</si>
  <si>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</si>
  <si>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</si>
  <si>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</si>
  <si>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</si>
  <si>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</si>
  <si>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</si>
  <si>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</si>
  <si>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</si>
  <si>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</si>
  <si>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</si>
  <si>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</si>
  <si>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</si>
  <si>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</si>
  <si>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</si>
  <si>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</si>
  <si>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</si>
  <si>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</si>
  <si>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</si>
  <si>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</si>
  <si>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</si>
  <si>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</si>
  <si>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</si>
  <si>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</si>
  <si>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</si>
  <si>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</si>
  <si>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</si>
  <si>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</si>
  <si>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</si>
  <si>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</si>
  <si>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</si>
  <si>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</si>
  <si>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</si>
  <si>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</si>
  <si>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</si>
  <si>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</si>
  <si>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</si>
  <si>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</si>
  <si>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</si>
  <si>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</si>
  <si>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</si>
  <si>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</si>
  <si>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</si>
  <si>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</si>
  <si>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</si>
  <si>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</si>
  <si>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</si>
  <si>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</si>
  <si>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</si>
  <si>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</si>
  <si>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</si>
  <si>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</si>
  <si>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</si>
  <si>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</si>
  <si>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</si>
  <si>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</si>
  <si>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</si>
  <si>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</si>
  <si>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</si>
  <si>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</si>
  <si>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</si>
  <si>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</si>
  <si>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</si>
  <si>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</si>
  <si>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</si>
  <si>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</si>
  <si>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</si>
  <si>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</si>
  <si>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</si>
  <si>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</si>
  <si>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</si>
  <si>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</si>
  <si>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</si>
  <si>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</si>
  <si>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</si>
  <si>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</si>
  <si>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</si>
  <si>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</si>
  <si>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</si>
  <si>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</si>
  <si>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</si>
  <si>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</si>
  <si>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</si>
  <si>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</si>
  <si>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</si>
  <si>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</si>
  <si>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</si>
  <si>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</si>
  <si>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</si>
  <si>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</si>
  <si>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</si>
  <si>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</si>
  <si>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</si>
  <si>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</si>
  <si>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</si>
  <si>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</si>
  <si>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</si>
  <si>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</si>
  <si>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</si>
  <si>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</si>
  <si>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</si>
  <si>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</si>
  <si>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</si>
  <si>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</si>
  <si>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</si>
  <si>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</si>
  <si>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</si>
  <si>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</si>
  <si>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</si>
  <si>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</si>
  <si>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</si>
  <si>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</si>
  <si>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</si>
  <si>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</si>
  <si>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</si>
  <si>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</si>
  <si>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</si>
  <si>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</si>
  <si>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</si>
  <si>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</si>
  <si>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</si>
  <si>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</si>
  <si>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</si>
  <si>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</si>
  <si>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</si>
  <si>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</si>
  <si>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</si>
  <si>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</si>
  <si>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</si>
  <si>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</si>
  <si>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</si>
  <si>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</si>
  <si>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</si>
  <si>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</si>
  <si>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</si>
  <si>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</si>
  <si>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</si>
  <si>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</si>
  <si>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</si>
  <si>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</si>
  <si>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</si>
  <si>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</si>
  <si>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</si>
  <si>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</si>
  <si>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</si>
  <si>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</si>
  <si>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</si>
  <si>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</si>
  <si>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</si>
  <si>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</si>
  <si>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</si>
  <si>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</si>
  <si>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</si>
  <si>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</si>
  <si>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</si>
  <si>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</si>
  <si>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</si>
  <si>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</si>
  <si>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</si>
  <si>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</si>
  <si>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</si>
  <si>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</si>
  <si>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</si>
  <si>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</si>
  <si>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</si>
  <si>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</si>
  <si>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</si>
  <si>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</si>
  <si>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</si>
  <si>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</si>
  <si>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</si>
  <si>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</si>
  <si>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</si>
  <si>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</si>
  <si>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</si>
  <si>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</si>
  <si>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</si>
  <si>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</si>
  <si>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</si>
  <si>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</si>
  <si>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</si>
  <si>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</si>
  <si>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</si>
  <si>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</si>
  <si>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</si>
  <si>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</si>
  <si>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</si>
  <si>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</si>
  <si>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</si>
  <si>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</si>
  <si>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</si>
  <si>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</si>
  <si>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</si>
  <si>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</si>
  <si>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</si>
  <si>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</si>
  <si>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</si>
  <si>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</si>
  <si>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</si>
  <si>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</si>
  <si>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</si>
  <si>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</si>
  <si>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</si>
  <si>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</si>
  <si>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</si>
  <si>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</si>
  <si>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</si>
  <si>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</si>
  <si>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</si>
  <si>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</si>
  <si>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</si>
  <si>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</si>
  <si>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</si>
  <si>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</si>
  <si>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</si>
  <si>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</si>
  <si>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</si>
  <si>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</si>
  <si>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</si>
  <si>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</si>
  <si>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</si>
  <si>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</si>
  <si>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</si>
  <si>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</si>
  <si>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</si>
  <si>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</si>
  <si>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</si>
  <si>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</si>
  <si>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</si>
  <si>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</si>
  <si>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</si>
  <si>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</si>
  <si>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</si>
  <si>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</si>
  <si>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</si>
  <si>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</si>
  <si>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</si>
  <si>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</si>
  <si>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</si>
  <si>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</si>
  <si>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</si>
  <si>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</si>
  <si>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</si>
  <si>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</si>
  <si>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</si>
  <si>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</si>
  <si>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</si>
  <si>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</si>
  <si>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</si>
  <si>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</si>
  <si>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</si>
  <si>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</si>
  <si>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</si>
  <si>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</si>
  <si>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</si>
  <si>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</si>
  <si>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</si>
  <si>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</si>
  <si>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</si>
  <si>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</si>
  <si>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</si>
  <si>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</si>
  <si>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</si>
  <si>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</si>
  <si>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</si>
  <si>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</si>
  <si>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</si>
  <si>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</si>
  <si>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</si>
  <si>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</si>
  <si>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</si>
  <si>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</si>
  <si>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</si>
  <si>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</si>
  <si>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</si>
  <si>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</si>
  <si>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</si>
  <si>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</si>
  <si>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</si>
  <si>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</si>
  <si>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</si>
  <si>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</si>
  <si>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</si>
  <si>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</si>
  <si>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</si>
  <si>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</si>
  <si>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</si>
  <si>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</si>
  <si>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</si>
  <si>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</si>
  <si>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</si>
  <si>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</si>
  <si>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</si>
  <si>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</si>
  <si>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</si>
  <si>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</si>
  <si>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</si>
  <si>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</si>
  <si>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</si>
  <si>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</si>
  <si>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</si>
  <si>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</si>
  <si>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</si>
  <si>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</si>
  <si>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</si>
  <si>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</si>
  <si>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</si>
  <si>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</si>
  <si>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</si>
  <si>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</si>
  <si>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</si>
  <si>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</si>
  <si>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</si>
  <si>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</si>
  <si>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</si>
  <si>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</si>
  <si>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</si>
  <si>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</si>
  <si>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</si>
  <si>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</si>
  <si>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</si>
  <si>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</si>
  <si>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</si>
  <si>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</si>
  <si>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</si>
  <si>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</si>
  <si>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</si>
  <si>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</si>
  <si>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</si>
  <si>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</si>
  <si>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</si>
  <si>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</si>
  <si>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</si>
  <si>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</si>
  <si>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</si>
  <si>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</si>
  <si>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</si>
  <si>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</si>
  <si>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</si>
  <si>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</si>
  <si>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</si>
  <si>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</si>
  <si>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</si>
  <si>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</si>
  <si>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</si>
  <si>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</si>
  <si>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</si>
  <si>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</si>
  <si>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</si>
  <si>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</si>
  <si>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</si>
  <si>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</si>
  <si>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</si>
  <si>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</si>
  <si>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</si>
  <si>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</si>
  <si>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</si>
  <si>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</si>
  <si>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</si>
  <si>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</si>
  <si>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</si>
  <si>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</si>
  <si>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</si>
  <si>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</si>
  <si>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</si>
  <si>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</si>
  <si>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</si>
  <si>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</si>
  <si>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</si>
  <si>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</si>
  <si>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</si>
  <si>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</si>
  <si>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</si>
  <si>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</si>
  <si>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</si>
  <si>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</si>
  <si>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</si>
  <si>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</si>
  <si>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</si>
  <si>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</si>
  <si>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</si>
  <si>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</si>
  <si>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</si>
  <si>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</si>
  <si>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</si>
  <si>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</si>
  <si>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</si>
  <si>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</si>
  <si>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</si>
  <si>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</si>
  <si>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</si>
  <si>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</si>
  <si>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</si>
  <si>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</si>
  <si>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</si>
  <si>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</si>
  <si>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</si>
  <si>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</si>
  <si>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</si>
  <si>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</si>
  <si>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</si>
  <si>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</si>
  <si>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</si>
  <si>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</si>
  <si>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</si>
  <si>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</si>
  <si>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</si>
  <si>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</si>
  <si>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</si>
  <si>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</si>
  <si>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</si>
  <si>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</si>
  <si>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</si>
  <si>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</si>
  <si>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</si>
  <si>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</si>
  <si>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</si>
  <si>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</si>
  <si>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</si>
  <si>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</si>
  <si>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</si>
  <si>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</si>
  <si>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</si>
  <si>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</si>
  <si>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</si>
  <si>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</si>
  <si>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</si>
  <si>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</si>
  <si>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</si>
  <si>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</si>
  <si>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</si>
  <si>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</si>
  <si>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</si>
  <si>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</si>
  <si>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</si>
  <si>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</si>
  <si>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</si>
  <si>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</si>
  <si>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</si>
  <si>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</si>
  <si>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</si>
  <si>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</si>
  <si>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</si>
  <si>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</si>
  <si>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</si>
  <si>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</si>
  <si>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</si>
  <si>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</si>
  <si>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</si>
  <si>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</si>
  <si>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</si>
  <si>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</si>
  <si>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</si>
  <si>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</si>
  <si>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</si>
  <si>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</si>
  <si>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</si>
  <si>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</si>
  <si>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</si>
  <si>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</si>
  <si>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</si>
  <si>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</si>
  <si>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</si>
  <si>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</si>
  <si>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</si>
  <si>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</si>
  <si>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</si>
  <si>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</si>
  <si>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</si>
  <si>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</si>
  <si>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</si>
  <si>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</si>
  <si>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</si>
  <si>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</si>
  <si>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</si>
  <si>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</si>
  <si>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</si>
  <si>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</si>
  <si>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</si>
  <si>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</si>
  <si>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</si>
  <si>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</si>
  <si>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</si>
  <si>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</si>
  <si>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</si>
  <si>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</si>
  <si>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</si>
  <si>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</si>
  <si>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</si>
  <si>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</si>
  <si>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</si>
  <si>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</si>
  <si>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</si>
  <si>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</si>
  <si>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</si>
  <si>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</si>
  <si>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</si>
  <si>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</si>
  <si>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</si>
  <si>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</si>
  <si>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</si>
  <si>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</si>
  <si>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</si>
  <si>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</si>
  <si>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</si>
  <si>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</si>
  <si>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</si>
  <si>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</si>
  <si>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</si>
  <si>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</si>
  <si>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</si>
  <si>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</si>
  <si>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</si>
  <si>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</si>
  <si>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</si>
  <si>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</si>
  <si>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</si>
  <si>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</si>
  <si>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</si>
  <si>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</si>
  <si>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</si>
  <si>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</si>
  <si>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</si>
  <si>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</si>
  <si>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</si>
  <si>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</si>
  <si>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</si>
  <si>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</si>
  <si>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</si>
  <si>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</si>
  <si>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</si>
  <si>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</si>
  <si>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</si>
  <si>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</si>
  <si>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</si>
  <si>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</si>
  <si>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</si>
  <si>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</si>
  <si>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</si>
  <si>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</si>
  <si>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</si>
  <si>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</si>
  <si>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</si>
  <si>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</si>
  <si>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</si>
  <si>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</si>
  <si>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</si>
  <si>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</si>
  <si>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</si>
  <si>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</si>
  <si>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</si>
  <si>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</si>
  <si>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</si>
  <si>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</si>
  <si>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</si>
  <si>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</si>
  <si>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</si>
  <si>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</si>
  <si>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</si>
  <si>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</si>
  <si>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</si>
  <si>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</si>
  <si>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</si>
  <si>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</si>
  <si>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</si>
  <si>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</si>
  <si>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</si>
  <si>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</si>
  <si>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</si>
  <si>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</si>
  <si>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</si>
  <si>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</si>
  <si>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</si>
  <si>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</si>
  <si>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</si>
  <si>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</si>
  <si>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</si>
  <si>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</si>
  <si>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</si>
  <si>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</si>
  <si>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</si>
  <si>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</si>
  <si>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</si>
  <si>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</si>
  <si>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</si>
  <si>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</si>
  <si>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</si>
  <si>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</si>
  <si>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</si>
  <si>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</si>
  <si>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</si>
  <si>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</si>
  <si>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</si>
  <si>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</si>
  <si>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</si>
  <si>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</si>
  <si>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</si>
  <si>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</si>
  <si>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</si>
  <si>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</si>
  <si>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</si>
  <si>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</si>
  <si>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</si>
  <si>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</si>
  <si>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4709-1 NW 114TH DR</t>
  </si>
  <si>
    <t>F 4715-1 NW 114TH DR</t>
  </si>
  <si>
    <t>F 4727-1 NW 114TH DR</t>
  </si>
  <si>
    <t>F 4739-1 NW 114TH DR</t>
  </si>
  <si>
    <t>F 11301-1 NW 49TH DR</t>
  </si>
  <si>
    <t>F 11325-1 NW 49TH DR</t>
  </si>
  <si>
    <t>F 11311-1 NW 49TH DR</t>
  </si>
  <si>
    <t>F 11337-1 NW 49TH DR</t>
  </si>
  <si>
    <t>F 11349-1 NW 49TH DR</t>
  </si>
  <si>
    <t>F 11361-1 NW 49TH DR</t>
  </si>
  <si>
    <t>F 11373-1 NW 49TH DR</t>
  </si>
  <si>
    <t>F 11409-1 NW 49TH DR</t>
  </si>
  <si>
    <t>F 11421-1 NW 49TH DR</t>
  </si>
  <si>
    <t>F 11433-1 NW 49TH DR</t>
  </si>
  <si>
    <t>F 11428-1 NW 49TH DR</t>
  </si>
  <si>
    <t>F 11445-1 NW 49TH DR</t>
  </si>
  <si>
    <t>F 11457-1 NW 49TH DR</t>
  </si>
  <si>
    <t>F 11469-1 NW 49TH DR</t>
  </si>
  <si>
    <t>F 4723-1 NW 114TH LN</t>
  </si>
  <si>
    <t>F 4755-1 NW 114TH LN</t>
  </si>
  <si>
    <t>F 11405-1 NW 48TH CT</t>
  </si>
  <si>
    <t>F 11417-1 NW 48TH CT</t>
  </si>
  <si>
    <t>F 11429-1 NW 48TH CT</t>
  </si>
  <si>
    <t>F 11441-1 NW 48TH CT</t>
  </si>
  <si>
    <t>F 11453-1 NW 48TH CT</t>
  </si>
  <si>
    <t>F 11448-1 NW 48TH CT</t>
  </si>
  <si>
    <t>F 11465-1 NW 48TH CT</t>
  </si>
  <si>
    <t>F 11477-1 NW 48TH CT</t>
  </si>
  <si>
    <t>A055S08</t>
  </si>
  <si>
    <t>4620 CORAL RIDGE DR</t>
  </si>
  <si>
    <t>1421PA</t>
  </si>
  <si>
    <t>PON1421PA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</si>
</sst>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1">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0" dataDxfId="1618" headerRowBorderDxfId="1619" tableBorderDxfId="1617" totalsRowBorderDxfId="1616">
  <autoFilter ref="A1:AP499" xr:uid="{00000000-0009-0000-0100-000003000000}"/>
  <tableColumns count="42">
    <tableColumn id="1" xr3:uid="{00000000-0010-0000-0000-000001000000}" name="DWG#" dataDxfId="1615"/>
    <tableColumn id="61" xr3:uid="{00000000-0010-0000-0000-00003D000000}" name="10x15 HH" dataDxfId="1614"/>
    <tableColumn id="9" xr3:uid="{00000000-0010-0000-0000-000009000000}" name="IDUCT 1" dataDxfId="1613"/>
    <tableColumn id="10" xr3:uid="{00000000-0010-0000-0000-00000A000000}" name="IDUCT 2" dataDxfId="1612"/>
    <tableColumn id="11" xr3:uid="{00000000-0010-0000-0000-00000B000000}" name="IDUCT 3" dataDxfId="1611"/>
    <tableColumn id="12" xr3:uid="{00000000-0010-0000-0000-00000C000000}" name="IDUCT 4" dataDxfId="1610"/>
    <tableColumn id="13" xr3:uid="{00000000-0010-0000-0000-00000D000000}" name="IDUCT 5" dataDxfId="1609"/>
    <tableColumn id="14" xr3:uid="{00000000-0010-0000-0000-00000E000000}" name="IDUCT 6" dataDxfId="1608"/>
    <tableColumn id="15" xr3:uid="{00000000-0010-0000-0000-00000F000000}" name="IDUCT 7" dataDxfId="1607"/>
    <tableColumn id="16" xr3:uid="{00000000-0010-0000-0000-000010000000}" name="IDUCT 8" dataDxfId="1606"/>
    <tableColumn id="17" xr3:uid="{00000000-0010-0000-0000-000011000000}" name="IDUCT 9" dataDxfId="1605"/>
    <tableColumn id="18" xr3:uid="{00000000-0010-0000-0000-000012000000}" name="IDUCT 10" dataDxfId="1604"/>
    <tableColumn id="19" xr3:uid="{00000000-0010-0000-0000-000013000000}" name="IDUCT 11" dataDxfId="1603"/>
    <tableColumn id="20" xr3:uid="{00000000-0010-0000-0000-000014000000}" name="IDUCT 12" dataDxfId="1602"/>
    <tableColumn id="21" xr3:uid="{00000000-0010-0000-0000-000015000000}" name="IDUCT 13" dataDxfId="1601"/>
    <tableColumn id="22" xr3:uid="{00000000-0010-0000-0000-000016000000}" name="IDUCT 14" dataDxfId="1600"/>
    <tableColumn id="23" xr3:uid="{00000000-0010-0000-0000-000017000000}" name="IDUCT 15" dataDxfId="1599"/>
    <tableColumn id="24" xr3:uid="{00000000-0010-0000-0000-000018000000}" name="IDUCT 16" dataDxfId="1598"/>
    <tableColumn id="25" xr3:uid="{00000000-0010-0000-0000-000019000000}" name="IDUCT 17" dataDxfId="1597"/>
    <tableColumn id="26" xr3:uid="{00000000-0010-0000-0000-00001A000000}" name="IDUCT 18" dataDxfId="1596"/>
    <tableColumn id="27" xr3:uid="{00000000-0010-0000-0000-00001B000000}" name="IDUCT 19" dataDxfId="1595"/>
    <tableColumn id="28" xr3:uid="{00000000-0010-0000-0000-00001C000000}" name="IDUCT 20" dataDxfId="1594"/>
    <tableColumn id="29" xr3:uid="{00000000-0010-0000-0000-00001D000000}" name="Pullback IDUCT 1" dataDxfId="1593"/>
    <tableColumn id="30" xr3:uid="{00000000-0010-0000-0000-00001E000000}" name="Pullback IDUCT 2" dataDxfId="1592"/>
    <tableColumn id="31" xr3:uid="{00000000-0010-0000-0000-00001F000000}" name="Pullback IDUCT 3" dataDxfId="1591"/>
    <tableColumn id="32" xr3:uid="{00000000-0010-0000-0000-000020000000}" name="Pullback IDUCT 4" dataDxfId="1590"/>
    <tableColumn id="33" xr3:uid="{00000000-0010-0000-0000-000021000000}" name="Pullback IDUCT 5" dataDxfId="1589"/>
    <tableColumn id="34" xr3:uid="{00000000-0010-0000-0000-000022000000}" name="Pullback IDUCT 6" dataDxfId="1588"/>
    <tableColumn id="35" xr3:uid="{00000000-0010-0000-0000-000023000000}" name="Pullback IDUCT 7" dataDxfId="1587"/>
    <tableColumn id="36" xr3:uid="{00000000-0010-0000-0000-000024000000}" name="Pullback IDUCT 8" dataDxfId="1586"/>
    <tableColumn id="37" xr3:uid="{00000000-0010-0000-0000-000025000000}" name="Pullback IDUCT 9" dataDxfId="1585"/>
    <tableColumn id="38" xr3:uid="{00000000-0010-0000-0000-000026000000}" name="Pullback IDUCT 10" dataDxfId="1584"/>
    <tableColumn id="49" xr3:uid="{00000000-0010-0000-0000-000031000000}" name="ROD Duct 1" dataDxfId="1583"/>
    <tableColumn id="50" xr3:uid="{00000000-0010-0000-0000-000032000000}" name="ROD Duct 2" dataDxfId="1582"/>
    <tableColumn id="51" xr3:uid="{00000000-0010-0000-0000-000033000000}" name="ROD Duct 3" dataDxfId="1581"/>
    <tableColumn id="52" xr3:uid="{00000000-0010-0000-0000-000034000000}" name="ROD Duct 4" dataDxfId="1580"/>
    <tableColumn id="53" xr3:uid="{00000000-0010-0000-0000-000035000000}" name="ROD Duct 5" dataDxfId="1579"/>
    <tableColumn id="54" xr3:uid="{00000000-0010-0000-0000-000036000000}" name="ROD Duct 6" dataDxfId="1578"/>
    <tableColumn id="55" xr3:uid="{00000000-0010-0000-0000-000037000000}" name="ROD Duct 7" dataDxfId="1577"/>
    <tableColumn id="56" xr3:uid="{00000000-0010-0000-0000-000038000000}" name="ROD Duct 8" dataDxfId="1576"/>
    <tableColumn id="57" xr3:uid="{00000000-0010-0000-0000-000039000000}" name="ROD Duct 9" dataDxfId="1575"/>
    <tableColumn id="58" xr3:uid="{00000000-0010-0000-0000-00003A000000}" name="ROD Duct 10" dataDxfId="15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4709-1 NW 114TH DR</v>
      </c>
      <c r="B1" s="118"/>
      <c r="C1" s="118"/>
      <c r="D1" s="118"/>
      <c r="E1" s="118"/>
      <c r="G1" t="str">
        <f>IF('Assignment Tool'!C1="","",IF('Assignment Tool'!C1="FST",'Assignment Tool'!D1,""))</f>
        <v/>
      </c>
      <c r="H1">
        <v>1</v>
      </c>
      <c r="I1">
        <v>1</v>
      </c>
      <c r="J1" t="str">
        <f t="array" ref="J1">IFERROR(INDEX($G$2:$G$2050,_xlfn.AGGREGATE(15,6,(ROW($G$2:$G$2050)-ROW($G$2)+1)/($G$2:$G$2050&lt;&gt;""),ROWS(J$1:J1))),"")</f>
        <v>F 4709-1 NW 114TH DR</v>
      </c>
      <c r="K1">
        <f>IF(J1="","",INDEX('Assignment Tool'!E17:E2050,MATCH(FA_DATA!J1,'Assignment Tool'!D17:D2050,0)))</f>
        <v>2</v>
      </c>
    </row>
    <row r="2" spans="1:11" x14ac:dyDescent="0.25">
      <c r="A2" s="118" t="str">
        <f t="shared" ref="A2:A65" si="0">VLOOKUP(H2,$I$1:$J$1000,2)</f>
        <v>F 4709-1 NW 114TH DR</v>
      </c>
      <c r="G2" t="str">
        <f>IF('Assignment Tool'!C2="","",IF('Assignment Tool'!C2="FST",'Assignment Tool'!D2,""))</f>
        <v/>
      </c>
      <c r="H2">
        <v>2</v>
      </c>
      <c r="I2">
        <f>IFERROR((I1+K1),"")</f>
        <v>3</v>
      </c>
      <c r="J2" t="str">
        <f t="array" ref="J2">IFERROR(INDEX($G$2:$G$2050,_xlfn.AGGREGATE(15,6,(ROW($G$2:$G$2050)-ROW($G$2)+1)/($G$2:$G$2050&lt;&gt;""),ROWS(J$1:J2))),"")</f>
        <v>F 4715-1 NW 114TH DR</v>
      </c>
      <c r="K2">
        <f>IF(J2="","",INDEX('Assignment Tool'!E18:E2051,MATCH(FA_DATA!J2,'Assignment Tool'!D18:D2051,0)))</f>
        <v>2</v>
      </c>
    </row>
    <row r="3" spans="1:11" x14ac:dyDescent="0.25">
      <c r="A3" s="118" t="str">
        <f t="shared" si="0"/>
        <v>F 4715-1 NW 114TH DR</v>
      </c>
      <c r="G3" t="str">
        <f>IF('Assignment Tool'!C3="","",IF('Assignment Tool'!C3="FST",'Assignment Tool'!D3,""))</f>
        <v/>
      </c>
      <c r="H3">
        <v>3</v>
      </c>
      <c r="I3">
        <f t="shared" ref="I3:I66" si="1">IFERROR((I2+K2),"")</f>
        <v>5</v>
      </c>
      <c r="J3" t="str">
        <f t="array" ref="J3">IFERROR(INDEX($G$2:$G$2050,_xlfn.AGGREGATE(15,6,(ROW($G$2:$G$2050)-ROW($G$2)+1)/($G$2:$G$2050&lt;&gt;""),ROWS(J$1:J3))),"")</f>
        <v>F 4727-1 NW 114TH DR</v>
      </c>
      <c r="K3">
        <f>IF(J3="","",INDEX('Assignment Tool'!E19:E2052,MATCH(FA_DATA!J3,'Assignment Tool'!D19:D2052,0)))</f>
        <v>6</v>
      </c>
    </row>
    <row r="4" spans="1:11" x14ac:dyDescent="0.25">
      <c r="A4" s="118" t="str">
        <f t="shared" si="0"/>
        <v>F 4715-1 NW 114TH DR</v>
      </c>
      <c r="G4" t="str">
        <f>IF('Assignment Tool'!C4="","",IF('Assignment Tool'!C4="FST",'Assignment Tool'!D4,""))</f>
        <v/>
      </c>
      <c r="H4">
        <v>4</v>
      </c>
      <c r="I4">
        <f t="shared" si="1"/>
        <v>11</v>
      </c>
      <c r="J4" t="str">
        <f t="array" ref="J4">IFERROR(INDEX($G$2:$G$2050,_xlfn.AGGREGATE(15,6,(ROW($G$2:$G$2050)-ROW($G$2)+1)/($G$2:$G$2050&lt;&gt;""),ROWS(J$1:J4))),"")</f>
        <v>F 4739-1 NW 114TH DR</v>
      </c>
      <c r="K4">
        <f>IF(J4="","",INDEX('Assignment Tool'!E20:E2053,MATCH(FA_DATA!J4,'Assignment Tool'!D20:D2053,0)))</f>
        <v>2</v>
      </c>
    </row>
    <row r="5" spans="1:11" x14ac:dyDescent="0.25">
      <c r="A5" s="118" t="str">
        <f t="shared" si="0"/>
        <v>F 4727-1 NW 114TH DR</v>
      </c>
      <c r="G5" t="str">
        <f>IF('Assignment Tool'!C5="","",IF('Assignment Tool'!C5="FST",'Assignment Tool'!D5,""))</f>
        <v/>
      </c>
      <c r="H5">
        <v>5</v>
      </c>
      <c r="I5">
        <f t="shared" si="1"/>
        <v>13</v>
      </c>
      <c r="J5" t="str">
        <f t="array" ref="J5">IFERROR(INDEX($G$2:$G$2050,_xlfn.AGGREGATE(15,6,(ROW($G$2:$G$2050)-ROW($G$2)+1)/($G$2:$G$2050&lt;&gt;""),ROWS(J$1:J5))),"")</f>
        <v>F 11301-1 NW 49TH DR</v>
      </c>
      <c r="K5">
        <f>IF(J5="","",INDEX('Assignment Tool'!E21:E2054,MATCH(FA_DATA!J5,'Assignment Tool'!D21:D2054,0)))</f>
        <v>2</v>
      </c>
    </row>
    <row r="6" spans="1:11" x14ac:dyDescent="0.25">
      <c r="A6" s="118" t="str">
        <f t="shared" si="0"/>
        <v>F 4727-1 NW 114TH DR</v>
      </c>
      <c r="G6" t="str">
        <f>IF('Assignment Tool'!C6="","",IF('Assignment Tool'!C6="FST",'Assignment Tool'!D6,""))</f>
        <v/>
      </c>
      <c r="H6">
        <v>6</v>
      </c>
      <c r="I6">
        <f t="shared" si="1"/>
        <v>15</v>
      </c>
      <c r="J6" t="str">
        <f t="array" ref="J6">IFERROR(INDEX($G$2:$G$2050,_xlfn.AGGREGATE(15,6,(ROW($G$2:$G$2050)-ROW($G$2)+1)/($G$2:$G$2050&lt;&gt;""),ROWS(J$1:J6))),"")</f>
        <v>F 11311-1 NW 49TH DR</v>
      </c>
      <c r="K6">
        <f>IF(J6="","",INDEX('Assignment Tool'!E22:E2055,MATCH(FA_DATA!J6,'Assignment Tool'!D22:D2055,0)))</f>
        <v>2</v>
      </c>
    </row>
    <row r="7" spans="1:11" x14ac:dyDescent="0.25">
      <c r="A7" s="118" t="str">
        <f t="shared" si="0"/>
        <v>F 4727-1 NW 114TH DR</v>
      </c>
      <c r="G7" t="str">
        <f>IF('Assignment Tool'!C7="","",IF('Assignment Tool'!C7="FST",'Assignment Tool'!D7,""))</f>
        <v/>
      </c>
      <c r="H7">
        <v>7</v>
      </c>
      <c r="I7">
        <f t="shared" si="1"/>
        <v>17</v>
      </c>
      <c r="J7" t="str">
        <f t="array" ref="J7">IFERROR(INDEX($G$2:$G$2050,_xlfn.AGGREGATE(15,6,(ROW($G$2:$G$2050)-ROW($G$2)+1)/($G$2:$G$2050&lt;&gt;""),ROWS(J$1:J7))),"")</f>
        <v>F 11325-1 NW 49TH DR</v>
      </c>
      <c r="K7">
        <f>IF(J7="","",INDEX('Assignment Tool'!E23:E2056,MATCH(FA_DATA!J7,'Assignment Tool'!D23:D2056,0)))</f>
        <v>8</v>
      </c>
    </row>
    <row r="8" spans="1:11" x14ac:dyDescent="0.25">
      <c r="A8" s="118" t="str">
        <f t="shared" si="0"/>
        <v>F 4727-1 NW 114TH DR</v>
      </c>
      <c r="G8" t="str">
        <f>IF('Assignment Tool'!C8="","",IF('Assignment Tool'!C8="FST",'Assignment Tool'!D8,""))</f>
        <v/>
      </c>
      <c r="H8">
        <v>8</v>
      </c>
      <c r="I8">
        <f t="shared" si="1"/>
        <v>25</v>
      </c>
      <c r="J8" t="str">
        <f t="array" ref="J8">IFERROR(INDEX($G$2:$G$2050,_xlfn.AGGREGATE(15,6,(ROW($G$2:$G$2050)-ROW($G$2)+1)/($G$2:$G$2050&lt;&gt;""),ROWS(J$1:J8))),"")</f>
        <v>F 11337-1 NW 49TH DR</v>
      </c>
      <c r="K8">
        <f>IF(J8="","",INDEX('Assignment Tool'!E24:E2057,MATCH(FA_DATA!J8,'Assignment Tool'!D24:D2057,0)))</f>
        <v>2</v>
      </c>
    </row>
    <row r="9" spans="1:11" x14ac:dyDescent="0.25">
      <c r="A9" s="118" t="str">
        <f t="shared" si="0"/>
        <v>F 4727-1 NW 114TH DR</v>
      </c>
      <c r="G9" t="str">
        <f>IF('Assignment Tool'!C9="","",IF('Assignment Tool'!C9="FST",'Assignment Tool'!D9,""))</f>
        <v/>
      </c>
      <c r="H9">
        <v>9</v>
      </c>
      <c r="I9">
        <f t="shared" si="1"/>
        <v>27</v>
      </c>
      <c r="J9" t="str">
        <f t="array" ref="J9">IFERROR(INDEX($G$2:$G$2050,_xlfn.AGGREGATE(15,6,(ROW($G$2:$G$2050)-ROW($G$2)+1)/($G$2:$G$2050&lt;&gt;""),ROWS(J$1:J9))),"")</f>
        <v>F 11349-1 NW 49TH DR</v>
      </c>
      <c r="K9">
        <f>IF(J9="","",INDEX('Assignment Tool'!E25:E2058,MATCH(FA_DATA!J9,'Assignment Tool'!D25:D2058,0)))</f>
        <v>2</v>
      </c>
    </row>
    <row r="10" spans="1:11" x14ac:dyDescent="0.25">
      <c r="A10" s="118" t="str">
        <f t="shared" si="0"/>
        <v>F 4727-1 NW 114TH DR</v>
      </c>
      <c r="G10" t="str">
        <f>IF('Assignment Tool'!C10="","",IF('Assignment Tool'!C10="FST",'Assignment Tool'!D10,""))</f>
        <v/>
      </c>
      <c r="H10">
        <v>10</v>
      </c>
      <c r="I10">
        <f t="shared" si="1"/>
        <v>29</v>
      </c>
      <c r="J10" t="str">
        <f t="array" ref="J10">IFERROR(INDEX($G$2:$G$2050,_xlfn.AGGREGATE(15,6,(ROW($G$2:$G$2050)-ROW($G$2)+1)/($G$2:$G$2050&lt;&gt;""),ROWS(J$1:J10))),"")</f>
        <v>F 11361-1 NW 49TH DR</v>
      </c>
      <c r="K10">
        <f>IF(J10="","",INDEX('Assignment Tool'!E26:E2059,MATCH(FA_DATA!J10,'Assignment Tool'!D26:D2059,0)))</f>
        <v>2</v>
      </c>
    </row>
    <row r="11" spans="1:11" x14ac:dyDescent="0.25">
      <c r="A11" s="118" t="str">
        <f t="shared" si="0"/>
        <v>F 4739-1 NW 114TH DR</v>
      </c>
      <c r="G11" t="str">
        <f>IF('Assignment Tool'!C11="","",IF('Assignment Tool'!C11="FST",'Assignment Tool'!D11,""))</f>
        <v/>
      </c>
      <c r="H11">
        <v>11</v>
      </c>
      <c r="I11">
        <f t="shared" si="1"/>
        <v>31</v>
      </c>
      <c r="J11" t="str">
        <f t="array" ref="J11">IFERROR(INDEX($G$2:$G$2050,_xlfn.AGGREGATE(15,6,(ROW($G$2:$G$2050)-ROW($G$2)+1)/($G$2:$G$2050&lt;&gt;""),ROWS(J$1:J11))),"")</f>
        <v>F 11373-1 NW 49TH DR</v>
      </c>
      <c r="K11">
        <f>IF(J11="","",INDEX('Assignment Tool'!E27:E2060,MATCH(FA_DATA!J11,'Assignment Tool'!D27:D2060,0)))</f>
        <v>2</v>
      </c>
    </row>
    <row r="12" spans="1:11" x14ac:dyDescent="0.25">
      <c r="A12" s="118" t="str">
        <f t="shared" si="0"/>
        <v>F 4739-1 NW 114TH DR</v>
      </c>
      <c r="G12" t="str">
        <f>IF('Assignment Tool'!C12="","",IF('Assignment Tool'!C12="FST",'Assignment Tool'!D12,""))</f>
        <v/>
      </c>
      <c r="H12">
        <v>12</v>
      </c>
      <c r="I12">
        <f t="shared" si="1"/>
        <v>33</v>
      </c>
      <c r="J12" t="str">
        <f t="array" ref="J12">IFERROR(INDEX($G$2:$G$2050,_xlfn.AGGREGATE(15,6,(ROW($G$2:$G$2050)-ROW($G$2)+1)/($G$2:$G$2050&lt;&gt;""),ROWS(J$1:J12))),"")</f>
        <v>F 11409-1 NW 49TH DR</v>
      </c>
      <c r="K12">
        <f>IF(J12="","",INDEX('Assignment Tool'!E28:E2061,MATCH(FA_DATA!J12,'Assignment Tool'!D28:D2061,0)))</f>
        <v>2</v>
      </c>
    </row>
    <row r="13" spans="1:11" x14ac:dyDescent="0.25">
      <c r="A13" s="118" t="str">
        <f t="shared" si="0"/>
        <v>F 11301-1 NW 49TH DR</v>
      </c>
      <c r="G13" t="str">
        <f>IF('Assignment Tool'!C13="","",IF('Assignment Tool'!C13="FST",'Assignment Tool'!D13,""))</f>
        <v/>
      </c>
      <c r="H13">
        <v>13</v>
      </c>
      <c r="I13">
        <f t="shared" si="1"/>
        <v>35</v>
      </c>
      <c r="J13" t="str">
        <f t="array" ref="J13">IFERROR(INDEX($G$2:$G$2050,_xlfn.AGGREGATE(15,6,(ROW($G$2:$G$2050)-ROW($G$2)+1)/($G$2:$G$2050&lt;&gt;""),ROWS(J$1:J13))),"")</f>
        <v>F 11421-1 NW 49TH DR</v>
      </c>
      <c r="K13">
        <f>IF(J13="","",INDEX('Assignment Tool'!E29:E2062,MATCH(FA_DATA!J13,'Assignment Tool'!D29:D2062,0)))</f>
        <v>2</v>
      </c>
    </row>
    <row r="14" spans="1:11" x14ac:dyDescent="0.25">
      <c r="A14" s="118" t="str">
        <f t="shared" si="0"/>
        <v>F 11301-1 NW 49TH DR</v>
      </c>
      <c r="G14" t="str">
        <f>IF('Assignment Tool'!C14="","",IF('Assignment Tool'!C14="FST",'Assignment Tool'!D14,""))</f>
        <v/>
      </c>
      <c r="H14">
        <v>14</v>
      </c>
      <c r="I14">
        <f t="shared" si="1"/>
        <v>37</v>
      </c>
      <c r="J14" t="str">
        <f t="array" ref="J14">IFERROR(INDEX($G$2:$G$2050,_xlfn.AGGREGATE(15,6,(ROW($G$2:$G$2050)-ROW($G$2)+1)/($G$2:$G$2050&lt;&gt;""),ROWS(J$1:J14))),"")</f>
        <v>F 11428-1 NW 49TH DR</v>
      </c>
      <c r="K14">
        <f>IF(J14="","",INDEX('Assignment Tool'!E30:E2063,MATCH(FA_DATA!J14,'Assignment Tool'!D30:D2063,0)))</f>
        <v>8</v>
      </c>
    </row>
    <row r="15" spans="1:11" x14ac:dyDescent="0.25">
      <c r="A15" s="118" t="str">
        <f t="shared" si="0"/>
        <v>F 11311-1 NW 49TH DR</v>
      </c>
      <c r="G15" t="str">
        <f>IF('Assignment Tool'!C15="","",IF('Assignment Tool'!C15="FST",'Assignment Tool'!D15,""))</f>
        <v/>
      </c>
      <c r="H15">
        <v>15</v>
      </c>
      <c r="I15">
        <f t="shared" si="1"/>
        <v>45</v>
      </c>
      <c r="J15" t="str">
        <f t="array" ref="J15">IFERROR(INDEX($G$2:$G$2050,_xlfn.AGGREGATE(15,6,(ROW($G$2:$G$2050)-ROW($G$2)+1)/($G$2:$G$2050&lt;&gt;""),ROWS(J$1:J15))),"")</f>
        <v>F 11433-1 NW 49TH DR</v>
      </c>
      <c r="K15">
        <f>IF(J15="","",INDEX('Assignment Tool'!E31:E2064,MATCH(FA_DATA!J15,'Assignment Tool'!D31:D2064,0)))</f>
        <v>2</v>
      </c>
    </row>
    <row r="16" spans="1:11" x14ac:dyDescent="0.25">
      <c r="A16" s="118" t="str">
        <f t="shared" si="0"/>
        <v>F 11311-1 NW 49TH DR</v>
      </c>
      <c r="G16" t="str">
        <f>IF('Assignment Tool'!C16="","",IF('Assignment Tool'!C16="FST",'Assignment Tool'!D16,""))</f>
        <v/>
      </c>
      <c r="H16">
        <v>16</v>
      </c>
      <c r="I16">
        <f t="shared" si="1"/>
        <v>47</v>
      </c>
      <c r="J16" t="str">
        <f t="array" ref="J16">IFERROR(INDEX($G$2:$G$2050,_xlfn.AGGREGATE(15,6,(ROW($G$2:$G$2050)-ROW($G$2)+1)/($G$2:$G$2050&lt;&gt;""),ROWS(J$1:J16))),"")</f>
        <v>F 11445-1 NW 49TH DR</v>
      </c>
      <c r="K16">
        <f>IF(J16="","",INDEX('Assignment Tool'!E32:E2065,MATCH(FA_DATA!J16,'Assignment Tool'!D32:D2065,0)))</f>
        <v>8</v>
      </c>
    </row>
    <row r="17" spans="1:11" x14ac:dyDescent="0.25">
      <c r="A17" s="118" t="str">
        <f t="shared" si="0"/>
        <v>F 11325-1 NW 49TH DR</v>
      </c>
      <c r="G17" t="str">
        <f>IF('Assignment Tool'!C17="","",IF('Assignment Tool'!C17="FST",'Assignment Tool'!D17,""))</f>
        <v/>
      </c>
      <c r="H17">
        <v>17</v>
      </c>
      <c r="I17">
        <f t="shared" si="1"/>
        <v>55</v>
      </c>
      <c r="J17" t="str">
        <f t="array" ref="J17">IFERROR(INDEX($G$2:$G$2050,_xlfn.AGGREGATE(15,6,(ROW($G$2:$G$2050)-ROW($G$2)+1)/($G$2:$G$2050&lt;&gt;""),ROWS(J$1:J17))),"")</f>
        <v>F 11457-1 NW 49TH DR</v>
      </c>
      <c r="K17">
        <f>IF(J17="","",INDEX('Assignment Tool'!E33:E2066,MATCH(FA_DATA!J17,'Assignment Tool'!D33:D2066,0)))</f>
        <v>2</v>
      </c>
    </row>
    <row r="18" spans="1:11" x14ac:dyDescent="0.25">
      <c r="A18" s="118" t="str">
        <f t="shared" si="0"/>
        <v>F 11325-1 NW 49TH DR</v>
      </c>
      <c r="G18" t="str">
        <f>IF('Assignment Tool'!C18="","",IF('Assignment Tool'!C18="FST",'Assignment Tool'!D18,""))</f>
        <v/>
      </c>
      <c r="H18">
        <v>18</v>
      </c>
      <c r="I18">
        <f t="shared" si="1"/>
        <v>57</v>
      </c>
      <c r="J18" t="str">
        <f t="array" ref="J18">IFERROR(INDEX($G$2:$G$2050,_xlfn.AGGREGATE(15,6,(ROW($G$2:$G$2050)-ROW($G$2)+1)/($G$2:$G$2050&lt;&gt;""),ROWS(J$1:J18))),"")</f>
        <v>F 11469-1 NW 49TH DR</v>
      </c>
      <c r="K18">
        <f>IF(J18="","",INDEX('Assignment Tool'!E34:E2067,MATCH(FA_DATA!J18,'Assignment Tool'!D34:D2067,0)))</f>
        <v>4</v>
      </c>
    </row>
    <row r="19" spans="1:11" x14ac:dyDescent="0.25">
      <c r="A19" s="118" t="str">
        <f t="shared" si="0"/>
        <v>F 11325-1 NW 49TH DR</v>
      </c>
      <c r="G19" t="str">
        <f>IF('Assignment Tool'!C19="","",IF('Assignment Tool'!C19="FST",'Assignment Tool'!D19,""))</f>
        <v/>
      </c>
      <c r="H19">
        <v>19</v>
      </c>
      <c r="I19">
        <f t="shared" si="1"/>
        <v>61</v>
      </c>
      <c r="J19" t="str">
        <f t="array" ref="J19">IFERROR(INDEX($G$2:$G$2050,_xlfn.AGGREGATE(15,6,(ROW($G$2:$G$2050)-ROW($G$2)+1)/($G$2:$G$2050&lt;&gt;""),ROWS(J$1:J19))),"")</f>
        <v>F 4723-1 NW 114TH LN</v>
      </c>
      <c r="K19">
        <f>IF(J19="","",INDEX('Assignment Tool'!E35:E2068,MATCH(FA_DATA!J19,'Assignment Tool'!D35:D2068,0)))</f>
        <v>4</v>
      </c>
    </row>
    <row r="20" spans="1:11" x14ac:dyDescent="0.25">
      <c r="A20" s="118" t="str">
        <f t="shared" si="0"/>
        <v>F 11325-1 NW 49TH DR</v>
      </c>
      <c r="G20" t="str">
        <f>IF('Assignment Tool'!C20="","",IF('Assignment Tool'!C20="FST",'Assignment Tool'!D20,""))</f>
        <v/>
      </c>
      <c r="H20">
        <v>20</v>
      </c>
      <c r="I20">
        <f t="shared" si="1"/>
        <v>65</v>
      </c>
      <c r="J20" t="str">
        <f t="array" ref="J20">IFERROR(INDEX($G$2:$G$2050,_xlfn.AGGREGATE(15,6,(ROW($G$2:$G$2050)-ROW($G$2)+1)/($G$2:$G$2050&lt;&gt;""),ROWS(J$1:J20))),"")</f>
        <v>F 4755-1 NW 114TH LN</v>
      </c>
      <c r="K20">
        <f>IF(J20="","",INDEX('Assignment Tool'!E36:E2069,MATCH(FA_DATA!J20,'Assignment Tool'!D36:D2069,0)))</f>
        <v>8</v>
      </c>
    </row>
    <row r="21" spans="1:11" x14ac:dyDescent="0.25">
      <c r="A21" s="118" t="str">
        <f t="shared" si="0"/>
        <v>F 11325-1 NW 49TH DR</v>
      </c>
      <c r="G21" t="str">
        <f>IF('Assignment Tool'!C21="","",IF('Assignment Tool'!C21="FST",'Assignment Tool'!D21,""))</f>
        <v/>
      </c>
      <c r="H21">
        <v>21</v>
      </c>
      <c r="I21">
        <f t="shared" si="1"/>
        <v>73</v>
      </c>
      <c r="J21" t="str">
        <f t="array" ref="J21">IFERROR(INDEX($G$2:$G$2050,_xlfn.AGGREGATE(15,6,(ROW($G$2:$G$2050)-ROW($G$2)+1)/($G$2:$G$2050&lt;&gt;""),ROWS(J$1:J21))),"")</f>
        <v>F 11405-1 NW 48TH CT</v>
      </c>
      <c r="K21">
        <f>IF(J21="","",INDEX('Assignment Tool'!E37:E2070,MATCH(FA_DATA!J21,'Assignment Tool'!D37:D2070,0)))</f>
        <v>2</v>
      </c>
    </row>
    <row r="22" spans="1:11" x14ac:dyDescent="0.25">
      <c r="A22" s="118" t="str">
        <f t="shared" si="0"/>
        <v>F 11325-1 NW 49TH DR</v>
      </c>
      <c r="G22" t="str">
        <f>IF('Assignment Tool'!C22="","",IF('Assignment Tool'!C22="FST",'Assignment Tool'!D22,""))</f>
        <v/>
      </c>
      <c r="H22">
        <v>22</v>
      </c>
      <c r="I22">
        <f t="shared" si="1"/>
        <v>75</v>
      </c>
      <c r="J22" t="str">
        <f t="array" ref="J22">IFERROR(INDEX($G$2:$G$2050,_xlfn.AGGREGATE(15,6,(ROW($G$2:$G$2050)-ROW($G$2)+1)/($G$2:$G$2050&lt;&gt;""),ROWS(J$1:J22))),"")</f>
        <v>F 11417-1 NW 48TH CT</v>
      </c>
      <c r="K22">
        <f>IF(J22="","",INDEX('Assignment Tool'!E38:E2071,MATCH(FA_DATA!J22,'Assignment Tool'!D38:D2071,0)))</f>
        <v>2</v>
      </c>
    </row>
    <row r="23" spans="1:11" x14ac:dyDescent="0.25">
      <c r="A23" s="118" t="str">
        <f t="shared" si="0"/>
        <v>F 11325-1 NW 49TH DR</v>
      </c>
      <c r="G23" t="str">
        <f>IF('Assignment Tool'!C23="","",IF('Assignment Tool'!C23="FST",'Assignment Tool'!D23,""))</f>
        <v/>
      </c>
      <c r="H23">
        <v>23</v>
      </c>
      <c r="I23">
        <f t="shared" si="1"/>
        <v>77</v>
      </c>
      <c r="J23" t="str">
        <f t="array" ref="J23">IFERROR(INDEX($G$2:$G$2050,_xlfn.AGGREGATE(15,6,(ROW($G$2:$G$2050)-ROW($G$2)+1)/($G$2:$G$2050&lt;&gt;""),ROWS(J$1:J23))),"")</f>
        <v>F 11429-1 NW 48TH CT</v>
      </c>
      <c r="K23">
        <f>IF(J23="","",INDEX('Assignment Tool'!E39:E2072,MATCH(FA_DATA!J23,'Assignment Tool'!D39:D2072,0)))</f>
        <v>2</v>
      </c>
    </row>
    <row r="24" spans="1:11" x14ac:dyDescent="0.25">
      <c r="A24" s="118" t="str">
        <f t="shared" si="0"/>
        <v>F 11325-1 NW 49TH DR</v>
      </c>
      <c r="G24" t="str">
        <f>IF('Assignment Tool'!C24="","",IF('Assignment Tool'!C24="FST",'Assignment Tool'!D24,""))</f>
        <v/>
      </c>
      <c r="H24">
        <v>24</v>
      </c>
      <c r="I24">
        <f t="shared" si="1"/>
        <v>79</v>
      </c>
      <c r="J24" t="str">
        <f t="array" ref="J24">IFERROR(INDEX($G$2:$G$2050,_xlfn.AGGREGATE(15,6,(ROW($G$2:$G$2050)-ROW($G$2)+1)/($G$2:$G$2050&lt;&gt;""),ROWS(J$1:J24))),"")</f>
        <v>F 11441-1 NW 48TH CT</v>
      </c>
      <c r="K24">
        <f>IF(J24="","",INDEX('Assignment Tool'!E40:E2073,MATCH(FA_DATA!J24,'Assignment Tool'!D40:D2073,0)))</f>
        <v>2</v>
      </c>
    </row>
    <row r="25" spans="1:11" x14ac:dyDescent="0.25">
      <c r="A25" s="118" t="str">
        <f t="shared" si="0"/>
        <v>F 11337-1 NW 49TH DR</v>
      </c>
      <c r="G25" t="str">
        <f>IF('Assignment Tool'!C25="","",IF('Assignment Tool'!C25="FST",'Assignment Tool'!D25,""))</f>
        <v/>
      </c>
      <c r="H25">
        <v>25</v>
      </c>
      <c r="I25">
        <f t="shared" si="1"/>
        <v>81</v>
      </c>
      <c r="J25" t="str">
        <f t="array" ref="J25">IFERROR(INDEX($G$2:$G$2050,_xlfn.AGGREGATE(15,6,(ROW($G$2:$G$2050)-ROW($G$2)+1)/($G$2:$G$2050&lt;&gt;""),ROWS(J$1:J25))),"")</f>
        <v>F 11453-1 NW 48TH CT</v>
      </c>
      <c r="K25">
        <f>IF(J25="","",INDEX('Assignment Tool'!E41:E2074,MATCH(FA_DATA!J25,'Assignment Tool'!D41:D2074,0)))</f>
        <v>2</v>
      </c>
    </row>
    <row r="26" spans="1:11" x14ac:dyDescent="0.25">
      <c r="A26" s="118" t="str">
        <f t="shared" si="0"/>
        <v>F 11337-1 NW 49TH DR</v>
      </c>
      <c r="G26" t="str">
        <f>IF('Assignment Tool'!C26="","",IF('Assignment Tool'!C26="FST",'Assignment Tool'!D26,""))</f>
        <v/>
      </c>
      <c r="H26">
        <v>26</v>
      </c>
      <c r="I26">
        <f t="shared" si="1"/>
        <v>83</v>
      </c>
      <c r="J26" t="str">
        <f t="array" ref="J26">IFERROR(INDEX($G$2:$G$2050,_xlfn.AGGREGATE(15,6,(ROW($G$2:$G$2050)-ROW($G$2)+1)/($G$2:$G$2050&lt;&gt;""),ROWS(J$1:J26))),"")</f>
        <v>F 11448-1 NW 48TH CT</v>
      </c>
      <c r="K26">
        <f>IF(J26="","",INDEX('Assignment Tool'!E42:E2075,MATCH(FA_DATA!J26,'Assignment Tool'!D42:D2075,0)))</f>
        <v>8</v>
      </c>
    </row>
    <row r="27" spans="1:11" x14ac:dyDescent="0.25">
      <c r="A27" s="118" t="str">
        <f t="shared" si="0"/>
        <v>F 11349-1 NW 49TH DR</v>
      </c>
      <c r="G27" t="str">
        <f>IF('Assignment Tool'!C27="","",IF('Assignment Tool'!C27="FST",'Assignment Tool'!D27,""))</f>
        <v/>
      </c>
      <c r="H27">
        <v>27</v>
      </c>
      <c r="I27">
        <f t="shared" si="1"/>
        <v>91</v>
      </c>
      <c r="J27" t="str">
        <f t="array" ref="J27">IFERROR(INDEX($G$2:$G$2050,_xlfn.AGGREGATE(15,6,(ROW($G$2:$G$2050)-ROW($G$2)+1)/($G$2:$G$2050&lt;&gt;""),ROWS(J$1:J27))),"")</f>
        <v>F 11465-1 NW 48TH CT</v>
      </c>
      <c r="K27">
        <f>IF(J27="","",INDEX('Assignment Tool'!E43:E2076,MATCH(FA_DATA!J27,'Assignment Tool'!D43:D2076,0)))</f>
        <v>2</v>
      </c>
    </row>
    <row r="28" spans="1:11" x14ac:dyDescent="0.25">
      <c r="A28" s="118" t="str">
        <f t="shared" si="0"/>
        <v>F 11349-1 NW 49TH DR</v>
      </c>
      <c r="G28" t="str">
        <f>IF('Assignment Tool'!C28="","",IF('Assignment Tool'!C28="FST",'Assignment Tool'!D28,""))</f>
        <v/>
      </c>
      <c r="H28">
        <v>28</v>
      </c>
      <c r="I28">
        <f t="shared" si="1"/>
        <v>93</v>
      </c>
      <c r="J28" t="str">
        <f t="array" ref="J28">IFERROR(INDEX($G$2:$G$2050,_xlfn.AGGREGATE(15,6,(ROW($G$2:$G$2050)-ROW($G$2)+1)/($G$2:$G$2050&lt;&gt;""),ROWS(J$1:J28))),"")</f>
        <v>F 11477-1 NW 48TH CT</v>
      </c>
      <c r="K28">
        <f>IF(J28="","",INDEX('Assignment Tool'!E44:E2077,MATCH(FA_DATA!J28,'Assignment Tool'!D44:D2077,0)))</f>
        <v>4</v>
      </c>
    </row>
    <row r="29" spans="1:11" x14ac:dyDescent="0.25">
      <c r="A29" s="118" t="str">
        <f t="shared" si="0"/>
        <v>F 11361-1 NW 49TH DR</v>
      </c>
      <c r="G29" t="str">
        <f>IF('Assignment Tool'!C29="","",IF('Assignment Tool'!C29="FST",'Assignment Tool'!D29,""))</f>
        <v/>
      </c>
      <c r="H29">
        <v>29</v>
      </c>
      <c r="I29">
        <f t="shared" si="1"/>
        <v>97</v>
      </c>
      <c r="J29" t="str">
        <f t="array" ref="J29">IFERROR(INDEX($G$2:$G$2050,_xlfn.AGGREGATE(15,6,(ROW($G$2:$G$2050)-ROW($G$2)+1)/($G$2:$G$2050&lt;&gt;""),ROWS(J$1:J29))),"")</f>
        <v/>
      </c>
      <c r="K29" t="str">
        <f>IF(J29="","",INDEX('Assignment Tool'!E45:E2078,MATCH(FA_DATA!J29,'Assignment Tool'!D45:D2078,0)))</f>
        <v/>
      </c>
    </row>
    <row r="30" spans="1:11" x14ac:dyDescent="0.25">
      <c r="A30" s="118" t="str">
        <f t="shared" si="0"/>
        <v>F 11361-1 NW 49TH DR</v>
      </c>
      <c r="G30" t="str">
        <f>IF('Assignment Tool'!C30="","",IF('Assignment Tool'!C30="FST",'Assignment Tool'!D30,""))</f>
        <v/>
      </c>
      <c r="H30">
        <v>30</v>
      </c>
      <c r="I30" t="str">
        <f t="shared" si="1"/>
        <v/>
      </c>
      <c r="J30" t="str">
        <f t="array" ref="J30">IFERROR(INDEX($G$2:$G$2050,_xlfn.AGGREGATE(15,6,(ROW($G$2:$G$2050)-ROW($G$2)+1)/($G$2:$G$2050&lt;&gt;""),ROWS(J$1:J30))),"")</f>
        <v/>
      </c>
      <c r="K30" t="str">
        <f>IF(J30="","",INDEX('Assignment Tool'!E46:E2079,MATCH(FA_DATA!J30,'Assignment Tool'!D46:D2079,0)))</f>
        <v/>
      </c>
    </row>
    <row r="31" spans="1:11" x14ac:dyDescent="0.25">
      <c r="A31" s="118" t="str">
        <f t="shared" si="0"/>
        <v>F 11373-1 NW 49TH DR</v>
      </c>
      <c r="G31" t="str">
        <f>IF('Assignment Tool'!C31="","",IF('Assignment Tool'!C31="FST",'Assignment Tool'!D31,""))</f>
        <v/>
      </c>
      <c r="H31">
        <v>31</v>
      </c>
      <c r="I31" t="str">
        <f t="shared" si="1"/>
        <v/>
      </c>
      <c r="J31" t="str">
        <f t="array" ref="J31">IFERROR(INDEX($G$2:$G$2050,_xlfn.AGGREGATE(15,6,(ROW($G$2:$G$2050)-ROW($G$2)+1)/($G$2:$G$2050&lt;&gt;""),ROWS(J$1:J31))),"")</f>
        <v/>
      </c>
      <c r="K31" t="str">
        <f>IF(J31="","",INDEX('Assignment Tool'!E47:E2080,MATCH(FA_DATA!J31,'Assignment Tool'!D47:D2080,0)))</f>
        <v/>
      </c>
    </row>
    <row r="32" spans="1:11" x14ac:dyDescent="0.25">
      <c r="A32" s="118" t="str">
        <f t="shared" si="0"/>
        <v>F 11373-1 NW 49TH DR</v>
      </c>
      <c r="G32" t="str">
        <f>IF('Assignment Tool'!C32="","",IF('Assignment Tool'!C32="FST",'Assignment Tool'!D32,""))</f>
        <v/>
      </c>
      <c r="H32">
        <v>32</v>
      </c>
      <c r="I32" t="str">
        <f t="shared" si="1"/>
        <v/>
      </c>
      <c r="J32" t="str">
        <f t="array" ref="J32">IFERROR(INDEX($G$2:$G$2050,_xlfn.AGGREGATE(15,6,(ROW($G$2:$G$2050)-ROW($G$2)+1)/($G$2:$G$2050&lt;&gt;""),ROWS(J$1:J32))),"")</f>
        <v/>
      </c>
      <c r="K32" t="str">
        <f>IF(J32="","",INDEX('Assignment Tool'!E48:E2081,MATCH(FA_DATA!J32,'Assignment Tool'!D48:D2081,0)))</f>
        <v/>
      </c>
    </row>
    <row r="33" spans="1:11" x14ac:dyDescent="0.25">
      <c r="A33" s="118" t="str">
        <f t="shared" si="0"/>
        <v>F 11409-1 NW 49TH DR</v>
      </c>
      <c r="G33" t="str">
        <f>IF('Assignment Tool'!C33="","",IF('Assignment Tool'!C33="FST",'Assignment Tool'!D33,""))</f>
        <v/>
      </c>
      <c r="H33">
        <v>33</v>
      </c>
      <c r="I33" t="str">
        <f t="shared" si="1"/>
        <v/>
      </c>
      <c r="J33" t="str">
        <f t="array" ref="J33">IFERROR(INDEX($G$2:$G$2050,_xlfn.AGGREGATE(15,6,(ROW($G$2:$G$2050)-ROW($G$2)+1)/($G$2:$G$2050&lt;&gt;""),ROWS(J$1:J33))),"")</f>
        <v/>
      </c>
      <c r="K33" t="str">
        <f>IF(J33="","",INDEX('Assignment Tool'!E49:E2082,MATCH(FA_DATA!J33,'Assignment Tool'!D49:D2082,0)))</f>
        <v/>
      </c>
    </row>
    <row r="34" spans="1:11" x14ac:dyDescent="0.25">
      <c r="A34" s="118" t="str">
        <f t="shared" si="0"/>
        <v>F 11409-1 NW 49TH DR</v>
      </c>
      <c r="G34" t="str">
        <f>IF('Assignment Tool'!C34="","",IF('Assignment Tool'!C34="FST",'Assignment Tool'!D34,""))</f>
        <v/>
      </c>
      <c r="H34">
        <v>34</v>
      </c>
      <c r="I34" t="str">
        <f t="shared" si="1"/>
        <v/>
      </c>
      <c r="J34" t="str">
        <f t="array" ref="J34">IFERROR(INDEX($G$2:$G$2050,_xlfn.AGGREGATE(15,6,(ROW($G$2:$G$2050)-ROW($G$2)+1)/($G$2:$G$2050&lt;&gt;""),ROWS(J$1:J34))),"")</f>
        <v/>
      </c>
      <c r="K34" t="str">
        <f>IF(J34="","",INDEX('Assignment Tool'!E50:E2083,MATCH(FA_DATA!J34,'Assignment Tool'!D50:D2083,0)))</f>
        <v/>
      </c>
    </row>
    <row r="35" spans="1:11" x14ac:dyDescent="0.25">
      <c r="A35" s="118" t="str">
        <f t="shared" si="0"/>
        <v>F 11421-1 NW 49TH DR</v>
      </c>
      <c r="G35" t="str">
        <f>IF('Assignment Tool'!C35="","",IF('Assignment Tool'!C35="FST",'Assignment Tool'!D35,""))</f>
        <v/>
      </c>
      <c r="H35">
        <v>35</v>
      </c>
      <c r="I35" t="str">
        <f t="shared" si="1"/>
        <v/>
      </c>
      <c r="J35" t="str">
        <f t="array" ref="J35">IFERROR(INDEX($G$2:$G$2050,_xlfn.AGGREGATE(15,6,(ROW($G$2:$G$2050)-ROW($G$2)+1)/($G$2:$G$2050&lt;&gt;""),ROWS(J$1:J35))),"")</f>
        <v/>
      </c>
      <c r="K35" t="str">
        <f>IF(J35="","",INDEX('Assignment Tool'!E51:E2084,MATCH(FA_DATA!J35,'Assignment Tool'!D51:D2084,0)))</f>
        <v/>
      </c>
    </row>
    <row r="36" spans="1:11" x14ac:dyDescent="0.25">
      <c r="A36" s="118" t="str">
        <f t="shared" si="0"/>
        <v>F 11421-1 NW 49TH DR</v>
      </c>
      <c r="G36" t="str">
        <f>IF('Assignment Tool'!C36="","",IF('Assignment Tool'!C36="FST",'Assignment Tool'!D36,""))</f>
        <v/>
      </c>
      <c r="H36">
        <v>36</v>
      </c>
      <c r="I36" t="str">
        <f t="shared" si="1"/>
        <v/>
      </c>
      <c r="J36" t="str">
        <f t="array" ref="J36">IFERROR(INDEX($G$2:$G$2050,_xlfn.AGGREGATE(15,6,(ROW($G$2:$G$2050)-ROW($G$2)+1)/($G$2:$G$2050&lt;&gt;""),ROWS(J$1:J36))),"")</f>
        <v/>
      </c>
      <c r="K36" t="str">
        <f>IF(J36="","",INDEX('Assignment Tool'!E52:E2085,MATCH(FA_DATA!J36,'Assignment Tool'!D52:D2085,0)))</f>
        <v/>
      </c>
    </row>
    <row r="37" spans="1:11" x14ac:dyDescent="0.25">
      <c r="A37" s="118" t="str">
        <f t="shared" si="0"/>
        <v>F 11428-1 NW 49TH DR</v>
      </c>
      <c r="G37" t="str">
        <f>IF('Assignment Tool'!C37="","",IF('Assignment Tool'!C37="FST",'Assignment Tool'!D37,""))</f>
        <v/>
      </c>
      <c r="H37">
        <v>37</v>
      </c>
      <c r="I37" t="str">
        <f t="shared" si="1"/>
        <v/>
      </c>
      <c r="J37" t="str">
        <f t="array" ref="J37">IFERROR(INDEX($G$2:$G$2050,_xlfn.AGGREGATE(15,6,(ROW($G$2:$G$2050)-ROW($G$2)+1)/($G$2:$G$2050&lt;&gt;""),ROWS(J$1:J37))),"")</f>
        <v/>
      </c>
      <c r="K37" t="str">
        <f>IF(J37="","",INDEX('Assignment Tool'!E53:E2086,MATCH(FA_DATA!J37,'Assignment Tool'!D53:D2086,0)))</f>
        <v/>
      </c>
    </row>
    <row r="38" spans="1:11" x14ac:dyDescent="0.25">
      <c r="A38" s="118" t="str">
        <f t="shared" si="0"/>
        <v>F 11428-1 NW 49TH DR</v>
      </c>
      <c r="G38" t="str">
        <f>IF('Assignment Tool'!C38="","",IF('Assignment Tool'!C38="FST",'Assignment Tool'!D38,""))</f>
        <v/>
      </c>
      <c r="H38">
        <v>38</v>
      </c>
      <c r="I38" t="str">
        <f t="shared" si="1"/>
        <v/>
      </c>
      <c r="J38" t="str">
        <f t="array" ref="J38">IFERROR(INDEX($G$2:$G$2050,_xlfn.AGGREGATE(15,6,(ROW($G$2:$G$2050)-ROW($G$2)+1)/($G$2:$G$2050&lt;&gt;""),ROWS(J$1:J38))),"")</f>
        <v/>
      </c>
      <c r="K38" t="str">
        <f>IF(J38="","",INDEX('Assignment Tool'!E54:E2087,MATCH(FA_DATA!J38,'Assignment Tool'!D54:D2087,0)))</f>
        <v/>
      </c>
    </row>
    <row r="39" spans="1:11" x14ac:dyDescent="0.25">
      <c r="A39" s="118" t="str">
        <f t="shared" si="0"/>
        <v>F 11428-1 NW 49TH DR</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F 11428-1 NW 49TH DR</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F 11428-1 NW 49TH DR</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F 11428-1 NW 49TH DR</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F 11428-1 NW 49TH DR</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F 11428-1 NW 49TH DR</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F 11433-1 NW 49TH DR</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F 11433-1 NW 49TH DR</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F 11445-1 NW 49TH DR</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F 11445-1 NW 49TH DR</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11445-1 NW 49TH DR</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11445-1 NW 49TH DR</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11445-1 NW 49TH DR</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11445-1 NW 49TH DR</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11445-1 NW 49TH DR</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11445-1 NW 49TH DR</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11457-1 NW 49TH DR</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11457-1 NW 49TH DR</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11469-1 NW 49TH DR</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11469-1 NW 49TH DR</v>
      </c>
      <c r="G58" t="str">
        <f>IF('Assignment Tool'!C58="","",IF('Assignment Tool'!C58="FST",'Assignment Tool'!D58,""))</f>
        <v>F 4709-1 NW 114TH DR</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11469-1 NW 49TH DR</v>
      </c>
      <c r="G59" t="str">
        <f>IF('Assignment Tool'!C59="","",IF('Assignment Tool'!C59="FST",'Assignment Tool'!D59,""))</f>
        <v>F 4715-1 NW 114TH DR</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11469-1 NW 49TH DR</v>
      </c>
      <c r="G60" t="str">
        <f>IF('Assignment Tool'!C60="","",IF('Assignment Tool'!C60="FST",'Assignment Tool'!D60,""))</f>
        <v>F 4727-1 NW 114TH DR</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4723-1 NW 114TH LN</v>
      </c>
      <c r="G61" t="str">
        <f>IF('Assignment Tool'!C61="","",IF('Assignment Tool'!C61="FST",'Assignment Tool'!D61,""))</f>
        <v>F 4739-1 NW 114TH DR</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4723-1 NW 114TH LN</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4723-1 NW 114TH LN</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4723-1 NW 114TH LN</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F 4755-1 NW 114TH LN</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F 4755-1 NW 114TH LN</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F 4755-1 NW 114TH LN</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F 4755-1 NW 114TH LN</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F 4755-1 NW 114TH LN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4755-1 NW 114TH LN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4755-1 NW 114TH LN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4755-1 NW 114TH LN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F 11405-1 NW 48TH CT</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F 11405-1 NW 48TH CT</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F 11417-1 NW 48TH CT</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F 11417-1 NW 48TH CT</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F 11429-1 NW 48TH CT</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F 11429-1 NW 48TH CT</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F 11441-1 NW 48TH CT</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F 11441-1 NW 48TH CT</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F 11453-1 NW 48TH CT</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F 11453-1 NW 48TH CT</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F 11448-1 NW 48TH CT</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F 11448-1 NW 48TH CT</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11448-1 NW 48TH CT</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11448-1 NW 48TH CT</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11448-1 NW 48TH CT</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11448-1 NW 48TH CT</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11448-1 NW 48TH CT</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11448-1 NW 48TH CT</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11465-1 NW 48TH CT</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11465-1 NW 48TH CT</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11477-1 NW 48TH CT</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11477-1 NW 48TH CT</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11477-1 NW 48TH CT</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11477-1 NW 48TH CT</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
      </c>
      <c r="G100" t="str">
        <f>IF('Assignment Tool'!C100="","",IF('Assignment Tool'!C100="FST",'Assignment Tool'!D100,""))</f>
        <v>F 11301-1 NW 49TH DR</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
      </c>
      <c r="G101" t="str">
        <f>IF('Assignment Tool'!C101="","",IF('Assignment Tool'!C101="FST",'Assignment Tool'!D101,""))</f>
        <v>F 11311-1 NW 49TH DR</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
      </c>
      <c r="G102" t="str">
        <f>IF('Assignment Tool'!C102="","",IF('Assignment Tool'!C102="FST",'Assignment Tool'!D102,""))</f>
        <v>F 11325-1 NW 49TH DR</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
      </c>
      <c r="G105" t="str">
        <f>IF('Assignment Tool'!C105="","",IF('Assignment Tool'!C105="FST",'Assignment Tool'!D105,""))</f>
        <v>F 11337-1 NW 49TH DR</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
      </c>
      <c r="G106" t="str">
        <f>IF('Assignment Tool'!C106="","",IF('Assignment Tool'!C106="FST",'Assignment Tool'!D106,""))</f>
        <v>F 11349-1 NW 49TH DR</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
      </c>
      <c r="G107" t="str">
        <f>IF('Assignment Tool'!C107="","",IF('Assignment Tool'!C107="FST",'Assignment Tool'!D107,""))</f>
        <v>F 11361-1 NW 49TH DR</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
      </c>
      <c r="G108" t="str">
        <f>IF('Assignment Tool'!C108="","",IF('Assignment Tool'!C108="FST",'Assignment Tool'!D108,""))</f>
        <v>F 11373-1 NW 49TH DR</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
      </c>
      <c r="G109" t="str">
        <f>IF('Assignment Tool'!C109="","",IF('Assignment Tool'!C109="FST",'Assignment Tool'!D109,""))</f>
        <v>F 11409-1 NW 49TH DR</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
      </c>
      <c r="G110" t="str">
        <f>IF('Assignment Tool'!C110="","",IF('Assignment Tool'!C110="FST",'Assignment Tool'!D110,""))</f>
        <v>F 11421-1 NW 49TH DR</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
      </c>
      <c r="G111" t="str">
        <f>IF('Assignment Tool'!C111="","",IF('Assignment Tool'!C111="FST",'Assignment Tool'!D111,""))</f>
        <v>F 11428-1 NW 49TH DR</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
      </c>
      <c r="G112" t="str">
        <f>IF('Assignment Tool'!C112="","",IF('Assignment Tool'!C112="FST",'Assignment Tool'!D112,""))</f>
        <v>F 11433-1 NW 49TH DR</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
      </c>
      <c r="G113" t="str">
        <f>IF('Assignment Tool'!C113="","",IF('Assignment Tool'!C113="FST",'Assignment Tool'!D113,""))</f>
        <v>F 11445-1 NW 49TH DR</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
      </c>
      <c r="G114" t="str">
        <f>IF('Assignment Tool'!C114="","",IF('Assignment Tool'!C114="FST",'Assignment Tool'!D114,""))</f>
        <v>F 11457-1 NW 49TH DR</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
      </c>
      <c r="G115" t="str">
        <f>IF('Assignment Tool'!C115="","",IF('Assignment Tool'!C115="FST",'Assignment Tool'!D115,""))</f>
        <v>F 11469-1 NW 49TH DR</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
      </c>
      <c r="G140" t="str">
        <f>IF('Assignment Tool'!C140="","",IF('Assignment Tool'!C140="FST",'Assignment Tool'!D140,""))</f>
        <v>F 4723-1 NW 114TH LN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
      </c>
      <c r="G141" t="str">
        <f>IF('Assignment Tool'!C141="","",IF('Assignment Tool'!C141="FST",'Assignment Tool'!D141,""))</f>
        <v>F 4755-1 NW 114TH LN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
      </c>
      <c r="G181" t="str">
        <f>IF('Assignment Tool'!C181="","",IF('Assignment Tool'!C181="FST",'Assignment Tool'!D181,""))</f>
        <v>F 11405-1 NW 48TH CT</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
      </c>
      <c r="G182" t="str">
        <f>IF('Assignment Tool'!C182="","",IF('Assignment Tool'!C182="FST",'Assignment Tool'!D182,""))</f>
        <v>F 11417-1 NW 48TH CT</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
      </c>
      <c r="G183" t="str">
        <f>IF('Assignment Tool'!C183="","",IF('Assignment Tool'!C183="FST",'Assignment Tool'!D183,""))</f>
        <v>F 11429-1 NW 48TH CT</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
      </c>
      <c r="G184" t="str">
        <f>IF('Assignment Tool'!C184="","",IF('Assignment Tool'!C184="FST",'Assignment Tool'!D184,""))</f>
        <v>F 11441-1 NW 48TH CT</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
      </c>
      <c r="G185" t="str">
        <f>IF('Assignment Tool'!C185="","",IF('Assignment Tool'!C185="FST",'Assignment Tool'!D185,""))</f>
        <v>F 11453-1 NW 48TH CT</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
      </c>
      <c r="G186" t="str">
        <f>IF('Assignment Tool'!C186="","",IF('Assignment Tool'!C186="FST",'Assignment Tool'!D186,""))</f>
        <v>F 11448-1 NW 48TH CT</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
      </c>
      <c r="G187" t="str">
        <f>IF('Assignment Tool'!C187="","",IF('Assignment Tool'!C187="FST",'Assignment Tool'!D187,""))</f>
        <v>F 11465-1 NW 48TH CT</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
      </c>
      <c r="G188" t="str">
        <f>IF('Assignment Tool'!C188="","",IF('Assignment Tool'!C188="FST",'Assignment Tool'!D188,""))</f>
        <v>F 11477-1 NW 48TH CT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B2" sqref="B2"/>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0</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0</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22</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1</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3</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0</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28</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A11" sqref="A11:A12"/>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2055</v>
      </c>
      <c r="F2" s="276" t="s">
        <v>173</v>
      </c>
      <c r="G2" s="276"/>
      <c r="H2" s="276"/>
      <c r="I2" s="14">
        <f>IF(I3="","",IF(AND(I5="Y",I6="N"),I3,IF(I3&lt;1000,I3+10,I3+20)))</f>
        <v>459</v>
      </c>
      <c r="K2" s="276" t="s">
        <v>173</v>
      </c>
      <c r="L2" s="276"/>
      <c r="M2" s="276"/>
      <c r="N2" s="14">
        <f>IF(N3="","",IF(AND(N5="Y",N6="N"),N3,IF(N3&lt;1000,N3+10,N3+20)))</f>
        <v>2007</v>
      </c>
      <c r="P2" s="276" t="s">
        <v>173</v>
      </c>
      <c r="Q2" s="276"/>
      <c r="R2" s="276"/>
      <c r="S2" s="14">
        <f>IF(S3="","",IF(AND(S5="Y",S6="N"),S3,IF(S3&lt;1000,S3+10,S3+20)))</f>
        <v>276</v>
      </c>
      <c r="U2" s="276" t="s">
        <v>173</v>
      </c>
      <c r="V2" s="276"/>
      <c r="W2" s="276"/>
      <c r="X2" s="14">
        <f>IF(X3="","",IF(AND(X5="Y",X6="N"),X3,IF(X3&lt;1000,X3+10,X3+20)))</f>
        <v>973</v>
      </c>
      <c r="Z2" s="276" t="s">
        <v>173</v>
      </c>
      <c r="AA2" s="276"/>
      <c r="AB2" s="276"/>
      <c r="AC2" s="14" t="str">
        <f>IF(AC3="","",IF(AND(AC5="Y",AC6="N"),AC3,IF(AC3&lt;1000,AC3+10,AC3+20)))</f>
        <v/>
      </c>
      <c r="AE2" s="276" t="s">
        <v>173</v>
      </c>
      <c r="AF2" s="276"/>
      <c r="AG2" s="276"/>
      <c r="AH2" s="14" t="str">
        <f>IF(AH3="","",IF(AND(AH5="Y",AH6="N"),AH3,IF(AH3&lt;1000,AH3+10,AH3+20)))</f>
        <v/>
      </c>
      <c r="AJ2" s="276" t="s">
        <v>173</v>
      </c>
      <c r="AK2" s="276"/>
      <c r="AL2" s="276"/>
      <c r="AM2" s="14" t="str">
        <f>IF(AM3="","",IF(AND(AM5="Y",AM6="N"),AM3,IF(AM3&lt;1000,AM3+10,AM3+20)))</f>
        <v/>
      </c>
      <c r="AO2" s="276" t="s">
        <v>173</v>
      </c>
      <c r="AP2" s="276"/>
      <c r="AQ2" s="276"/>
      <c r="AR2" s="14" t="str">
        <f>IF(AR3="","",IF(AND(AR5="Y",AR6="N"),AR3,IF(AR3&lt;1000,AR3+10,AR3+20)))</f>
        <v/>
      </c>
      <c r="AT2" s="276" t="s">
        <v>173</v>
      </c>
      <c r="AU2" s="276"/>
      <c r="AV2" s="276"/>
      <c r="AW2" s="14" t="str">
        <f>IF(AW3="","",IF(AND(AW5="Y",AW6="N"),AW3,IF(AW3&lt;1000,AW3+10,AW3+20)))</f>
        <v/>
      </c>
      <c r="AY2" s="276" t="s">
        <v>173</v>
      </c>
      <c r="AZ2" s="276"/>
      <c r="BA2" s="276"/>
      <c r="BB2" s="14" t="str">
        <f>IF(BB3="","",IF(AND(BB5="Y",BB6="N"),BB3,IF(BB3&lt;1000,BB3+10,BB3+20)))</f>
        <v/>
      </c>
      <c r="BD2" s="276" t="s">
        <v>173</v>
      </c>
      <c r="BE2" s="276"/>
      <c r="BF2" s="276"/>
      <c r="BG2" s="14" t="str">
        <f>IF(BG3="","",IF(AND(BG5="Y",BG6="N"),BG3,IF(BG3&lt;1000,BG3+10,BG3+20)))</f>
        <v/>
      </c>
      <c r="BI2" s="276" t="s">
        <v>173</v>
      </c>
      <c r="BJ2" s="276"/>
      <c r="BK2" s="276"/>
      <c r="BL2" s="14" t="str">
        <f>IF(BL3="","",IF(AND(BL5="Y",BL6="N"),BL3,IF(BL3&lt;1000,BL3+10,BL3+20)))</f>
        <v/>
      </c>
      <c r="BN2" s="276" t="s">
        <v>173</v>
      </c>
      <c r="BO2" s="276"/>
      <c r="BP2" s="276"/>
      <c r="BQ2" s="14" t="str">
        <f>IF(BQ3="","",IF(AND(BQ5="Y",BQ6="N"),BQ3,IF(BQ3&lt;1000,BQ3+10,BQ3+20)))</f>
        <v/>
      </c>
      <c r="BS2" s="276" t="s">
        <v>173</v>
      </c>
      <c r="BT2" s="276"/>
      <c r="BU2" s="276"/>
      <c r="BV2" s="14" t="str">
        <f>IF(BV3="","",IF(AND(BV5="Y",BV6="N"),BV3,IF(BV3&lt;1000,BV3+10,BV3+20)))</f>
        <v/>
      </c>
      <c r="BX2" s="276" t="s">
        <v>173</v>
      </c>
      <c r="BY2" s="276"/>
      <c r="BZ2" s="276"/>
      <c r="CA2" s="14" t="str">
        <f>IF(CA3="","",IF(AND(CA5="Y",CA6="N"),CA3,IF(CA3&lt;1000,CA3+10,CA3+20)))</f>
        <v/>
      </c>
      <c r="CC2" s="276" t="s">
        <v>173</v>
      </c>
      <c r="CD2" s="276"/>
      <c r="CE2" s="276"/>
      <c r="CF2" s="14" t="str">
        <f>IF(CF3="","",IF(AND(CF5="Y",CF6="N"),CF3,IF(CF3&lt;1000,CF3+10,CF3+20)))</f>
        <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2035</v>
      </c>
      <c r="E3" s="16">
        <f>IF(E9="","",SUM(E9:E208,B9:B208,D9:D208))</f>
        <v>2035</v>
      </c>
      <c r="F3" s="276" t="s">
        <v>174</v>
      </c>
      <c r="G3" s="276"/>
      <c r="H3" s="276"/>
      <c r="I3" s="15">
        <f>IF(J3="","",SUM(J3,J5,J6))</f>
        <v>449</v>
      </c>
      <c r="J3" s="16">
        <f>IF(J9="","",SUM(J9:J208,G9:G208,I9:I208))</f>
        <v>424</v>
      </c>
      <c r="K3" s="276" t="s">
        <v>174</v>
      </c>
      <c r="L3" s="276"/>
      <c r="M3" s="276"/>
      <c r="N3" s="15">
        <f>IF(O3="","",SUM(O3,O5,O6))</f>
        <v>1987</v>
      </c>
      <c r="O3" s="16">
        <f>IF(O9="","",SUM(O9:O208,L9:L208,N9:N208))</f>
        <v>1962</v>
      </c>
      <c r="P3" s="276" t="s">
        <v>174</v>
      </c>
      <c r="Q3" s="276"/>
      <c r="R3" s="276"/>
      <c r="S3" s="15">
        <f>IF(T3="","",SUM(T3,T5,T6))</f>
        <v>276</v>
      </c>
      <c r="T3" s="16">
        <f>IF(T9="","",SUM(T9:T208,Q9:Q208,S9:S208))</f>
        <v>226</v>
      </c>
      <c r="U3" s="276" t="s">
        <v>174</v>
      </c>
      <c r="V3" s="276"/>
      <c r="W3" s="276"/>
      <c r="X3" s="15">
        <f>IF(Y3="","",SUM(Y3,Y5,Y6))</f>
        <v>973</v>
      </c>
      <c r="Y3" s="16">
        <f>IF(Y9="","",SUM(Y9:Y208,V9:V208,X9:X208))</f>
        <v>923</v>
      </c>
      <c r="Z3" s="276" t="s">
        <v>174</v>
      </c>
      <c r="AA3" s="276"/>
      <c r="AB3" s="276"/>
      <c r="AC3" s="15" t="str">
        <f>IF(AD3="","",SUM(AD3,AD5,AD6))</f>
        <v/>
      </c>
      <c r="AD3" s="16" t="str">
        <f>IF(AD9="","",SUM(AD9:AD208,AA9:AA208,AC9:AC208))</f>
        <v/>
      </c>
      <c r="AE3" s="276" t="s">
        <v>174</v>
      </c>
      <c r="AF3" s="276"/>
      <c r="AG3" s="276"/>
      <c r="AH3" s="15" t="str">
        <f>IF(AI3="","",SUM(AI3,AI5,AI6))</f>
        <v/>
      </c>
      <c r="AI3" s="16" t="str">
        <f>IF(AI9="","",SUM(AI9:AI208,AF9:AF208,AH9:AH208))</f>
        <v/>
      </c>
      <c r="AJ3" s="276" t="s">
        <v>174</v>
      </c>
      <c r="AK3" s="276"/>
      <c r="AL3" s="276"/>
      <c r="AM3" s="15" t="str">
        <f>IF(AN3="","",SUM(AN3,AN5,AN6))</f>
        <v/>
      </c>
      <c r="AN3" s="16" t="str">
        <f>IF(AN9="","",SUM(AN9:AN208,AK9:AK208,AM9:AM208))</f>
        <v/>
      </c>
      <c r="AO3" s="276" t="s">
        <v>174</v>
      </c>
      <c r="AP3" s="276"/>
      <c r="AQ3" s="276"/>
      <c r="AR3" s="15" t="str">
        <f>IF(AS3="","",SUM(AS3,AS5,AS6))</f>
        <v/>
      </c>
      <c r="AS3" s="16" t="str">
        <f>IF(AS9="","",SUM(AS9:AS208,AP9:AP208,AR9:AR208))</f>
        <v/>
      </c>
      <c r="AT3" s="276" t="s">
        <v>174</v>
      </c>
      <c r="AU3" s="276"/>
      <c r="AV3" s="276"/>
      <c r="AW3" s="15" t="str">
        <f>IF(AX3="","",SUM(AX3,AX5,AX6))</f>
        <v/>
      </c>
      <c r="AX3" s="16" t="str">
        <f>IF(AX9="","",SUM(AX9:AX208,AU9:AU208,AW9:AW208))</f>
        <v/>
      </c>
      <c r="AY3" s="276" t="s">
        <v>174</v>
      </c>
      <c r="AZ3" s="276"/>
      <c r="BA3" s="276"/>
      <c r="BB3" s="15" t="str">
        <f>IF(BC3="","",SUM(BC3,BC5,BC6))</f>
        <v/>
      </c>
      <c r="BC3" s="16" t="str">
        <f>IF(BC9="","",SUM(BC9:BC208,AZ9:AZ208,BB9:BB208))</f>
        <v/>
      </c>
      <c r="BD3" s="276" t="s">
        <v>174</v>
      </c>
      <c r="BE3" s="276"/>
      <c r="BF3" s="276"/>
      <c r="BG3" s="15" t="str">
        <f>IF(BH3="","",SUM(BH3,BH5,BH6))</f>
        <v/>
      </c>
      <c r="BH3" s="16" t="str">
        <f>IF(BH9="","",SUM(BH9:BH208,BE9:BE208,BG9:BG208))</f>
        <v/>
      </c>
      <c r="BI3" s="276" t="s">
        <v>174</v>
      </c>
      <c r="BJ3" s="276"/>
      <c r="BK3" s="276"/>
      <c r="BL3" s="15" t="str">
        <f>IF(BM3="","",SUM(BM3,BM5,BM6))</f>
        <v/>
      </c>
      <c r="BM3" s="16" t="str">
        <f>IF(BM9="","",SUM(BM9:BM208,BJ9:BJ208,BL9:BL208))</f>
        <v/>
      </c>
      <c r="BN3" s="276" t="s">
        <v>174</v>
      </c>
      <c r="BO3" s="276"/>
      <c r="BP3" s="276"/>
      <c r="BQ3" s="15" t="str">
        <f>IF(BR3="","",SUM(BR3,BR5,BR6))</f>
        <v/>
      </c>
      <c r="BR3" s="16" t="str">
        <f>IF(BR9="","",SUM(BR9:BR208,BO9:BO208,BQ9:BQ208))</f>
        <v/>
      </c>
      <c r="BS3" s="276" t="s">
        <v>174</v>
      </c>
      <c r="BT3" s="276"/>
      <c r="BU3" s="276"/>
      <c r="BV3" s="15" t="str">
        <f>IF(BW3="","",SUM(BW3,BW5,BW6))</f>
        <v/>
      </c>
      <c r="BW3" s="16" t="str">
        <f>IF(BW9="","",SUM(BW9:BW208,BT9:BT208,BV9:BV208))</f>
        <v/>
      </c>
      <c r="BX3" s="276" t="s">
        <v>174</v>
      </c>
      <c r="BY3" s="276"/>
      <c r="BZ3" s="276"/>
      <c r="CA3" s="15" t="str">
        <f>IF(CB3="","",SUM(CB3,CB5,CB6))</f>
        <v/>
      </c>
      <c r="CB3" s="16" t="str">
        <f>IF(CB9="","",SUM(CB9:CB208,BY9:BY208,CA9:CA208))</f>
        <v/>
      </c>
      <c r="CC3" s="276" t="s">
        <v>174</v>
      </c>
      <c r="CD3" s="276"/>
      <c r="CE3" s="276"/>
      <c r="CF3" s="15" t="str">
        <f>IF(CG3="","",SUM(CG3,CG5,CG6))</f>
        <v/>
      </c>
      <c r="CG3" s="16" t="str">
        <f>IF(CG9="","",SUM(CG9:CG208,CD9:CD208,CF9:CF208))</f>
        <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c r="AE4" s="272" t="s">
        <v>175</v>
      </c>
      <c r="AF4" s="273"/>
      <c r="AG4" s="274"/>
      <c r="AH4" s="117"/>
      <c r="AJ4" s="272" t="s">
        <v>175</v>
      </c>
      <c r="AK4" s="273"/>
      <c r="AL4" s="274"/>
      <c r="AM4" s="117"/>
      <c r="AO4" s="272" t="s">
        <v>175</v>
      </c>
      <c r="AP4" s="273"/>
      <c r="AQ4" s="274"/>
      <c r="AR4" s="117"/>
      <c r="AT4" s="272" t="s">
        <v>175</v>
      </c>
      <c r="AU4" s="273"/>
      <c r="AV4" s="274"/>
      <c r="AW4" s="117"/>
      <c r="AY4" s="272" t="s">
        <v>175</v>
      </c>
      <c r="AZ4" s="273"/>
      <c r="BA4" s="274"/>
      <c r="BB4" s="117"/>
      <c r="BD4" s="272" t="s">
        <v>175</v>
      </c>
      <c r="BE4" s="273"/>
      <c r="BF4" s="274"/>
      <c r="BG4" s="117"/>
      <c r="BI4" s="272" t="s">
        <v>175</v>
      </c>
      <c r="BJ4" s="273"/>
      <c r="BK4" s="274"/>
      <c r="BL4" s="117"/>
      <c r="BN4" s="272" t="s">
        <v>175</v>
      </c>
      <c r="BO4" s="273"/>
      <c r="BP4" s="274"/>
      <c r="BQ4" s="117"/>
      <c r="BS4" s="272" t="s">
        <v>175</v>
      </c>
      <c r="BT4" s="273"/>
      <c r="BU4" s="274"/>
      <c r="BV4" s="117"/>
      <c r="BX4" s="272" t="s">
        <v>175</v>
      </c>
      <c r="BY4" s="273"/>
      <c r="BZ4" s="274"/>
      <c r="CA4" s="117"/>
      <c r="CC4" s="272" t="s">
        <v>175</v>
      </c>
      <c r="CD4" s="273"/>
      <c r="CE4" s="274"/>
      <c r="CF4" s="117"/>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c r="AD5" s="16" t="str">
        <f>IF(AC4="N","0",IF(AC5="Y",AD7/2,"0"))</f>
        <v>0</v>
      </c>
      <c r="AE5" s="272" t="s">
        <v>176</v>
      </c>
      <c r="AF5" s="273"/>
      <c r="AG5" s="274"/>
      <c r="AH5" s="117"/>
      <c r="AI5" s="16" t="str">
        <f>IF(AH4="N","0",IF(AH5="Y",AI7/2,"0"))</f>
        <v>0</v>
      </c>
      <c r="AJ5" s="272" t="s">
        <v>176</v>
      </c>
      <c r="AK5" s="273"/>
      <c r="AL5" s="274"/>
      <c r="AM5" s="117"/>
      <c r="AN5" s="16" t="str">
        <f>IF(AM4="N","0",IF(AM5="Y",AN7/2,"0"))</f>
        <v>0</v>
      </c>
      <c r="AO5" s="272" t="s">
        <v>176</v>
      </c>
      <c r="AP5" s="273"/>
      <c r="AQ5" s="274"/>
      <c r="AR5" s="117"/>
      <c r="AS5" s="16" t="str">
        <f>IF(AR4="N","0",IF(AR5="Y",AS7/2,"0"))</f>
        <v>0</v>
      </c>
      <c r="AT5" s="272" t="s">
        <v>176</v>
      </c>
      <c r="AU5" s="273"/>
      <c r="AV5" s="274"/>
      <c r="AW5" s="117"/>
      <c r="AX5" s="16" t="str">
        <f>IF(AW4="N","0",IF(AW5="Y",AX7/2,"0"))</f>
        <v>0</v>
      </c>
      <c r="AY5" s="272" t="s">
        <v>176</v>
      </c>
      <c r="AZ5" s="273"/>
      <c r="BA5" s="274"/>
      <c r="BB5" s="117"/>
      <c r="BC5" s="16" t="str">
        <f>IF(BB4="N","0",IF(BB5="Y",BC7/2,"0"))</f>
        <v>0</v>
      </c>
      <c r="BD5" s="272" t="s">
        <v>176</v>
      </c>
      <c r="BE5" s="273"/>
      <c r="BF5" s="274"/>
      <c r="BG5" s="117"/>
      <c r="BH5" s="16" t="str">
        <f>IF(BG4="N","0",IF(BG5="Y",BH7/2,"0"))</f>
        <v>0</v>
      </c>
      <c r="BI5" s="272" t="s">
        <v>176</v>
      </c>
      <c r="BJ5" s="273"/>
      <c r="BK5" s="274"/>
      <c r="BL5" s="117"/>
      <c r="BM5" s="16" t="str">
        <f>IF(BL4="N","0",IF(BL5="Y",BM7/2,"0"))</f>
        <v>0</v>
      </c>
      <c r="BN5" s="272" t="s">
        <v>176</v>
      </c>
      <c r="BO5" s="273"/>
      <c r="BP5" s="274"/>
      <c r="BQ5" s="117"/>
      <c r="BR5" s="16" t="str">
        <f>IF(BQ4="N","0",IF(BQ5="Y",BR7/2,"0"))</f>
        <v>0</v>
      </c>
      <c r="BS5" s="272" t="s">
        <v>176</v>
      </c>
      <c r="BT5" s="273"/>
      <c r="BU5" s="274"/>
      <c r="BV5" s="117"/>
      <c r="BW5" s="16" t="str">
        <f>IF(BV4="N","0",IF(BV5="Y",BW7/2,"0"))</f>
        <v>0</v>
      </c>
      <c r="BX5" s="272" t="s">
        <v>176</v>
      </c>
      <c r="BY5" s="273"/>
      <c r="BZ5" s="274"/>
      <c r="CA5" s="117"/>
      <c r="CB5" s="16" t="str">
        <f>IF(CA4="N","0",IF(CA5="Y",CB7/2,"0"))</f>
        <v>0</v>
      </c>
      <c r="CC5" s="272" t="s">
        <v>176</v>
      </c>
      <c r="CD5" s="273"/>
      <c r="CE5" s="274"/>
      <c r="CF5" s="117"/>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178</v>
      </c>
      <c r="J6" s="16">
        <f>IF(I4="N","0",IF(I6="N",J7/2,"0"))</f>
        <v>25</v>
      </c>
      <c r="K6" s="272" t="s">
        <v>177</v>
      </c>
      <c r="L6" s="273"/>
      <c r="M6" s="274"/>
      <c r="N6" s="117" t="s">
        <v>178</v>
      </c>
      <c r="O6" s="16">
        <f>IF(N4="N","0",IF(N6="N",O7/2,"0"))</f>
        <v>25</v>
      </c>
      <c r="P6" s="272" t="s">
        <v>177</v>
      </c>
      <c r="Q6" s="273"/>
      <c r="R6" s="274"/>
      <c r="S6" s="117" t="s">
        <v>178</v>
      </c>
      <c r="T6" s="16">
        <f>IF(S4="N","0",IF(S6="N",T7/2,"0"))</f>
        <v>25</v>
      </c>
      <c r="U6" s="272" t="s">
        <v>177</v>
      </c>
      <c r="V6" s="273"/>
      <c r="W6" s="274"/>
      <c r="X6" s="117" t="s">
        <v>178</v>
      </c>
      <c r="Y6" s="16">
        <f>IF(X4="N","0",IF(X6="N",Y7/2,"0"))</f>
        <v>25</v>
      </c>
      <c r="Z6" s="272" t="s">
        <v>177</v>
      </c>
      <c r="AA6" s="273"/>
      <c r="AB6" s="274"/>
      <c r="AC6" s="117" t="s">
        <v>178</v>
      </c>
      <c r="AD6" s="16">
        <f>IF(AC4="N","0",IF(AC6="N",AD7/2,"0"))</f>
        <v>0</v>
      </c>
      <c r="AE6" s="272" t="s">
        <v>177</v>
      </c>
      <c r="AF6" s="273"/>
      <c r="AG6" s="274"/>
      <c r="AH6" s="117" t="s">
        <v>178</v>
      </c>
      <c r="AI6" s="16">
        <f>IF(AH4="N","0",IF(AH6="N",AI7/2,"0"))</f>
        <v>0</v>
      </c>
      <c r="AJ6" s="272" t="s">
        <v>177</v>
      </c>
      <c r="AK6" s="273"/>
      <c r="AL6" s="274"/>
      <c r="AM6" s="117" t="s">
        <v>178</v>
      </c>
      <c r="AN6" s="16">
        <f>IF(AM4="N","0",IF(AM6="N",AN7/2,"0"))</f>
        <v>0</v>
      </c>
      <c r="AO6" s="272" t="s">
        <v>177</v>
      </c>
      <c r="AP6" s="273"/>
      <c r="AQ6" s="274"/>
      <c r="AR6" s="117" t="s">
        <v>178</v>
      </c>
      <c r="AS6" s="16">
        <f>IF(AR4="N","0",IF(AR6="N",AS7/2,"0"))</f>
        <v>0</v>
      </c>
      <c r="AT6" s="272" t="s">
        <v>177</v>
      </c>
      <c r="AU6" s="273"/>
      <c r="AV6" s="274"/>
      <c r="AW6" s="117" t="s">
        <v>178</v>
      </c>
      <c r="AX6" s="16">
        <f>IF(AW4="N","0",IF(AW6="N",AX7/2,"0"))</f>
        <v>0</v>
      </c>
      <c r="AY6" s="272" t="s">
        <v>177</v>
      </c>
      <c r="AZ6" s="273"/>
      <c r="BA6" s="274"/>
      <c r="BB6" s="117" t="s">
        <v>178</v>
      </c>
      <c r="BC6" s="16">
        <f>IF(BB4="N","0",IF(BB6="N",BC7/2,"0"))</f>
        <v>0</v>
      </c>
      <c r="BD6" s="272" t="s">
        <v>177</v>
      </c>
      <c r="BE6" s="273"/>
      <c r="BF6" s="274"/>
      <c r="BG6" s="117" t="s">
        <v>178</v>
      </c>
      <c r="BH6" s="16">
        <f>IF(BG4="N","0",IF(BG6="N",BH7/2,"0"))</f>
        <v>0</v>
      </c>
      <c r="BI6" s="272" t="s">
        <v>177</v>
      </c>
      <c r="BJ6" s="273"/>
      <c r="BK6" s="274"/>
      <c r="BL6" s="117" t="s">
        <v>178</v>
      </c>
      <c r="BM6" s="16">
        <f>IF(BL4="N","0",IF(BL6="N",BM7/2,"0"))</f>
        <v>0</v>
      </c>
      <c r="BN6" s="272" t="s">
        <v>177</v>
      </c>
      <c r="BO6" s="273"/>
      <c r="BP6" s="274"/>
      <c r="BQ6" s="117" t="s">
        <v>178</v>
      </c>
      <c r="BR6" s="16">
        <f>IF(BQ4="N","0",IF(BQ6="N",BR7/2,"0"))</f>
        <v>0</v>
      </c>
      <c r="BS6" s="272" t="s">
        <v>177</v>
      </c>
      <c r="BT6" s="273"/>
      <c r="BU6" s="274"/>
      <c r="BV6" s="117" t="s">
        <v>178</v>
      </c>
      <c r="BW6" s="16">
        <f>IF(BV4="N","0",IF(BV6="N",BW7/2,"0"))</f>
        <v>0</v>
      </c>
      <c r="BX6" s="272" t="s">
        <v>177</v>
      </c>
      <c r="BY6" s="273"/>
      <c r="BZ6" s="274"/>
      <c r="CA6" s="117" t="s">
        <v>178</v>
      </c>
      <c r="CB6" s="16">
        <f>IF(CA4="N","0",IF(CA6="N",CB7/2,"0"))</f>
        <v>0</v>
      </c>
      <c r="CC6" s="272" t="s">
        <v>177</v>
      </c>
      <c r="CD6" s="273"/>
      <c r="CE6" s="274"/>
      <c r="CF6" s="117" t="s">
        <v>178</v>
      </c>
      <c r="CG6" s="16">
        <f>IF(CF4="N","0",IF(CF6="N",CG7/2,"0"))</f>
        <v>0</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c r="E7" s="16">
        <f>IF(OR(D7="RPX",D7="SS"),30,IF(OR(D7="RPX-T",D7="EUC"),50,0))</f>
        <v>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c r="AI7" s="16">
        <f>IF(OR(AH7="RPX",AH7="SS"),30,IF(OR(AH7="RPX-T",AH7="EUC"),50,0))</f>
        <v>0</v>
      </c>
      <c r="AJ7" s="272" t="s">
        <v>180</v>
      </c>
      <c r="AK7" s="273"/>
      <c r="AL7" s="274"/>
      <c r="AM7" s="117"/>
      <c r="AN7" s="16">
        <f>IF(OR(AM7="RPX",AM7="SS"),30,IF(OR(AM7="RPX-T",AM7="EUC"),50,0))</f>
        <v>0</v>
      </c>
      <c r="AO7" s="272" t="s">
        <v>180</v>
      </c>
      <c r="AP7" s="273"/>
      <c r="AQ7" s="274"/>
      <c r="AR7" s="117"/>
      <c r="AS7" s="16">
        <f>IF(OR(AR7="RPX",AR7="SS"),30,IF(OR(AR7="RPX-T",AR7="EUC"),50,0))</f>
        <v>0</v>
      </c>
      <c r="AT7" s="272" t="s">
        <v>180</v>
      </c>
      <c r="AU7" s="273"/>
      <c r="AV7" s="274"/>
      <c r="AW7" s="117"/>
      <c r="AX7" s="16">
        <f>IF(OR(AW7="RPX",AW7="SS"),30,IF(OR(AW7="RPX-T",AW7="EUC"),50,0))</f>
        <v>0</v>
      </c>
      <c r="AY7" s="272" t="s">
        <v>180</v>
      </c>
      <c r="AZ7" s="273"/>
      <c r="BA7" s="274"/>
      <c r="BB7" s="117"/>
      <c r="BC7" s="16">
        <f>IF(OR(BB7="RPX",BB7="SS"),30,IF(OR(BB7="RPX-T",BB7="EUC"),50,0))</f>
        <v>0</v>
      </c>
      <c r="BD7" s="272" t="s">
        <v>180</v>
      </c>
      <c r="BE7" s="273"/>
      <c r="BF7" s="274"/>
      <c r="BG7" s="117"/>
      <c r="BH7" s="16">
        <f>IF(OR(BG7="RPX",BG7="SS"),30,IF(OR(BG7="RPX-T",BG7="EUC"),50,0))</f>
        <v>0</v>
      </c>
      <c r="BI7" s="272" t="s">
        <v>180</v>
      </c>
      <c r="BJ7" s="273"/>
      <c r="BK7" s="274"/>
      <c r="BL7" s="117"/>
      <c r="BM7" s="16">
        <f>IF(OR(BL7="RPX",BL7="SS"),30,IF(OR(BL7="RPX-T",BL7="EUC"),50,0))</f>
        <v>0</v>
      </c>
      <c r="BN7" s="272" t="s">
        <v>180</v>
      </c>
      <c r="BO7" s="273"/>
      <c r="BP7" s="274"/>
      <c r="BQ7" s="117"/>
      <c r="BR7" s="16">
        <f>IF(OR(BQ7="RPX",BQ7="SS"),30,IF(OR(BQ7="RPX-T",BQ7="EUC"),50,0))</f>
        <v>0</v>
      </c>
      <c r="BS7" s="272" t="s">
        <v>180</v>
      </c>
      <c r="BT7" s="273"/>
      <c r="BU7" s="274"/>
      <c r="BV7" s="117"/>
      <c r="BW7" s="16">
        <f>IF(OR(BV7="RPX",BV7="SS"),30,IF(OR(BV7="RPX-T",BV7="EUC"),50,0))</f>
        <v>0</v>
      </c>
      <c r="BX7" s="272" t="s">
        <v>180</v>
      </c>
      <c r="BY7" s="273"/>
      <c r="BZ7" s="274"/>
      <c r="CA7" s="117"/>
      <c r="CB7" s="16">
        <f>IF(OR(CA7="RPX",CA7="SS"),30,IF(OR(CA7="RPX-T",CA7="EUC"),50,0))</f>
        <v>0</v>
      </c>
      <c r="CC7" s="272" t="s">
        <v>180</v>
      </c>
      <c r="CD7" s="273"/>
      <c r="CE7" s="274"/>
      <c r="CF7" s="117"/>
      <c r="CG7" s="16">
        <f>IF(OR(CF7="RPX",CF7="SS"),30,IF(OR(CF7="RPX-T",CF7="EUC"),50,0))</f>
        <v>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c r="AA9" s="90"/>
      <c r="AB9" s="90"/>
      <c r="AC9" s="116"/>
      <c r="AD9" s="16" t="str">
        <f>IF(Z9="",IF(AB9="","",AB9),Z9)</f>
        <v/>
      </c>
      <c r="AE9" s="90"/>
      <c r="AF9" s="90"/>
      <c r="AG9" s="90"/>
      <c r="AH9" s="116"/>
      <c r="AI9" s="16" t="str">
        <f>IF(AE9="",IF(AG9="","",AG9),AE9)</f>
        <v/>
      </c>
      <c r="AJ9" s="90"/>
      <c r="AK9" s="90"/>
      <c r="AL9" s="90"/>
      <c r="AM9" s="116"/>
      <c r="AN9" s="16" t="str">
        <f>IF(AJ9="",IF(AL9="","",AL9),AJ9)</f>
        <v/>
      </c>
      <c r="AO9" s="90"/>
      <c r="AP9" s="90"/>
      <c r="AQ9" s="90"/>
      <c r="AR9" s="116"/>
      <c r="AS9" s="16" t="str">
        <f>IF(AO9="",IF(AQ9="","",AQ9),AO9)</f>
        <v/>
      </c>
      <c r="AT9" s="90"/>
      <c r="AU9" s="90"/>
      <c r="AV9" s="90"/>
      <c r="AW9" s="116"/>
      <c r="AX9" s="16" t="str">
        <f>IF(AT9="",IF(AV9="","",AV9),AT9)</f>
        <v/>
      </c>
      <c r="AY9" s="90"/>
      <c r="AZ9" s="90"/>
      <c r="BA9" s="90"/>
      <c r="BB9" s="116"/>
      <c r="BC9" s="16" t="str">
        <f>IF(AY9="",IF(BA9="","",BA9),AY9)</f>
        <v/>
      </c>
      <c r="BD9" s="90"/>
      <c r="BE9" s="90"/>
      <c r="BF9" s="90"/>
      <c r="BG9" s="116"/>
      <c r="BH9" s="16" t="str">
        <f>IF(BD9="",IF(BF9="","",BF9),BD9)</f>
        <v/>
      </c>
      <c r="BI9" s="90"/>
      <c r="BJ9" s="90"/>
      <c r="BK9" s="90"/>
      <c r="BL9" s="116"/>
      <c r="BM9" s="16" t="str">
        <f>IF(BI9="",IF(BK9="","",BK9),BI9)</f>
        <v/>
      </c>
      <c r="BN9" s="90"/>
      <c r="BO9" s="90"/>
      <c r="BP9" s="90"/>
      <c r="BQ9" s="116"/>
      <c r="BR9" s="16" t="str">
        <f>IF(BN9="",IF(BP9="","",BP9),BN9)</f>
        <v/>
      </c>
      <c r="BS9" s="90"/>
      <c r="BT9" s="90"/>
      <c r="BU9" s="90"/>
      <c r="BV9" s="116"/>
      <c r="BW9" s="16" t="str">
        <f>IF(BS9="",IF(BU9="","",BU9),BS9)</f>
        <v/>
      </c>
      <c r="BX9" s="90"/>
      <c r="BY9" s="90"/>
      <c r="BZ9" s="90"/>
      <c r="CA9" s="116"/>
      <c r="CB9" s="16" t="str">
        <f>IF(BX9="",IF(BZ9="","",BZ9),BX9)</f>
        <v/>
      </c>
      <c r="CC9" s="90"/>
      <c r="CD9" s="90"/>
      <c r="CE9" s="90"/>
      <c r="CF9" s="116"/>
      <c r="CG9" s="16" t="str">
        <f>IF(CC9="",IF(CE9="","",CE9),CC9)</f>
        <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c r="AB10" s="90"/>
      <c r="AC10" s="116"/>
      <c r="AD10" s="16">
        <f>IF(Z10="",AB10,Z10)</f>
        <v>0</v>
      </c>
      <c r="AE10" s="90"/>
      <c r="AF10" s="90"/>
      <c r="AG10" s="90"/>
      <c r="AH10" s="116"/>
      <c r="AI10" s="16">
        <f>IF(AE10="",AG10,AE10)</f>
        <v>0</v>
      </c>
      <c r="AJ10" s="90"/>
      <c r="AK10" s="90"/>
      <c r="AL10" s="90"/>
      <c r="AM10" s="116"/>
      <c r="AN10" s="16">
        <f>IF(AJ10="",AL10,AJ10)</f>
        <v>0</v>
      </c>
      <c r="AO10" s="90"/>
      <c r="AP10" s="90"/>
      <c r="AQ10" s="90"/>
      <c r="AR10" s="116"/>
      <c r="AS10" s="16">
        <f>IF(AO10="",AQ10,AO10)</f>
        <v>0</v>
      </c>
      <c r="AT10" s="90"/>
      <c r="AU10" s="90"/>
      <c r="AV10" s="90"/>
      <c r="AW10" s="116"/>
      <c r="AX10" s="16">
        <f>IF(AT10="",AV10,AT10)</f>
        <v>0</v>
      </c>
      <c r="AY10" s="90"/>
      <c r="AZ10" s="90"/>
      <c r="BA10" s="90"/>
      <c r="BB10" s="116"/>
      <c r="BC10" s="16">
        <f>IF(AY10="",BA10,AY10)</f>
        <v>0</v>
      </c>
      <c r="BD10" s="90"/>
      <c r="BE10" s="90"/>
      <c r="BF10" s="90"/>
      <c r="BG10" s="116"/>
      <c r="BH10" s="16">
        <f>IF(BD10="",BF10,BD10)</f>
        <v>0</v>
      </c>
      <c r="BI10" s="90"/>
      <c r="BJ10" s="90"/>
      <c r="BK10" s="90"/>
      <c r="BL10" s="116"/>
      <c r="BM10" s="16">
        <f>IF(BI10="",BK10,BI10)</f>
        <v>0</v>
      </c>
      <c r="BN10" s="90"/>
      <c r="BO10" s="90"/>
      <c r="BP10" s="90"/>
      <c r="BQ10" s="116"/>
      <c r="BR10" s="16">
        <f>IF(BN10="",BP10,BN10)</f>
        <v>0</v>
      </c>
      <c r="BS10" s="90"/>
      <c r="BT10" s="90"/>
      <c r="BU10" s="90"/>
      <c r="BV10" s="116"/>
      <c r="BW10" s="16">
        <f>IF(BS10="",BU10,BS10)</f>
        <v>0</v>
      </c>
      <c r="BX10" s="90"/>
      <c r="BY10" s="90"/>
      <c r="BZ10" s="90"/>
      <c r="CA10" s="116"/>
      <c r="CB10" s="16">
        <f>IF(BX10="",BZ10,BX10)</f>
        <v>0</v>
      </c>
      <c r="CC10" s="90"/>
      <c r="CD10" s="90"/>
      <c r="CE10" s="90"/>
      <c r="CF10" s="116"/>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160</v>
      </c>
      <c r="B11" s="90"/>
      <c r="C11" s="116"/>
      <c r="D11" s="116"/>
      <c r="E11" s="16">
        <f t="shared" ref="E11:E74" si="1">IF(A11="",C11,A11)</f>
        <v>160</v>
      </c>
      <c r="F11" s="90">
        <v>64</v>
      </c>
      <c r="G11" s="90"/>
      <c r="H11" s="90"/>
      <c r="I11" s="116"/>
      <c r="J11" s="16">
        <f t="shared" ref="J11:J74" si="2">IF(F11="",H11,F11)</f>
        <v>64</v>
      </c>
      <c r="K11" s="90">
        <v>206</v>
      </c>
      <c r="L11" s="90"/>
      <c r="M11" s="90"/>
      <c r="N11" s="116"/>
      <c r="O11" s="16">
        <f t="shared" ref="O11:O74" si="3">IF(K11="",M11,K11)</f>
        <v>206</v>
      </c>
      <c r="P11" s="90">
        <v>61</v>
      </c>
      <c r="Q11" s="90"/>
      <c r="R11" s="90"/>
      <c r="S11" s="116"/>
      <c r="T11" s="16">
        <f t="shared" ref="T11:T74" si="4">IF(P11="",R11,P11)</f>
        <v>61</v>
      </c>
      <c r="U11" s="90">
        <v>150</v>
      </c>
      <c r="V11" s="90"/>
      <c r="W11" s="90"/>
      <c r="X11" s="116"/>
      <c r="Y11" s="16">
        <f t="shared" ref="Y11:Y74" si="5">IF(U11="",W11,U11)</f>
        <v>150</v>
      </c>
      <c r="Z11" s="90"/>
      <c r="AA11" s="90"/>
      <c r="AB11" s="90"/>
      <c r="AC11" s="116"/>
      <c r="AD11" s="16">
        <f t="shared" ref="AD11:AD74" si="6">IF(Z11="",AB11,Z11)</f>
        <v>0</v>
      </c>
      <c r="AE11" s="90"/>
      <c r="AF11" s="90"/>
      <c r="AG11" s="90"/>
      <c r="AH11" s="116"/>
      <c r="AI11" s="16">
        <f t="shared" ref="AI11:AI74" si="7">IF(AE11="",AG11,AE11)</f>
        <v>0</v>
      </c>
      <c r="AJ11" s="90"/>
      <c r="AK11" s="90"/>
      <c r="AL11" s="90"/>
      <c r="AM11" s="116"/>
      <c r="AN11" s="16">
        <f t="shared" ref="AN11:AN74" si="8">IF(AJ11="",AL11,AJ11)</f>
        <v>0</v>
      </c>
      <c r="AO11" s="90"/>
      <c r="AP11" s="90"/>
      <c r="AQ11" s="90"/>
      <c r="AR11" s="116"/>
      <c r="AS11" s="16">
        <f t="shared" ref="AS11:AS74" si="9">IF(AO11="",AQ11,AO11)</f>
        <v>0</v>
      </c>
      <c r="AT11" s="90"/>
      <c r="AU11" s="90"/>
      <c r="AV11" s="90"/>
      <c r="AW11" s="116"/>
      <c r="AX11" s="16">
        <f t="shared" ref="AX11:AX74" si="10">IF(AT11="",AV11,AT11)</f>
        <v>0</v>
      </c>
      <c r="AY11" s="90"/>
      <c r="AZ11" s="90"/>
      <c r="BA11" s="90"/>
      <c r="BB11" s="116"/>
      <c r="BC11" s="16">
        <f t="shared" ref="BC11:BC74" si="11">IF(AY11="",BA11,AY11)</f>
        <v>0</v>
      </c>
      <c r="BD11" s="90"/>
      <c r="BE11" s="90"/>
      <c r="BF11" s="90"/>
      <c r="BG11" s="116"/>
      <c r="BH11" s="16">
        <f t="shared" ref="BH11:BH74" si="12">IF(BD11="",BF11,BD11)</f>
        <v>0</v>
      </c>
      <c r="BI11" s="90"/>
      <c r="BJ11" s="90"/>
      <c r="BK11" s="90"/>
      <c r="BL11" s="116"/>
      <c r="BM11" s="16">
        <f t="shared" ref="BM11:BM74" si="13">IF(BI11="",BK11,BI11)</f>
        <v>0</v>
      </c>
      <c r="BN11" s="90"/>
      <c r="BO11" s="90"/>
      <c r="BP11" s="90"/>
      <c r="BQ11" s="116"/>
      <c r="BR11" s="16">
        <f t="shared" ref="BR11:BR74" si="14">IF(BN11="",BP11,BN11)</f>
        <v>0</v>
      </c>
      <c r="BS11" s="90"/>
      <c r="BT11" s="90"/>
      <c r="BU11" s="90"/>
      <c r="BV11" s="116"/>
      <c r="BW11" s="16">
        <f t="shared" ref="BW11:BW74" si="15">IF(BS11="",BU11,BS11)</f>
        <v>0</v>
      </c>
      <c r="BX11" s="90"/>
      <c r="BY11" s="90"/>
      <c r="BZ11" s="90"/>
      <c r="CA11" s="116"/>
      <c r="CB11" s="16">
        <f t="shared" ref="CB11:CB74" si="16">IF(BX11="",BZ11,BX11)</f>
        <v>0</v>
      </c>
      <c r="CC11" s="90"/>
      <c r="CD11" s="90"/>
      <c r="CE11" s="90"/>
      <c r="CF11" s="116"/>
      <c r="CG11" s="16">
        <f t="shared" ref="CG11:CG74" si="17">IF(CC11="",CE11,CC11)</f>
        <v>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v>378</v>
      </c>
      <c r="B12" s="90"/>
      <c r="C12" s="116"/>
      <c r="D12" s="116"/>
      <c r="E12" s="16">
        <f t="shared" si="1"/>
        <v>378</v>
      </c>
      <c r="F12" s="90"/>
      <c r="G12" s="90">
        <v>25</v>
      </c>
      <c r="H12" s="90"/>
      <c r="I12" s="116"/>
      <c r="J12" s="16">
        <f t="shared" si="2"/>
        <v>0</v>
      </c>
      <c r="K12" s="90">
        <v>208</v>
      </c>
      <c r="L12" s="90"/>
      <c r="M12" s="90"/>
      <c r="N12" s="116"/>
      <c r="O12" s="16">
        <f t="shared" si="3"/>
        <v>208</v>
      </c>
      <c r="P12" s="90"/>
      <c r="Q12" s="90">
        <v>25</v>
      </c>
      <c r="R12" s="90"/>
      <c r="S12" s="116"/>
      <c r="T12" s="16">
        <f t="shared" si="4"/>
        <v>0</v>
      </c>
      <c r="U12" s="90"/>
      <c r="V12" s="90">
        <v>25</v>
      </c>
      <c r="W12" s="90"/>
      <c r="X12" s="116"/>
      <c r="Y12" s="16">
        <f t="shared" si="5"/>
        <v>0</v>
      </c>
      <c r="Z12" s="90"/>
      <c r="AA12" s="90"/>
      <c r="AB12" s="90"/>
      <c r="AC12" s="116"/>
      <c r="AD12" s="16">
        <f t="shared" si="6"/>
        <v>0</v>
      </c>
      <c r="AE12" s="90"/>
      <c r="AF12" s="90"/>
      <c r="AG12" s="90"/>
      <c r="AH12" s="116"/>
      <c r="AI12" s="16">
        <f t="shared" si="7"/>
        <v>0</v>
      </c>
      <c r="AJ12" s="90"/>
      <c r="AK12" s="90"/>
      <c r="AL12" s="90"/>
      <c r="AM12" s="116"/>
      <c r="AN12" s="16">
        <f t="shared" si="8"/>
        <v>0</v>
      </c>
      <c r="AO12" s="90"/>
      <c r="AP12" s="90"/>
      <c r="AQ12" s="90"/>
      <c r="AR12" s="116"/>
      <c r="AS12" s="16">
        <f t="shared" si="9"/>
        <v>0</v>
      </c>
      <c r="AT12" s="90"/>
      <c r="AU12" s="90"/>
      <c r="AV12" s="90"/>
      <c r="AW12" s="116"/>
      <c r="AX12" s="16">
        <f t="shared" si="10"/>
        <v>0</v>
      </c>
      <c r="AY12" s="90"/>
      <c r="AZ12" s="90"/>
      <c r="BA12" s="90"/>
      <c r="BB12" s="116"/>
      <c r="BC12" s="16">
        <f t="shared" si="11"/>
        <v>0</v>
      </c>
      <c r="BD12" s="90"/>
      <c r="BE12" s="90"/>
      <c r="BF12" s="90"/>
      <c r="BG12" s="116"/>
      <c r="BH12" s="16">
        <f t="shared" si="12"/>
        <v>0</v>
      </c>
      <c r="BI12" s="90"/>
      <c r="BJ12" s="90"/>
      <c r="BK12" s="90"/>
      <c r="BL12" s="116"/>
      <c r="BM12" s="16">
        <f t="shared" si="13"/>
        <v>0</v>
      </c>
      <c r="BN12" s="90"/>
      <c r="BO12" s="90"/>
      <c r="BP12" s="90"/>
      <c r="BQ12" s="116"/>
      <c r="BR12" s="16">
        <f t="shared" si="14"/>
        <v>0</v>
      </c>
      <c r="BS12" s="90"/>
      <c r="BT12" s="90"/>
      <c r="BU12" s="90"/>
      <c r="BV12" s="116"/>
      <c r="BW12" s="16">
        <f t="shared" si="15"/>
        <v>0</v>
      </c>
      <c r="BX12" s="90"/>
      <c r="BY12" s="90"/>
      <c r="BZ12" s="90"/>
      <c r="CA12" s="116"/>
      <c r="CB12" s="16">
        <f t="shared" si="16"/>
        <v>0</v>
      </c>
      <c r="CC12" s="90"/>
      <c r="CD12" s="90"/>
      <c r="CE12" s="90"/>
      <c r="CF12" s="116"/>
      <c r="CG12" s="16">
        <f t="shared" si="17"/>
        <v>0</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v>295</v>
      </c>
      <c r="B13" s="90"/>
      <c r="C13" s="116"/>
      <c r="D13" s="116"/>
      <c r="E13" s="16">
        <f t="shared" si="1"/>
        <v>295</v>
      </c>
      <c r="F13" s="90">
        <v>73</v>
      </c>
      <c r="G13" s="90"/>
      <c r="H13" s="90"/>
      <c r="I13" s="116"/>
      <c r="J13" s="16">
        <f t="shared" si="2"/>
        <v>73</v>
      </c>
      <c r="K13" s="90"/>
      <c r="L13" s="90">
        <v>25</v>
      </c>
      <c r="M13" s="90"/>
      <c r="N13" s="116"/>
      <c r="O13" s="16">
        <f t="shared" si="3"/>
        <v>0</v>
      </c>
      <c r="P13" s="90">
        <v>90</v>
      </c>
      <c r="Q13" s="90"/>
      <c r="R13" s="90"/>
      <c r="S13" s="116"/>
      <c r="T13" s="16">
        <f t="shared" si="4"/>
        <v>90</v>
      </c>
      <c r="U13" s="90">
        <v>96</v>
      </c>
      <c r="V13" s="90"/>
      <c r="W13" s="90"/>
      <c r="X13" s="116"/>
      <c r="Y13" s="16">
        <f t="shared" si="5"/>
        <v>96</v>
      </c>
      <c r="Z13" s="90"/>
      <c r="AA13" s="90"/>
      <c r="AB13" s="90"/>
      <c r="AC13" s="116"/>
      <c r="AD13" s="16">
        <f t="shared" si="6"/>
        <v>0</v>
      </c>
      <c r="AE13" s="90"/>
      <c r="AF13" s="90"/>
      <c r="AG13" s="90"/>
      <c r="AH13" s="116"/>
      <c r="AI13" s="16">
        <f t="shared" si="7"/>
        <v>0</v>
      </c>
      <c r="AJ13" s="90"/>
      <c r="AK13" s="90"/>
      <c r="AL13" s="90"/>
      <c r="AM13" s="116"/>
      <c r="AN13" s="16">
        <f t="shared" si="8"/>
        <v>0</v>
      </c>
      <c r="AO13" s="90"/>
      <c r="AP13" s="90"/>
      <c r="AQ13" s="90"/>
      <c r="AR13" s="116"/>
      <c r="AS13" s="16">
        <f t="shared" si="9"/>
        <v>0</v>
      </c>
      <c r="AT13" s="90"/>
      <c r="AU13" s="90"/>
      <c r="AV13" s="90"/>
      <c r="AW13" s="116"/>
      <c r="AX13" s="16">
        <f t="shared" si="10"/>
        <v>0</v>
      </c>
      <c r="AY13" s="90"/>
      <c r="AZ13" s="90"/>
      <c r="BA13" s="90"/>
      <c r="BB13" s="116"/>
      <c r="BC13" s="16">
        <f t="shared" si="11"/>
        <v>0</v>
      </c>
      <c r="BD13" s="90"/>
      <c r="BE13" s="90"/>
      <c r="BF13" s="90"/>
      <c r="BG13" s="116"/>
      <c r="BH13" s="16">
        <f t="shared" si="12"/>
        <v>0</v>
      </c>
      <c r="BI13" s="90"/>
      <c r="BJ13" s="90"/>
      <c r="BK13" s="90"/>
      <c r="BL13" s="116"/>
      <c r="BM13" s="16">
        <f t="shared" si="13"/>
        <v>0</v>
      </c>
      <c r="BN13" s="90"/>
      <c r="BO13" s="90"/>
      <c r="BP13" s="90"/>
      <c r="BQ13" s="116"/>
      <c r="BR13" s="16">
        <f t="shared" si="14"/>
        <v>0</v>
      </c>
      <c r="BS13" s="90"/>
      <c r="BT13" s="90"/>
      <c r="BU13" s="90"/>
      <c r="BV13" s="116"/>
      <c r="BW13" s="16">
        <f t="shared" si="15"/>
        <v>0</v>
      </c>
      <c r="BX13" s="90"/>
      <c r="BY13" s="90"/>
      <c r="BZ13" s="90"/>
      <c r="CA13" s="116"/>
      <c r="CB13" s="16">
        <f t="shared" si="16"/>
        <v>0</v>
      </c>
      <c r="CC13" s="90"/>
      <c r="CD13" s="90"/>
      <c r="CE13" s="90"/>
      <c r="CF13" s="116"/>
      <c r="CG13" s="16">
        <f t="shared" si="17"/>
        <v>0</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v>300</v>
      </c>
      <c r="B14" s="90"/>
      <c r="C14" s="116"/>
      <c r="D14" s="116"/>
      <c r="E14" s="16">
        <f t="shared" si="1"/>
        <v>300</v>
      </c>
      <c r="F14" s="90"/>
      <c r="G14" s="90">
        <v>25</v>
      </c>
      <c r="H14" s="90"/>
      <c r="I14" s="116"/>
      <c r="J14" s="16">
        <f t="shared" si="2"/>
        <v>0</v>
      </c>
      <c r="K14" s="90">
        <v>106</v>
      </c>
      <c r="L14" s="90"/>
      <c r="M14" s="90"/>
      <c r="N14" s="116"/>
      <c r="O14" s="16">
        <f t="shared" si="3"/>
        <v>106</v>
      </c>
      <c r="P14" s="90"/>
      <c r="Q14" s="90"/>
      <c r="R14" s="90"/>
      <c r="S14" s="116"/>
      <c r="T14" s="16">
        <f t="shared" si="4"/>
        <v>0</v>
      </c>
      <c r="U14" s="90"/>
      <c r="V14" s="90">
        <v>25</v>
      </c>
      <c r="W14" s="90"/>
      <c r="X14" s="116"/>
      <c r="Y14" s="16">
        <f t="shared" si="5"/>
        <v>0</v>
      </c>
      <c r="Z14" s="90"/>
      <c r="AA14" s="90"/>
      <c r="AB14" s="90"/>
      <c r="AC14" s="116"/>
      <c r="AD14" s="16">
        <f t="shared" si="6"/>
        <v>0</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c r="BB14" s="116"/>
      <c r="BC14" s="16">
        <f t="shared" si="11"/>
        <v>0</v>
      </c>
      <c r="BD14" s="90"/>
      <c r="BE14" s="90"/>
      <c r="BF14" s="90"/>
      <c r="BG14" s="116"/>
      <c r="BH14" s="16">
        <f t="shared" si="12"/>
        <v>0</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c r="CF14" s="116"/>
      <c r="CG14" s="16">
        <f t="shared" si="17"/>
        <v>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v>802</v>
      </c>
      <c r="B15" s="90"/>
      <c r="C15" s="116"/>
      <c r="D15" s="116"/>
      <c r="E15" s="16">
        <f t="shared" si="1"/>
        <v>802</v>
      </c>
      <c r="F15" s="90">
        <v>68</v>
      </c>
      <c r="G15" s="90"/>
      <c r="H15" s="90"/>
      <c r="I15" s="116"/>
      <c r="J15" s="16">
        <f t="shared" si="2"/>
        <v>68</v>
      </c>
      <c r="K15" s="90"/>
      <c r="L15" s="90">
        <v>25</v>
      </c>
      <c r="M15" s="90"/>
      <c r="N15" s="116"/>
      <c r="O15" s="16">
        <f t="shared" si="3"/>
        <v>0</v>
      </c>
      <c r="P15" s="90"/>
      <c r="Q15" s="90"/>
      <c r="R15" s="90"/>
      <c r="S15" s="116"/>
      <c r="T15" s="16">
        <f t="shared" si="4"/>
        <v>0</v>
      </c>
      <c r="U15" s="90">
        <v>98</v>
      </c>
      <c r="V15" s="90"/>
      <c r="W15" s="90"/>
      <c r="X15" s="116"/>
      <c r="Y15" s="16">
        <f t="shared" si="5"/>
        <v>98</v>
      </c>
      <c r="Z15" s="90"/>
      <c r="AA15" s="90"/>
      <c r="AB15" s="90"/>
      <c r="AC15" s="116"/>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c r="BB15" s="116"/>
      <c r="BC15" s="16">
        <f t="shared" si="11"/>
        <v>0</v>
      </c>
      <c r="BD15" s="90"/>
      <c r="BE15" s="90"/>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c r="CF15" s="116"/>
      <c r="CG15" s="16">
        <f t="shared" si="17"/>
        <v>0</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v>50</v>
      </c>
      <c r="C16" s="116"/>
      <c r="D16" s="116"/>
      <c r="E16" s="16">
        <f t="shared" si="1"/>
        <v>0</v>
      </c>
      <c r="F16" s="90"/>
      <c r="G16" s="90">
        <v>25</v>
      </c>
      <c r="H16" s="90"/>
      <c r="I16" s="116"/>
      <c r="J16" s="16">
        <f t="shared" si="2"/>
        <v>0</v>
      </c>
      <c r="K16" s="90">
        <v>93</v>
      </c>
      <c r="L16" s="90"/>
      <c r="M16" s="90"/>
      <c r="N16" s="116"/>
      <c r="O16" s="16">
        <f t="shared" si="3"/>
        <v>93</v>
      </c>
      <c r="P16" s="90"/>
      <c r="Q16" s="90"/>
      <c r="R16" s="90"/>
      <c r="S16" s="116"/>
      <c r="T16" s="16">
        <f t="shared" si="4"/>
        <v>0</v>
      </c>
      <c r="U16" s="90"/>
      <c r="V16" s="90">
        <v>25</v>
      </c>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c r="CF16" s="116"/>
      <c r="CG16" s="16">
        <f t="shared" si="17"/>
        <v>0</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v>94</v>
      </c>
      <c r="G17" s="90"/>
      <c r="H17" s="90"/>
      <c r="I17" s="116"/>
      <c r="J17" s="16">
        <f t="shared" si="2"/>
        <v>94</v>
      </c>
      <c r="K17" s="90"/>
      <c r="L17" s="90">
        <v>25</v>
      </c>
      <c r="M17" s="90"/>
      <c r="N17" s="116"/>
      <c r="O17" s="16">
        <f t="shared" si="3"/>
        <v>0</v>
      </c>
      <c r="P17" s="90"/>
      <c r="Q17" s="90"/>
      <c r="R17" s="90"/>
      <c r="S17" s="116"/>
      <c r="T17" s="16">
        <f t="shared" si="4"/>
        <v>0</v>
      </c>
      <c r="U17" s="90">
        <v>98</v>
      </c>
      <c r="V17" s="90"/>
      <c r="W17" s="90"/>
      <c r="X17" s="116"/>
      <c r="Y17" s="16">
        <f t="shared" si="5"/>
        <v>98</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v>93</v>
      </c>
      <c r="L18" s="90"/>
      <c r="M18" s="90"/>
      <c r="N18" s="116"/>
      <c r="O18" s="16">
        <f t="shared" si="3"/>
        <v>93</v>
      </c>
      <c r="P18" s="90"/>
      <c r="Q18" s="90"/>
      <c r="R18" s="90"/>
      <c r="S18" s="116"/>
      <c r="T18" s="16">
        <f t="shared" si="4"/>
        <v>0</v>
      </c>
      <c r="U18" s="90"/>
      <c r="V18" s="90">
        <v>25</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v>25</v>
      </c>
      <c r="M19" s="90"/>
      <c r="N19" s="116"/>
      <c r="O19" s="16">
        <f t="shared" si="3"/>
        <v>0</v>
      </c>
      <c r="P19" s="90"/>
      <c r="Q19" s="90"/>
      <c r="R19" s="90"/>
      <c r="S19" s="116"/>
      <c r="T19" s="16">
        <f t="shared" si="4"/>
        <v>0</v>
      </c>
      <c r="U19" s="90">
        <v>96</v>
      </c>
      <c r="V19" s="90"/>
      <c r="W19" s="90"/>
      <c r="X19" s="116"/>
      <c r="Y19" s="16">
        <f t="shared" si="5"/>
        <v>96</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v>107</v>
      </c>
      <c r="L20" s="90"/>
      <c r="M20" s="90"/>
      <c r="N20" s="116"/>
      <c r="O20" s="16">
        <f t="shared" si="3"/>
        <v>107</v>
      </c>
      <c r="P20" s="90"/>
      <c r="Q20" s="90"/>
      <c r="R20" s="90"/>
      <c r="S20" s="116"/>
      <c r="T20" s="16">
        <f t="shared" si="4"/>
        <v>0</v>
      </c>
      <c r="U20" s="90"/>
      <c r="V20" s="90">
        <v>25</v>
      </c>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v>25</v>
      </c>
      <c r="M21" s="90"/>
      <c r="N21" s="116"/>
      <c r="O21" s="16">
        <f t="shared" si="3"/>
        <v>0</v>
      </c>
      <c r="P21" s="90"/>
      <c r="Q21" s="90"/>
      <c r="R21" s="90"/>
      <c r="S21" s="116"/>
      <c r="T21" s="16">
        <f t="shared" si="4"/>
        <v>0</v>
      </c>
      <c r="U21" s="90">
        <v>97</v>
      </c>
      <c r="V21" s="90"/>
      <c r="W21" s="90"/>
      <c r="X21" s="116"/>
      <c r="Y21" s="16">
        <f t="shared" si="5"/>
        <v>97</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v>104</v>
      </c>
      <c r="L22" s="90"/>
      <c r="M22" s="90"/>
      <c r="N22" s="116"/>
      <c r="O22" s="16">
        <f t="shared" si="3"/>
        <v>104</v>
      </c>
      <c r="P22" s="90"/>
      <c r="Q22" s="90"/>
      <c r="R22" s="90"/>
      <c r="S22" s="116"/>
      <c r="T22" s="16">
        <f t="shared" si="4"/>
        <v>0</v>
      </c>
      <c r="U22" s="90"/>
      <c r="V22" s="90">
        <v>25</v>
      </c>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v>25</v>
      </c>
      <c r="M23" s="90"/>
      <c r="N23" s="116"/>
      <c r="O23" s="16">
        <f t="shared" si="3"/>
        <v>0</v>
      </c>
      <c r="P23" s="90"/>
      <c r="Q23" s="90"/>
      <c r="R23" s="90"/>
      <c r="S23" s="116"/>
      <c r="T23" s="16">
        <f t="shared" si="4"/>
        <v>0</v>
      </c>
      <c r="U23" s="90">
        <v>88</v>
      </c>
      <c r="V23" s="90"/>
      <c r="W23" s="90"/>
      <c r="X23" s="116"/>
      <c r="Y23" s="16">
        <f t="shared" si="5"/>
        <v>88</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v>56</v>
      </c>
      <c r="L24" s="90"/>
      <c r="M24" s="90"/>
      <c r="N24" s="116"/>
      <c r="O24" s="16">
        <f t="shared" si="3"/>
        <v>56</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v>25</v>
      </c>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v>85</v>
      </c>
      <c r="L26" s="90"/>
      <c r="M26" s="90"/>
      <c r="N26" s="116"/>
      <c r="O26" s="16">
        <f t="shared" si="3"/>
        <v>85</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v>25</v>
      </c>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v>106</v>
      </c>
      <c r="L28" s="90"/>
      <c r="M28" s="90"/>
      <c r="N28" s="116"/>
      <c r="O28" s="16">
        <f t="shared" si="3"/>
        <v>106</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v>25</v>
      </c>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v>115</v>
      </c>
      <c r="L30" s="90"/>
      <c r="M30" s="90"/>
      <c r="N30" s="116"/>
      <c r="O30" s="16">
        <f t="shared" si="3"/>
        <v>115</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v>25</v>
      </c>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v>110</v>
      </c>
      <c r="L32" s="90"/>
      <c r="M32" s="90"/>
      <c r="N32" s="116"/>
      <c r="O32" s="16">
        <f t="shared" si="3"/>
        <v>110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v>25</v>
      </c>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v>116</v>
      </c>
      <c r="L34" s="90"/>
      <c r="M34" s="90"/>
      <c r="N34" s="116"/>
      <c r="O34" s="16">
        <f t="shared" si="3"/>
        <v>116</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v>25</v>
      </c>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v>107</v>
      </c>
      <c r="L36" s="90"/>
      <c r="M36" s="90"/>
      <c r="N36" s="116"/>
      <c r="O36" s="16">
        <f t="shared" si="3"/>
        <v>107</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3" priority="191">
      <formula>IF(A25&gt;0,A25&lt;20)</formula>
    </cfRule>
  </conditionalFormatting>
  <conditionalFormatting sqref="F20:F208">
    <cfRule type="expression" dxfId="1572" priority="72">
      <formula>IF(F20&gt;0,F20&lt;20)</formula>
    </cfRule>
  </conditionalFormatting>
  <conditionalFormatting sqref="K22:K208">
    <cfRule type="expression" dxfId="1571" priority="71">
      <formula>IF(K22&gt;0,K22&lt;20)</formula>
    </cfRule>
  </conditionalFormatting>
  <conditionalFormatting sqref="P14:P208">
    <cfRule type="expression" dxfId="1570" priority="70">
      <formula>IF(P14&gt;0,P14&lt;20)</formula>
    </cfRule>
  </conditionalFormatting>
  <conditionalFormatting sqref="U22:U208">
    <cfRule type="expression" dxfId="1569" priority="69">
      <formula>IF(U22&gt;0,U22&lt;20)</formula>
    </cfRule>
  </conditionalFormatting>
  <conditionalFormatting sqref="Z17:Z208">
    <cfRule type="expression" dxfId="1568" priority="68">
      <formula>IF(Z17&gt;0,Z17&lt;20)</formula>
    </cfRule>
  </conditionalFormatting>
  <conditionalFormatting sqref="AE15:AE208">
    <cfRule type="expression" dxfId="1567" priority="67">
      <formula>IF(AE15&gt;0,AE15&lt;20)</formula>
    </cfRule>
  </conditionalFormatting>
  <conditionalFormatting sqref="AJ25:AJ208">
    <cfRule type="expression" dxfId="1566" priority="66">
      <formula>IF(AJ25&gt;0,AJ25&lt;20)</formula>
    </cfRule>
  </conditionalFormatting>
  <conditionalFormatting sqref="AO16:AO208">
    <cfRule type="expression" dxfId="1565" priority="65">
      <formula>IF(AO16&gt;0,AO16&lt;20)</formula>
    </cfRule>
  </conditionalFormatting>
  <conditionalFormatting sqref="AT14:AT208">
    <cfRule type="expression" dxfId="1564" priority="64">
      <formula>IF(AT14&gt;0,AT14&lt;20)</formula>
    </cfRule>
  </conditionalFormatting>
  <conditionalFormatting sqref="AY9:AY208">
    <cfRule type="expression" dxfId="1563" priority="63">
      <formula>IF(AY9&gt;0,AY9&lt;20)</formula>
    </cfRule>
  </conditionalFormatting>
  <conditionalFormatting sqref="BD9:BD208">
    <cfRule type="expression" dxfId="1562" priority="62">
      <formula>IF(BD9&gt;0,BD9&lt;20)</formula>
    </cfRule>
  </conditionalFormatting>
  <conditionalFormatting sqref="BI9:BI208">
    <cfRule type="expression" dxfId="1561" priority="61">
      <formula>IF(BI9&gt;0,BI9&lt;20)</formula>
    </cfRule>
  </conditionalFormatting>
  <conditionalFormatting sqref="BN9:BN208">
    <cfRule type="expression" dxfId="1560" priority="60">
      <formula>IF(BN9&gt;0,BN9&lt;20)</formula>
    </cfRule>
  </conditionalFormatting>
  <conditionalFormatting sqref="BS9:BS208">
    <cfRule type="expression" dxfId="1559" priority="59">
      <formula>IF(BS9&gt;0,BS9&lt;20)</formula>
    </cfRule>
  </conditionalFormatting>
  <conditionalFormatting sqref="BX9:BX208">
    <cfRule type="expression" dxfId="1558" priority="58">
      <formula>IF(BX9&gt;0,BX9&lt;20)</formula>
    </cfRule>
  </conditionalFormatting>
  <conditionalFormatting sqref="CC9:CC208">
    <cfRule type="expression" dxfId="1557" priority="57">
      <formula>IF(CC9&gt;0,CC9&lt;20)</formula>
    </cfRule>
  </conditionalFormatting>
  <conditionalFormatting sqref="CH9:CH208">
    <cfRule type="expression" dxfId="1556" priority="56">
      <formula>IF(CH9&gt;0,CH9&lt;20)</formula>
    </cfRule>
  </conditionalFormatting>
  <conditionalFormatting sqref="CM9:CM208">
    <cfRule type="expression" dxfId="1555" priority="55">
      <formula>IF(CM9&gt;0,CM9&lt;20)</formula>
    </cfRule>
  </conditionalFormatting>
  <conditionalFormatting sqref="CR9:CR208">
    <cfRule type="expression" dxfId="1554" priority="54">
      <formula>IF(CR9&gt;0,CR9&lt;20)</formula>
    </cfRule>
  </conditionalFormatting>
  <conditionalFormatting sqref="CW9:CW208">
    <cfRule type="expression" dxfId="1553" priority="53">
      <formula>IF(CW9&gt;0,CW9&lt;20)</formula>
    </cfRule>
  </conditionalFormatting>
  <conditionalFormatting sqref="DB9:DB208">
    <cfRule type="expression" dxfId="1552" priority="52">
      <formula>IF(DB9&gt;0,DB9&lt;20)</formula>
    </cfRule>
  </conditionalFormatting>
  <conditionalFormatting sqref="DG9:DG208">
    <cfRule type="expression" dxfId="1551" priority="51">
      <formula>IF(DG9&gt;0,DG9&lt;20)</formula>
    </cfRule>
  </conditionalFormatting>
  <conditionalFormatting sqref="DL9:DL208">
    <cfRule type="expression" dxfId="1550" priority="50">
      <formula>IF(DL9&gt;0,DL9&lt;20)</formula>
    </cfRule>
  </conditionalFormatting>
  <conditionalFormatting sqref="DQ9:DQ208">
    <cfRule type="expression" dxfId="1549" priority="49">
      <formula>IF(DQ9&gt;0,DQ9&lt;20)</formula>
    </cfRule>
  </conditionalFormatting>
  <conditionalFormatting sqref="DV9:DV208">
    <cfRule type="expression" dxfId="1548" priority="48">
      <formula>IF(DV9&gt;0,DV9&lt;20)</formula>
    </cfRule>
  </conditionalFormatting>
  <conditionalFormatting sqref="EA9:EA208">
    <cfRule type="expression" dxfId="1547" priority="47">
      <formula>IF(EA9&gt;0,EA9&lt;20)</formula>
    </cfRule>
  </conditionalFormatting>
  <conditionalFormatting sqref="EF9:EF208">
    <cfRule type="expression" dxfId="1546" priority="46">
      <formula>IF(EF9&gt;0,EF9&lt;20)</formula>
    </cfRule>
  </conditionalFormatting>
  <conditionalFormatting sqref="EK9:EK208">
    <cfRule type="expression" dxfId="1545" priority="45">
      <formula>IF(EK9&gt;0,EK9&lt;20)</formula>
    </cfRule>
  </conditionalFormatting>
  <conditionalFormatting sqref="EP9:EP208">
    <cfRule type="expression" dxfId="1544" priority="44">
      <formula>IF(EP9&gt;0,EP9&lt;20)</formula>
    </cfRule>
  </conditionalFormatting>
  <conditionalFormatting sqref="EU9:EU208">
    <cfRule type="expression" dxfId="1543" priority="43">
      <formula>IF(EU9&gt;0,EU9&lt;20)</formula>
    </cfRule>
  </conditionalFormatting>
  <conditionalFormatting sqref="EZ9:EZ208">
    <cfRule type="expression" dxfId="1542" priority="42">
      <formula>IF(EZ9&gt;0,EZ9&lt;20)</formula>
    </cfRule>
  </conditionalFormatting>
  <conditionalFormatting sqref="FE9:FE208">
    <cfRule type="expression" dxfId="1541" priority="41">
      <formula>IF(FE9&gt;0,FE9&lt;20)</formula>
    </cfRule>
  </conditionalFormatting>
  <conditionalFormatting sqref="IL9:IL208">
    <cfRule type="expression" dxfId="1540" priority="24">
      <formula>IF(IL9&gt;0,IL9&lt;20)</formula>
    </cfRule>
  </conditionalFormatting>
  <conditionalFormatting sqref="FJ9:FJ208">
    <cfRule type="expression" dxfId="1539" priority="40">
      <formula>IF(FJ9&gt;0,FJ9&lt;20)</formula>
    </cfRule>
  </conditionalFormatting>
  <conditionalFormatting sqref="FO9:FO208">
    <cfRule type="expression" dxfId="1538" priority="39">
      <formula>IF(FO9&gt;0,FO9&lt;20)</formula>
    </cfRule>
  </conditionalFormatting>
  <conditionalFormatting sqref="FT9:FT208">
    <cfRule type="expression" dxfId="1537" priority="38">
      <formula>IF(FT9&gt;0,FT9&lt;20)</formula>
    </cfRule>
  </conditionalFormatting>
  <conditionalFormatting sqref="FY9:FY208">
    <cfRule type="expression" dxfId="1536" priority="37">
      <formula>IF(FY9&gt;0,FY9&lt;20)</formula>
    </cfRule>
  </conditionalFormatting>
  <conditionalFormatting sqref="GD9:GD208">
    <cfRule type="expression" dxfId="1535" priority="36">
      <formula>IF(GD9&gt;0,GD9&lt;20)</formula>
    </cfRule>
  </conditionalFormatting>
  <conditionalFormatting sqref="GI9:GI208">
    <cfRule type="expression" dxfId="1534" priority="35">
      <formula>IF(GI9&gt;0,GI9&lt;20)</formula>
    </cfRule>
  </conditionalFormatting>
  <conditionalFormatting sqref="GN9:GN208">
    <cfRule type="expression" dxfId="1533" priority="34">
      <formula>IF(GN9&gt;0,GN9&lt;20)</formula>
    </cfRule>
  </conditionalFormatting>
  <conditionalFormatting sqref="GS9:GS208">
    <cfRule type="expression" dxfId="1532" priority="33">
      <formula>IF(GS9&gt;0,GS9&lt;20)</formula>
    </cfRule>
  </conditionalFormatting>
  <conditionalFormatting sqref="GX9:GX208">
    <cfRule type="expression" dxfId="1531" priority="32">
      <formula>IF(GX9&gt;0,GX9&lt;20)</formula>
    </cfRule>
  </conditionalFormatting>
  <conditionalFormatting sqref="HC9:HC208">
    <cfRule type="expression" dxfId="1530" priority="31">
      <formula>IF(HC9&gt;0,HC9&lt;20)</formula>
    </cfRule>
  </conditionalFormatting>
  <conditionalFormatting sqref="HH9:HH208">
    <cfRule type="expression" dxfId="1529" priority="30">
      <formula>IF(HH9&gt;0,HH9&lt;20)</formula>
    </cfRule>
  </conditionalFormatting>
  <conditionalFormatting sqref="HM9:HM208">
    <cfRule type="expression" dxfId="1528" priority="29">
      <formula>IF(HM9&gt;0,HM9&lt;20)</formula>
    </cfRule>
  </conditionalFormatting>
  <conditionalFormatting sqref="HR9:HR208">
    <cfRule type="expression" dxfId="1527" priority="28">
      <formula>IF(HR9&gt;0,HR9&lt;20)</formula>
    </cfRule>
  </conditionalFormatting>
  <conditionalFormatting sqref="HW9:HW208">
    <cfRule type="expression" dxfId="1526" priority="27">
      <formula>IF(HW9&gt;0,HW9&lt;20)</formula>
    </cfRule>
  </conditionalFormatting>
  <conditionalFormatting sqref="IB9:IB208">
    <cfRule type="expression" dxfId="1525" priority="26">
      <formula>IF(IB9&gt;0,IB9&lt;20)</formula>
    </cfRule>
  </conditionalFormatting>
  <conditionalFormatting sqref="IG9:IG208">
    <cfRule type="expression" dxfId="1524" priority="25">
      <formula>IF(IG9&gt;0,IG9&lt;20)</formula>
    </cfRule>
  </conditionalFormatting>
  <conditionalFormatting sqref="A19:A24">
    <cfRule type="expression" dxfId="1523" priority="22">
      <formula>IF(A19&gt;0,A19&lt;20)</formula>
    </cfRule>
  </conditionalFormatting>
  <conditionalFormatting sqref="F12:F19">
    <cfRule type="expression" dxfId="1522" priority="21">
      <formula>IF(F12&gt;0,F12&lt;20)</formula>
    </cfRule>
  </conditionalFormatting>
  <conditionalFormatting sqref="K14:K21">
    <cfRule type="expression" dxfId="1521" priority="20">
      <formula>IF(K14&gt;0,K14&lt;20)</formula>
    </cfRule>
  </conditionalFormatting>
  <conditionalFormatting sqref="P12:P13">
    <cfRule type="expression" dxfId="1520" priority="18">
      <formula>IF(P12&gt;0,P12&lt;20)</formula>
    </cfRule>
  </conditionalFormatting>
  <conditionalFormatting sqref="U10:U21">
    <cfRule type="expression" dxfId="1519" priority="17">
      <formula>IF(U10&gt;0,U10&lt;20)</formula>
    </cfRule>
  </conditionalFormatting>
  <conditionalFormatting sqref="AJ11:AJ24">
    <cfRule type="expression" dxfId="1518" priority="14">
      <formula>IF(AJ11&gt;0,AJ11&lt;20)</formula>
    </cfRule>
  </conditionalFormatting>
  <conditionalFormatting sqref="F9:F11">
    <cfRule type="expression" dxfId="1517" priority="13">
      <formula>IF(F9&gt;0,F9&lt;20)</formula>
    </cfRule>
  </conditionalFormatting>
  <conditionalFormatting sqref="K13">
    <cfRule type="expression" dxfId="1516" priority="12">
      <formula>IF(K13&gt;0,K13&lt;20)</formula>
    </cfRule>
  </conditionalFormatting>
  <conditionalFormatting sqref="K9:K12">
    <cfRule type="expression" dxfId="1515" priority="11">
      <formula>IF(K9&gt;0,K9&lt;20)</formula>
    </cfRule>
  </conditionalFormatting>
  <conditionalFormatting sqref="P9:P11">
    <cfRule type="expression" dxfId="1514" priority="10">
      <formula>IF(P9&gt;0,P9&lt;20)</formula>
    </cfRule>
  </conditionalFormatting>
  <conditionalFormatting sqref="U9">
    <cfRule type="expression" dxfId="1513" priority="9">
      <formula>IF(U9&gt;0,U9&lt;20)</formula>
    </cfRule>
  </conditionalFormatting>
  <conditionalFormatting sqref="Z9:Z16">
    <cfRule type="expression" dxfId="1512" priority="8">
      <formula>IF(Z9&gt;0,Z9&lt;20)</formula>
    </cfRule>
  </conditionalFormatting>
  <conditionalFormatting sqref="AE13:AE14">
    <cfRule type="expression" dxfId="1511" priority="7">
      <formula>IF(AE13&gt;0,AE13&lt;20)</formula>
    </cfRule>
  </conditionalFormatting>
  <conditionalFormatting sqref="AE9:AE12">
    <cfRule type="expression" dxfId="1510" priority="6">
      <formula>IF(AE9&gt;0,AE9&lt;20)</formula>
    </cfRule>
  </conditionalFormatting>
  <conditionalFormatting sqref="AJ9:AJ10">
    <cfRule type="expression" dxfId="1509" priority="5">
      <formula>IF(AJ9&gt;0,AJ9&lt;20)</formula>
    </cfRule>
  </conditionalFormatting>
  <conditionalFormatting sqref="AO9:AO15">
    <cfRule type="expression" dxfId="1508" priority="4">
      <formula>IF(AO9&gt;0,AO9&lt;20)</formula>
    </cfRule>
  </conditionalFormatting>
  <conditionalFormatting sqref="AT9:AT13">
    <cfRule type="expression" dxfId="1507" priority="3">
      <formula>IF(AT9&gt;0,AT9&lt;20)</formula>
    </cfRule>
  </conditionalFormatting>
  <conditionalFormatting sqref="A9">
    <cfRule type="expression" dxfId="1506" priority="2">
      <formula>AND(A$9&lt;&gt;"",A$9&lt;20)</formula>
    </cfRule>
  </conditionalFormatting>
  <conditionalFormatting sqref="A10:A18">
    <cfRule type="expression" dxfId="1505" priority="1">
      <formula>AND(A10&lt;&gt;"",A10&lt;20)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zoomScaleNormal="100" workbookViewId="0">
      <selection activeCell="I112" sqref="D112:I112"/>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759</v>
      </c>
      <c r="D1" s="328"/>
      <c r="E1" s="88"/>
      <c r="F1" s="88"/>
      <c r="G1" s="89" t="s">
        <v>186</v>
      </c>
      <c r="H1" s="325" t="s">
        <v>761</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760</v>
      </c>
      <c r="D2" s="328"/>
      <c r="E2" s="88"/>
      <c r="F2" s="88"/>
      <c r="G2" s="89" t="s">
        <v>207</v>
      </c>
      <c r="H2" s="325" t="s">
        <v>762</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FA_IMPORT_A055S08</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96</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3" t="s">
        <v>230</v>
      </c>
      <c r="H7" s="304"/>
      <c r="I7" s="33">
        <f>E8-I6</f>
        <v>48</v>
      </c>
      <c r="J7" s="288" t="s">
        <v>231</v>
      </c>
      <c r="K7" s="289"/>
      <c r="L7" s="34">
        <f>I11</f>
        <v>769</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0" t="s">
        <v>237</v>
      </c>
      <c r="H8" s="291"/>
      <c r="I8" s="35">
        <f>IF(E8=0,0,12-(MOD(I6,12)))</f>
        <v>12</v>
      </c>
      <c r="J8" s="288" t="s">
        <v>238</v>
      </c>
      <c r="K8" s="289"/>
      <c r="L8" s="39">
        <f>I12-I6</f>
        <v>768</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48</v>
      </c>
      <c r="F9" s="88"/>
      <c r="G9" s="320" t="s">
        <v>242</v>
      </c>
      <c r="H9" s="43" t="s">
        <v>243</v>
      </c>
      <c r="I9" s="35">
        <f>IF(E9&lt;&gt;0,1,0)</f>
        <v>1</v>
      </c>
      <c r="J9" s="290" t="s">
        <v>244</v>
      </c>
      <c r="K9" s="291"/>
      <c r="L9" s="44">
        <f>'Cable Calculator'!D3</f>
        <v>2035</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769</v>
      </c>
      <c r="F10" s="88"/>
      <c r="G10" s="321"/>
      <c r="H10" s="47" t="s">
        <v>248</v>
      </c>
      <c r="I10" s="35">
        <f>IF(E9&lt;&gt;0,E9,0)</f>
        <v>48</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0" t="s">
        <v>251</v>
      </c>
      <c r="H11" s="51" t="s">
        <v>252</v>
      </c>
      <c r="I11" s="112">
        <f>E10</f>
        <v>769</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96</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12</v>
      </c>
      <c r="F17" s="32" t="s">
        <v>488</v>
      </c>
      <c r="G17" s="68" t="s">
        <v>277</v>
      </c>
      <c r="H17" s="69">
        <f>IF(I17=0,0,I17-(E17-1))</f>
        <v>853</v>
      </c>
      <c r="I17" s="70">
        <f>IF(E17=0,0,I12)</f>
        <v>864</v>
      </c>
      <c r="J17" s="71" t="s">
        <v>278</v>
      </c>
      <c r="K17" s="32"/>
      <c r="L17" s="233"/>
      <c r="M17" s="277" t="s">
        <v>404</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853-864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84</v>
      </c>
      <c r="F18" s="32" t="s">
        <v>488</v>
      </c>
      <c r="G18" s="68" t="s">
        <v>277</v>
      </c>
      <c r="H18" s="69">
        <f t="shared" ref="H18:H41" si="9">IF(E18=0,0,I18-(E18-1))</f>
        <v>769</v>
      </c>
      <c r="I18" s="70">
        <f t="shared" ref="I18:I41" si="10">IF(E18=0,0,H17-1)</f>
        <v>852</v>
      </c>
      <c r="J18" s="73" t="str">
        <f>IF(C18="","--",IF(AND(C18&lt;&gt;"FST",C18&lt;&gt;"TCF",BA17&lt;&gt;0),BA17,"--"))</f>
        <v>--</v>
      </c>
      <c r="K18" s="32"/>
      <c r="L18" s="233"/>
      <c r="M18" s="277" t="s">
        <v>405</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769-852</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97</v>
      </c>
      <c r="X28" s="84"/>
      <c r="Y28" s="78">
        <f>SUM(E17:E28)</f>
        <v>96</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97</v>
      </c>
      <c r="X29" s="84"/>
      <c r="Y29" s="78">
        <f>SUM(E17:E29)</f>
        <v>96</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97</v>
      </c>
      <c r="X30" s="84"/>
      <c r="Y30" s="78">
        <f>SUM(E17:E30)</f>
        <v>96</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97</v>
      </c>
      <c r="X32" s="84"/>
      <c r="Y32" s="78">
        <f>SUM(E17:E32)</f>
        <v>96</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97</v>
      </c>
      <c r="X33" s="84"/>
      <c r="Y33" s="78">
        <f>SUM(E17:E33)</f>
        <v>96</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97</v>
      </c>
      <c r="X34" s="84"/>
      <c r="Y34" s="78">
        <f>SUM(E17:E34)</f>
        <v>96</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97</v>
      </c>
      <c r="X35" s="84"/>
      <c r="Y35" s="78">
        <f>SUM(E17:E35)</f>
        <v>96</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97</v>
      </c>
      <c r="X36" s="84"/>
      <c r="Y36" s="78">
        <f>SUM(E17:E36)</f>
        <v>96</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97</v>
      </c>
      <c r="X37" s="84"/>
      <c r="Y37" s="78">
        <f>SUM(E17:E37)</f>
        <v>96</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97</v>
      </c>
      <c r="X38" s="84"/>
      <c r="Y38" s="78">
        <f>SUM(E17:E38)</f>
        <v>96</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97</v>
      </c>
      <c r="X39" s="84"/>
      <c r="Y39" s="78">
        <f>SUM(E17:E39)</f>
        <v>96</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97</v>
      </c>
      <c r="X40" s="84"/>
      <c r="Y40" s="78">
        <f>SUM(E17:E40)</f>
        <v>96</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96</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12</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3</v>
      </c>
      <c r="V47" s="35">
        <v>0</v>
      </c>
      <c r="W47" s="34">
        <f>COUNTIFS($E58:$E82,"2",$F58:$F82,"HH",$C58:$C82,"FST")</f>
        <v>3</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f>IF($E48="EUC",COUNTIFS($C58:$C82,"FST",$E58:$E82,"2"),"0")</f>
        <v>3</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3" t="s">
        <v>230</v>
      </c>
      <c r="H48" s="304"/>
      <c r="I48" s="33">
        <f>E49-I47</f>
        <v>12</v>
      </c>
      <c r="J48" s="288" t="s">
        <v>231</v>
      </c>
      <c r="K48" s="289"/>
      <c r="L48" s="34">
        <f>I52</f>
        <v>853</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0" t="s">
        <v>237</v>
      </c>
      <c r="H49" s="291"/>
      <c r="I49" s="35">
        <f>IF(E49=0,0,12-(MOD(I47,12)))</f>
        <v>12</v>
      </c>
      <c r="J49" s="288" t="s">
        <v>238</v>
      </c>
      <c r="K49" s="289"/>
      <c r="L49" s="39">
        <f>I53-I47</f>
        <v>852</v>
      </c>
      <c r="M49" s="196">
        <v>6</v>
      </c>
      <c r="N49" s="35">
        <f>SUM(AI49,AI60)</f>
        <v>0</v>
      </c>
      <c r="O49" s="35">
        <v>0</v>
      </c>
      <c r="P49" s="35">
        <f>SUM(AJ49,AJ60)</f>
        <v>0</v>
      </c>
      <c r="Q49" s="35">
        <v>0</v>
      </c>
      <c r="R49" s="35">
        <f>COUNTIFS($E58:$E82,"6",$F58:$F82,"Pole",$C58:$C82,"FST")</f>
        <v>0</v>
      </c>
      <c r="S49" s="35">
        <f>SUM(AL49,AK60)</f>
        <v>0</v>
      </c>
      <c r="T49" s="35">
        <v>0</v>
      </c>
      <c r="U49" s="35">
        <f>SUM(AK49,AL60)</f>
        <v>1</v>
      </c>
      <c r="V49" s="35">
        <v>0</v>
      </c>
      <c r="W49" s="34">
        <f>COUNTIFS($E58:$E82,"6",$F58:$F82,"HH",$C58:$C82,"FST")</f>
        <v>1</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f>IF($E48="EUC",COUNTIFS($C58:$C82,"FST",$E58:$E82,"6"),"0")</f>
        <v>1</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12</v>
      </c>
      <c r="F50" s="88"/>
      <c r="G50" s="320" t="s">
        <v>242</v>
      </c>
      <c r="H50" s="43" t="s">
        <v>243</v>
      </c>
      <c r="I50" s="35">
        <f>IF(E50&lt;&gt;0,1,0)</f>
        <v>1</v>
      </c>
      <c r="J50" s="290" t="s">
        <v>244</v>
      </c>
      <c r="K50" s="291"/>
      <c r="L50" s="44">
        <f>'Cable Calculator'!I3</f>
        <v>449</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853</v>
      </c>
      <c r="F51" s="88"/>
      <c r="G51" s="321"/>
      <c r="H51" s="47" t="s">
        <v>248</v>
      </c>
      <c r="I51" s="35">
        <f>IF(E50&lt;&gt;0,E50,0)</f>
        <v>12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0" t="s">
        <v>251</v>
      </c>
      <c r="H52" s="51" t="s">
        <v>252</v>
      </c>
      <c r="I52" s="112">
        <f>E51</f>
        <v>853</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864</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12</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731</v>
      </c>
      <c r="E58" s="32">
        <v>2</v>
      </c>
      <c r="F58" s="32" t="s">
        <v>488</v>
      </c>
      <c r="G58" s="68" t="s">
        <v>277</v>
      </c>
      <c r="H58" s="69">
        <f>IF(I58=0,0,I58-(E58-1))</f>
        <v>863</v>
      </c>
      <c r="I58" s="70">
        <f>IF(E58=0,0,I53)</f>
        <v>864</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863-864</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732</v>
      </c>
      <c r="E59" s="32">
        <v>2</v>
      </c>
      <c r="F59" s="32" t="s">
        <v>488</v>
      </c>
      <c r="G59" s="68" t="s">
        <v>277</v>
      </c>
      <c r="H59" s="69">
        <f t="shared" ref="H59:H82" si="26">IF(E59=0,0,I59-(E59-1))</f>
        <v>861</v>
      </c>
      <c r="I59" s="70">
        <f t="shared" ref="I59:I82" si="27">IF(E59=0,0,H58-1)</f>
        <v>862</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0</v>
      </c>
      <c r="AE59" s="109" t="str">
        <f t="shared" si="19"/>
        <v>861-862</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4</v>
      </c>
    </row>
    <row r="60" spans="1:53" ht="15.75" thickBot="1" x14ac:dyDescent="0.3">
      <c r="A60" s="88"/>
      <c r="B60" s="74" t="s">
        <v>280</v>
      </c>
      <c r="C60" s="67" t="s">
        <v>484</v>
      </c>
      <c r="D60" s="102" t="s">
        <v>733</v>
      </c>
      <c r="E60" s="32">
        <v>6</v>
      </c>
      <c r="F60" s="32" t="s">
        <v>488</v>
      </c>
      <c r="G60" s="75" t="s">
        <v>277</v>
      </c>
      <c r="H60" s="69">
        <f t="shared" si="26"/>
        <v>855</v>
      </c>
      <c r="I60" s="70">
        <f t="shared" si="27"/>
        <v>860</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0</v>
      </c>
      <c r="AE60" s="109" t="str">
        <f t="shared" si="19"/>
        <v>855-860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734</v>
      </c>
      <c r="E61" s="32">
        <v>2</v>
      </c>
      <c r="F61" s="32" t="s">
        <v>488</v>
      </c>
      <c r="G61" s="68" t="s">
        <v>277</v>
      </c>
      <c r="H61" s="69">
        <f t="shared" si="26"/>
        <v>853</v>
      </c>
      <c r="I61" s="70">
        <f t="shared" si="27"/>
        <v>854</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0</v>
      </c>
      <c r="AE61" s="109" t="str">
        <f t="shared" si="19"/>
        <v>853-854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13</v>
      </c>
      <c r="X69" s="84"/>
      <c r="Y69" s="78">
        <f>SUM(E58:E69)</f>
        <v>12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13</v>
      </c>
      <c r="X70" s="84"/>
      <c r="Y70" s="78">
        <f>SUM(E58:E70)</f>
        <v>12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13</v>
      </c>
      <c r="X71" s="84"/>
      <c r="Y71" s="78">
        <f>SUM(E58:E71)</f>
        <v>12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13</v>
      </c>
      <c r="X72" s="84"/>
      <c r="Y72" s="78">
        <f>SUM(E58:E72)</f>
        <v>12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13</v>
      </c>
      <c r="X73" s="84"/>
      <c r="Y73" s="78">
        <f>SUM(E58:E73)</f>
        <v>12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13</v>
      </c>
      <c r="X74" s="84"/>
      <c r="Y74" s="78">
        <f>SUM(E58:E74)</f>
        <v>12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13</v>
      </c>
      <c r="X75" s="84"/>
      <c r="Y75" s="78">
        <f>SUM(E58:E75)</f>
        <v>12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13</v>
      </c>
      <c r="X76" s="84"/>
      <c r="Y76" s="78">
        <f>SUM(E58:E76)</f>
        <v>12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13</v>
      </c>
      <c r="X77" s="84"/>
      <c r="Y77" s="78">
        <f>SUM(E58:E77)</f>
        <v>12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13</v>
      </c>
      <c r="X78" s="84"/>
      <c r="Y78" s="78">
        <f>SUM(E58:E78)</f>
        <v>12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13</v>
      </c>
      <c r="X79" s="84"/>
      <c r="Y79" s="78">
        <f>SUM(E58:E79)</f>
        <v>12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13</v>
      </c>
      <c r="X80" s="84"/>
      <c r="Y80" s="78">
        <f>SUM(E58:E80)</f>
        <v>12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13</v>
      </c>
      <c r="X81" s="84"/>
      <c r="Y81" s="78">
        <f>SUM(E58:E81)</f>
        <v>12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12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84</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10</v>
      </c>
      <c r="V88" s="35">
        <v>0</v>
      </c>
      <c r="W88" s="34">
        <f>COUNTIFS($E99:$E123,"2",$F99:$F123,"HH",$C99:$C123,"FST")</f>
        <v>10</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10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60</v>
      </c>
      <c r="J89" s="288" t="s">
        <v>231</v>
      </c>
      <c r="K89" s="289"/>
      <c r="L89" s="34">
        <f>I93</f>
        <v>769</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290" t="s">
        <v>237</v>
      </c>
      <c r="H90" s="291"/>
      <c r="I90" s="35">
        <f>IF(E90=0,0,12-(MOD(I88,12)))</f>
        <v>12</v>
      </c>
      <c r="J90" s="288" t="s">
        <v>238</v>
      </c>
      <c r="K90" s="289"/>
      <c r="L90" s="39">
        <f>I94-I88</f>
        <v>768</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60</v>
      </c>
      <c r="F91" s="88"/>
      <c r="G91" s="320" t="s">
        <v>242</v>
      </c>
      <c r="H91" s="43" t="s">
        <v>243</v>
      </c>
      <c r="I91" s="35">
        <f>IF(E91&lt;&gt;0,1,0)</f>
        <v>1</v>
      </c>
      <c r="J91" s="290" t="s">
        <v>244</v>
      </c>
      <c r="K91" s="291"/>
      <c r="L91" s="44">
        <f>'Cable Calculator'!N3</f>
        <v>1987</v>
      </c>
      <c r="M91" s="196">
        <v>8</v>
      </c>
      <c r="N91" s="35">
        <f>SUM(AI91,AI102)</f>
        <v>0</v>
      </c>
      <c r="O91" s="35">
        <v>0</v>
      </c>
      <c r="P91" s="35">
        <f>SUM(AJ91,AJ102)</f>
        <v>0</v>
      </c>
      <c r="Q91" s="35">
        <v>0</v>
      </c>
      <c r="R91" s="35">
        <f>COUNTIFS($E99:$E123,"8",$F99:$F123,"Pole",$C99:$C123,"FST")</f>
        <v>0</v>
      </c>
      <c r="S91" s="35">
        <f>SUM(AL91,AK102)</f>
        <v>0</v>
      </c>
      <c r="T91" s="35">
        <v>0</v>
      </c>
      <c r="U91" s="35">
        <f>SUM(AK91,AL102)</f>
        <v>3</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3</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769</v>
      </c>
      <c r="F92" s="88"/>
      <c r="G92" s="321"/>
      <c r="H92" s="47" t="s">
        <v>248</v>
      </c>
      <c r="I92" s="35">
        <f>IF(E91&lt;&gt;0,E91,0)</f>
        <v>60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320" t="s">
        <v>251</v>
      </c>
      <c r="H93" s="51" t="s">
        <v>252</v>
      </c>
      <c r="I93" s="112">
        <f>E92</f>
        <v>769</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852</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84</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494</v>
      </c>
      <c r="D99" s="102"/>
      <c r="E99" s="32">
        <v>12</v>
      </c>
      <c r="F99" s="32" t="s">
        <v>488</v>
      </c>
      <c r="G99" s="68" t="s">
        <v>277</v>
      </c>
      <c r="H99" s="69">
        <f>IF(I99=0,0,I99-(E99-1))</f>
        <v>841</v>
      </c>
      <c r="I99" s="70">
        <f>IF(E99=0,0,I94)</f>
        <v>852</v>
      </c>
      <c r="J99" s="71" t="s">
        <v>278</v>
      </c>
      <c r="K99" s="32"/>
      <c r="L99" s="233"/>
      <c r="M99" s="277" t="s">
        <v>406</v>
      </c>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841-852</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1</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484</v>
      </c>
      <c r="D100" s="102" t="s">
        <v>735</v>
      </c>
      <c r="E100" s="32">
        <v>2</v>
      </c>
      <c r="F100" s="32" t="s">
        <v>488</v>
      </c>
      <c r="G100" s="68" t="s">
        <v>277</v>
      </c>
      <c r="H100" s="69">
        <f t="shared" ref="H100:H123" si="43">IF(E100=0,0,I100-(E100-1))</f>
        <v>839</v>
      </c>
      <c r="I100" s="70">
        <f t="shared" ref="I100:I123" si="44">IF(E100=0,0,H99-1)</f>
        <v>840</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839-840</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2</v>
      </c>
    </row>
    <row r="101" spans="1:53" ht="15.75" thickBot="1" x14ac:dyDescent="0.3">
      <c r="A101" s="88"/>
      <c r="B101" s="74" t="s">
        <v>280</v>
      </c>
      <c r="C101" s="67" t="s">
        <v>484</v>
      </c>
      <c r="D101" s="102" t="s">
        <v>737</v>
      </c>
      <c r="E101" s="32">
        <v>2</v>
      </c>
      <c r="F101" s="32" t="s">
        <v>488</v>
      </c>
      <c r="G101" s="75" t="s">
        <v>277</v>
      </c>
      <c r="H101" s="69">
        <f t="shared" si="43"/>
        <v>837</v>
      </c>
      <c r="I101" s="70">
        <f t="shared" si="44"/>
        <v>838</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837-838</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8</v>
      </c>
      <c r="F102" s="32" t="s">
        <v>488</v>
      </c>
      <c r="G102" s="68" t="s">
        <v>277</v>
      </c>
      <c r="H102" s="69">
        <f t="shared" si="43"/>
        <v>829</v>
      </c>
      <c r="I102" s="70">
        <f t="shared" si="44"/>
        <v>836</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829-836</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499</v>
      </c>
      <c r="D103" s="102"/>
      <c r="E103" s="32">
        <v>12</v>
      </c>
      <c r="F103" s="32" t="s">
        <v>488</v>
      </c>
      <c r="G103" s="68" t="s">
        <v>277</v>
      </c>
      <c r="H103" s="69">
        <f t="shared" si="43"/>
        <v>817</v>
      </c>
      <c r="I103" s="70">
        <f t="shared" si="44"/>
        <v>828</v>
      </c>
      <c r="J103" s="73" t="str">
        <f t="shared" si="45"/>
        <v>--</v>
      </c>
      <c r="K103" s="32"/>
      <c r="L103" s="233"/>
      <c r="M103" s="277" t="s">
        <v>407</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817-828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t="s">
        <v>499</v>
      </c>
      <c r="D104" s="102"/>
      <c r="E104" s="32">
        <v>12</v>
      </c>
      <c r="F104" s="32" t="s">
        <v>488</v>
      </c>
      <c r="G104" s="68" t="s">
        <v>277</v>
      </c>
      <c r="H104" s="69">
        <f t="shared" si="43"/>
        <v>805</v>
      </c>
      <c r="I104" s="70">
        <f t="shared" si="44"/>
        <v>816</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805-816</v>
      </c>
      <c r="AF104" s="109" t="str">
        <f t="shared" si="37"/>
        <v>Y</v>
      </c>
      <c r="AG104" s="109" t="str">
        <f t="shared" si="38"/>
        <v>B</v>
      </c>
      <c r="AM104" s="109">
        <f t="shared" si="39"/>
        <v>0.5</v>
      </c>
      <c r="AN104" s="109">
        <f t="shared" si="40"/>
        <v>0.5</v>
      </c>
      <c r="AO104" s="109" t="str">
        <f t="shared" si="41"/>
        <v/>
      </c>
      <c r="AQ104" s="109" t="str">
        <f t="shared" si="42"/>
        <v/>
      </c>
      <c r="BA104" s="229">
        <f>MOD(SUM(E99:E105),12)</f>
        <v>2</v>
      </c>
    </row>
    <row r="105" spans="1:53" ht="15.75" thickBot="1" x14ac:dyDescent="0.3">
      <c r="A105" s="88"/>
      <c r="B105" s="66" t="s">
        <v>284</v>
      </c>
      <c r="C105" s="67" t="s">
        <v>484</v>
      </c>
      <c r="D105" s="102" t="s">
        <v>738</v>
      </c>
      <c r="E105" s="32">
        <v>2</v>
      </c>
      <c r="F105" s="32" t="s">
        <v>488</v>
      </c>
      <c r="G105" s="68" t="s">
        <v>277</v>
      </c>
      <c r="H105" s="69">
        <f t="shared" si="43"/>
        <v>803</v>
      </c>
      <c r="I105" s="70">
        <f t="shared" si="44"/>
        <v>804</v>
      </c>
      <c r="J105" s="73" t="str">
        <f t="shared" si="45"/>
        <v>--</v>
      </c>
      <c r="K105" s="32"/>
      <c r="L105" s="233"/>
      <c r="M105" s="277"/>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0</v>
      </c>
      <c r="AE105" s="109" t="str">
        <f t="shared" si="36"/>
        <v>803-804</v>
      </c>
      <c r="AF105" s="109" t="str">
        <f t="shared" si="37"/>
        <v>Y</v>
      </c>
      <c r="AG105" s="109" t="str">
        <f t="shared" si="38"/>
        <v>B</v>
      </c>
      <c r="AM105" s="109">
        <f t="shared" si="39"/>
        <v>0</v>
      </c>
      <c r="AN105" s="109">
        <f t="shared" si="40"/>
        <v>0</v>
      </c>
      <c r="AO105" s="109" t="str">
        <f t="shared" si="41"/>
        <v/>
      </c>
      <c r="AQ105" s="109" t="str">
        <f t="shared" si="42"/>
        <v/>
      </c>
      <c r="BA105" s="229">
        <f>MOD(SUM(E99:E106),12)</f>
        <v>4</v>
      </c>
    </row>
    <row r="106" spans="1:53" ht="15.75" thickBot="1" x14ac:dyDescent="0.3">
      <c r="A106" s="88"/>
      <c r="B106" s="66" t="s">
        <v>285</v>
      </c>
      <c r="C106" s="67" t="s">
        <v>484</v>
      </c>
      <c r="D106" s="102" t="s">
        <v>739</v>
      </c>
      <c r="E106" s="32">
        <v>2</v>
      </c>
      <c r="F106" s="32" t="s">
        <v>488</v>
      </c>
      <c r="G106" s="68" t="s">
        <v>277</v>
      </c>
      <c r="H106" s="69">
        <f t="shared" si="43"/>
        <v>801</v>
      </c>
      <c r="I106" s="70">
        <f t="shared" si="44"/>
        <v>802</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0</v>
      </c>
      <c r="AE106" s="109" t="str">
        <f t="shared" si="36"/>
        <v>801-802</v>
      </c>
      <c r="AF106" s="109" t="str">
        <f t="shared" si="37"/>
        <v>Y</v>
      </c>
      <c r="AG106" s="109" t="str">
        <f t="shared" si="38"/>
        <v>B</v>
      </c>
      <c r="AM106" s="109">
        <f t="shared" si="39"/>
        <v>0</v>
      </c>
      <c r="AN106" s="109">
        <f t="shared" si="40"/>
        <v>0</v>
      </c>
      <c r="AO106" s="109" t="str">
        <f t="shared" si="41"/>
        <v/>
      </c>
      <c r="AQ106" s="109" t="str">
        <f t="shared" si="42"/>
        <v/>
      </c>
      <c r="BA106" s="229">
        <f>MOD(SUM(E99:E107),12)</f>
        <v>6</v>
      </c>
    </row>
    <row r="107" spans="1:53" ht="15.75" thickBot="1" x14ac:dyDescent="0.3">
      <c r="A107" s="88"/>
      <c r="B107" s="66" t="s">
        <v>286</v>
      </c>
      <c r="C107" s="67" t="s">
        <v>484</v>
      </c>
      <c r="D107" s="102" t="s">
        <v>740</v>
      </c>
      <c r="E107" s="32">
        <v>2</v>
      </c>
      <c r="F107" s="32" t="s">
        <v>488</v>
      </c>
      <c r="G107" s="68" t="s">
        <v>277</v>
      </c>
      <c r="H107" s="69">
        <f t="shared" si="43"/>
        <v>799</v>
      </c>
      <c r="I107" s="70">
        <f t="shared" si="44"/>
        <v>800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0</v>
      </c>
      <c r="AE107" s="109" t="str">
        <f t="shared" si="36"/>
        <v>799-800</v>
      </c>
      <c r="AF107" s="109" t="str">
        <f t="shared" si="37"/>
        <v>Y</v>
      </c>
      <c r="AG107" s="109" t="str">
        <f t="shared" si="38"/>
        <v>B</v>
      </c>
      <c r="AM107" s="109">
        <f t="shared" si="39"/>
        <v>0</v>
      </c>
      <c r="AN107" s="109">
        <f t="shared" si="40"/>
        <v>0</v>
      </c>
      <c r="AO107" s="109" t="str">
        <f t="shared" si="41"/>
        <v/>
      </c>
      <c r="AQ107" s="109" t="str">
        <f t="shared" si="42"/>
        <v/>
      </c>
      <c r="BA107" s="229">
        <f>MOD(SUM(E99:E108),12)</f>
        <v>8</v>
      </c>
    </row>
    <row r="108" spans="1:53" ht="15.75" thickBot="1" x14ac:dyDescent="0.3">
      <c r="A108" s="88"/>
      <c r="B108" s="66" t="s">
        <v>287</v>
      </c>
      <c r="C108" s="67" t="s">
        <v>484</v>
      </c>
      <c r="D108" s="102" t="s">
        <v>741</v>
      </c>
      <c r="E108" s="32">
        <v>2</v>
      </c>
      <c r="F108" s="32" t="s">
        <v>488</v>
      </c>
      <c r="G108" s="68" t="s">
        <v>277</v>
      </c>
      <c r="H108" s="69">
        <f t="shared" si="43"/>
        <v>797</v>
      </c>
      <c r="I108" s="70">
        <f t="shared" si="44"/>
        <v>798</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0</v>
      </c>
      <c r="AE108" s="109" t="str">
        <f t="shared" si="36"/>
        <v>797-798</v>
      </c>
      <c r="AF108" s="109" t="str">
        <f t="shared" si="37"/>
        <v>Y</v>
      </c>
      <c r="AG108" s="109" t="str">
        <f t="shared" si="38"/>
        <v>B</v>
      </c>
      <c r="AM108" s="109">
        <f t="shared" si="39"/>
        <v>0</v>
      </c>
      <c r="AN108" s="109">
        <f t="shared" si="40"/>
        <v>0</v>
      </c>
      <c r="AO108" s="109" t="str">
        <f t="shared" si="41"/>
        <v/>
      </c>
      <c r="AQ108" s="109" t="str">
        <f t="shared" si="42"/>
        <v/>
      </c>
      <c r="BA108" s="229">
        <f>MOD(SUM(E99:E109),12)</f>
        <v>10</v>
      </c>
    </row>
    <row r="109" spans="1:53" ht="15.75" thickBot="1" x14ac:dyDescent="0.3">
      <c r="A109" s="88"/>
      <c r="B109" s="66" t="s">
        <v>288</v>
      </c>
      <c r="C109" s="67" t="s">
        <v>484</v>
      </c>
      <c r="D109" s="102" t="s">
        <v>742</v>
      </c>
      <c r="E109" s="32">
        <v>2</v>
      </c>
      <c r="F109" s="32" t="s">
        <v>488</v>
      </c>
      <c r="G109" s="68" t="s">
        <v>277</v>
      </c>
      <c r="H109" s="69">
        <f t="shared" si="43"/>
        <v>795</v>
      </c>
      <c r="I109" s="70">
        <f t="shared" si="44"/>
        <v>796</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0</v>
      </c>
      <c r="AE109" s="109" t="str">
        <f t="shared" si="36"/>
        <v>795-796</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t="s">
        <v>484</v>
      </c>
      <c r="D110" s="102" t="s">
        <v>743</v>
      </c>
      <c r="E110" s="32">
        <v>2</v>
      </c>
      <c r="F110" s="32" t="s">
        <v>488</v>
      </c>
      <c r="G110" s="68" t="s">
        <v>277</v>
      </c>
      <c r="H110" s="69">
        <f t="shared" si="43"/>
        <v>793</v>
      </c>
      <c r="I110" s="70">
        <f t="shared" si="44"/>
        <v>794</v>
      </c>
      <c r="J110" s="73" t="str">
        <f t="shared" si="45"/>
        <v>--</v>
      </c>
      <c r="K110" s="32"/>
      <c r="L110" s="233"/>
      <c r="M110" s="277"/>
      <c r="N110" s="277"/>
      <c r="O110" s="277"/>
      <c r="P110" s="277"/>
      <c r="Q110" s="277"/>
      <c r="R110" s="277"/>
      <c r="S110" s="277"/>
      <c r="T110" s="277"/>
      <c r="U110" s="278"/>
      <c r="V110" s="103"/>
      <c r="W110" s="84">
        <f>Y110+1</f>
        <v>61</v>
      </c>
      <c r="X110" s="84"/>
      <c r="Y110" s="78">
        <f>SUM(E99:E110)</f>
        <v>60</v>
      </c>
      <c r="Z110" s="72"/>
      <c r="AA110" s="72"/>
      <c r="AB110" s="72"/>
      <c r="AC110" s="72">
        <f t="shared" si="34"/>
        <v>1</v>
      </c>
      <c r="AD110" s="72">
        <f t="shared" si="35"/>
        <v>0</v>
      </c>
      <c r="AE110" s="109" t="str">
        <f t="shared" si="36"/>
        <v>793-794</v>
      </c>
      <c r="AF110" s="109" t="str">
        <f t="shared" si="37"/>
        <v>Y</v>
      </c>
      <c r="AG110" s="109" t="str">
        <f t="shared" si="38"/>
        <v>B</v>
      </c>
      <c r="AM110" s="109">
        <f t="shared" si="39"/>
        <v>0</v>
      </c>
      <c r="AN110" s="109">
        <f t="shared" si="40"/>
        <v>0</v>
      </c>
      <c r="AO110" s="109" t="str">
        <f t="shared" si="41"/>
        <v/>
      </c>
      <c r="AQ110" s="109" t="str">
        <f t="shared" si="42"/>
        <v/>
      </c>
      <c r="BA110" s="229">
        <f>MOD(SUM(E99:E111),12)</f>
        <v>8</v>
      </c>
    </row>
    <row r="111" spans="1:53" ht="15.75" thickBot="1" x14ac:dyDescent="0.3">
      <c r="A111" s="88"/>
      <c r="B111" s="66" t="s">
        <v>290</v>
      </c>
      <c r="C111" s="67" t="s">
        <v>484</v>
      </c>
      <c r="D111" s="102" t="s">
        <v>745</v>
      </c>
      <c r="E111" s="32">
        <v>8</v>
      </c>
      <c r="F111" s="32" t="s">
        <v>488</v>
      </c>
      <c r="G111" s="68" t="s">
        <v>277</v>
      </c>
      <c r="H111" s="69">
        <f t="shared" si="43"/>
        <v>785</v>
      </c>
      <c r="I111" s="70">
        <f t="shared" si="44"/>
        <v>792</v>
      </c>
      <c r="J111" s="73" t="str">
        <f t="shared" si="45"/>
        <v>--</v>
      </c>
      <c r="K111" s="32">
        <v>100</v>
      </c>
      <c r="L111" s="233"/>
      <c r="M111" s="277"/>
      <c r="N111" s="277"/>
      <c r="O111" s="277"/>
      <c r="P111" s="277"/>
      <c r="Q111" s="277"/>
      <c r="R111" s="277"/>
      <c r="S111" s="277"/>
      <c r="T111" s="277"/>
      <c r="U111" s="278"/>
      <c r="V111" s="103"/>
      <c r="W111" s="84">
        <f>Y111+1</f>
        <v>69</v>
      </c>
      <c r="X111" s="84"/>
      <c r="Y111" s="78">
        <f>SUM(E99:E111)</f>
        <v>68</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0</v>
      </c>
      <c r="AE111" s="109" t="str">
        <f t="shared" si="36"/>
        <v>785-792</v>
      </c>
      <c r="AF111" s="109" t="str">
        <f t="shared" si="37"/>
        <v>Y</v>
      </c>
      <c r="AG111" s="109" t="str">
        <f t="shared" si="38"/>
        <v>B</v>
      </c>
      <c r="AM111" s="109">
        <f t="shared" si="39"/>
        <v>0</v>
      </c>
      <c r="AN111" s="109">
        <f t="shared" si="40"/>
        <v>0</v>
      </c>
      <c r="AO111" s="109" t="str">
        <f t="shared" si="41"/>
        <v/>
      </c>
      <c r="AQ111" s="109" t="str">
        <f t="shared" si="42"/>
        <v/>
      </c>
      <c r="BA111" s="229">
        <f>MOD(SUM(E99:E112),12)</f>
        <v>10</v>
      </c>
    </row>
    <row r="112" spans="1:53" ht="15.75" thickBot="1" x14ac:dyDescent="0.3">
      <c r="A112" s="88"/>
      <c r="B112" s="66" t="s">
        <v>291</v>
      </c>
      <c r="C112" s="67" t="s">
        <v>484</v>
      </c>
      <c r="D112" s="102" t="s">
        <v>744</v>
      </c>
      <c r="E112" s="32">
        <v>2</v>
      </c>
      <c r="F112" s="32" t="s">
        <v>488</v>
      </c>
      <c r="G112" s="68" t="s">
        <v>277</v>
      </c>
      <c r="H112" s="69">
        <f t="shared" si="43"/>
        <v>783</v>
      </c>
      <c r="I112" s="70">
        <f t="shared" si="44"/>
        <v>784</v>
      </c>
      <c r="J112" s="73" t="str">
        <f t="shared" si="45"/>
        <v>--</v>
      </c>
      <c r="K112" s="32"/>
      <c r="L112" s="233"/>
      <c r="M112" s="277"/>
      <c r="N112" s="277"/>
      <c r="O112" s="277"/>
      <c r="P112" s="277"/>
      <c r="Q112" s="277"/>
      <c r="R112" s="277"/>
      <c r="S112" s="277"/>
      <c r="T112" s="277"/>
      <c r="U112" s="278"/>
      <c r="V112" s="103"/>
      <c r="W112" s="84">
        <f>Y112+1</f>
        <v>71</v>
      </c>
      <c r="X112" s="84"/>
      <c r="Y112" s="78">
        <f>SUM(E99:E112)</f>
        <v>70</v>
      </c>
      <c r="Z112" s="72" t="str">
        <f t="shared" si="48"/>
        <v/>
      </c>
      <c r="AA112" s="72"/>
      <c r="AB112" s="72"/>
      <c r="AC112" s="72">
        <f t="shared" si="34"/>
        <v>1</v>
      </c>
      <c r="AD112" s="72">
        <f t="shared" si="35"/>
        <v>0</v>
      </c>
      <c r="AE112" s="109" t="str">
        <f t="shared" si="36"/>
        <v>783-784</v>
      </c>
      <c r="AF112" s="109" t="str">
        <f t="shared" si="37"/>
        <v>Y</v>
      </c>
      <c r="AG112" s="109" t="str">
        <f t="shared" si="38"/>
        <v>B</v>
      </c>
      <c r="AM112" s="109">
        <f t="shared" si="39"/>
        <v>0</v>
      </c>
      <c r="AN112" s="109">
        <f t="shared" si="40"/>
        <v>0</v>
      </c>
      <c r="AO112" s="109" t="str">
        <f t="shared" si="41"/>
        <v/>
      </c>
      <c r="AQ112" s="109" t="str">
        <f t="shared" si="42"/>
        <v/>
      </c>
      <c r="BA112" s="229">
        <f>MOD(SUM(E99:E113),12)</f>
        <v>6</v>
      </c>
    </row>
    <row r="113" spans="1:53" ht="15.75" thickBot="1" x14ac:dyDescent="0.3">
      <c r="A113" s="88"/>
      <c r="B113" s="66" t="s">
        <v>292</v>
      </c>
      <c r="C113" s="67" t="s">
        <v>484</v>
      </c>
      <c r="D113" s="102" t="s">
        <v>746</v>
      </c>
      <c r="E113" s="32">
        <v>8</v>
      </c>
      <c r="F113" s="32" t="s">
        <v>488</v>
      </c>
      <c r="G113" s="68" t="s">
        <v>277</v>
      </c>
      <c r="H113" s="69">
        <f t="shared" si="43"/>
        <v>775</v>
      </c>
      <c r="I113" s="70">
        <f t="shared" si="44"/>
        <v>782</v>
      </c>
      <c r="J113" s="73" t="str">
        <f t="shared" si="45"/>
        <v>--</v>
      </c>
      <c r="K113" s="32"/>
      <c r="L113" s="233"/>
      <c r="M113" s="277"/>
      <c r="N113" s="277"/>
      <c r="O113" s="277"/>
      <c r="P113" s="277"/>
      <c r="Q113" s="277"/>
      <c r="R113" s="277"/>
      <c r="S113" s="277"/>
      <c r="T113" s="277"/>
      <c r="U113" s="278"/>
      <c r="V113" s="103"/>
      <c r="W113" s="84">
        <f>Y113+1</f>
        <v>79</v>
      </c>
      <c r="X113" s="84"/>
      <c r="Y113" s="78">
        <f>SUM(E99:E113)</f>
        <v>78</v>
      </c>
      <c r="Z113" s="72" t="str">
        <f t="shared" si="48"/>
        <v/>
      </c>
      <c r="AA113" s="72" t="str">
        <f t="shared" ref="AA113:AA125" si="49">IF(AND(C111&lt;&gt;"Field SPL",W110&lt;=144,Y111&gt;144),"ERROR","")</f>
        <v/>
      </c>
      <c r="AB113" s="72"/>
      <c r="AC113" s="72">
        <f t="shared" si="34"/>
        <v>1</v>
      </c>
      <c r="AD113" s="72">
        <f t="shared" si="35"/>
        <v>0</v>
      </c>
      <c r="AE113" s="109" t="str">
        <f t="shared" si="36"/>
        <v>775-782</v>
      </c>
      <c r="AF113" s="109" t="str">
        <f t="shared" si="37"/>
        <v>Y</v>
      </c>
      <c r="AG113" s="109" t="str">
        <f t="shared" si="38"/>
        <v>B</v>
      </c>
      <c r="AM113" s="109">
        <f t="shared" si="39"/>
        <v>0</v>
      </c>
      <c r="AN113" s="109">
        <f t="shared" si="40"/>
        <v>0</v>
      </c>
      <c r="AO113" s="109" t="str">
        <f t="shared" si="41"/>
        <v/>
      </c>
      <c r="AQ113" s="109" t="str">
        <f t="shared" si="42"/>
        <v/>
      </c>
      <c r="BA113" s="229">
        <f>MOD(SUM(E99:E114),12)</f>
        <v>8</v>
      </c>
    </row>
    <row r="114" spans="1:53" ht="15.75" thickBot="1" x14ac:dyDescent="0.3">
      <c r="A114" s="88"/>
      <c r="B114" s="66" t="s">
        <v>293</v>
      </c>
      <c r="C114" s="67" t="s">
        <v>484</v>
      </c>
      <c r="D114" s="102" t="s">
        <v>747</v>
      </c>
      <c r="E114" s="32">
        <v>2</v>
      </c>
      <c r="F114" s="32" t="s">
        <v>488</v>
      </c>
      <c r="G114" s="68" t="s">
        <v>277</v>
      </c>
      <c r="H114" s="69">
        <f t="shared" si="43"/>
        <v>773</v>
      </c>
      <c r="I114" s="70">
        <f t="shared" si="44"/>
        <v>774</v>
      </c>
      <c r="J114" s="73" t="str">
        <f t="shared" si="45"/>
        <v>--</v>
      </c>
      <c r="K114" s="32"/>
      <c r="L114" s="233"/>
      <c r="M114" s="277"/>
      <c r="N114" s="277"/>
      <c r="O114" s="277"/>
      <c r="P114" s="277"/>
      <c r="Q114" s="277"/>
      <c r="R114" s="277"/>
      <c r="S114" s="277"/>
      <c r="T114" s="277"/>
      <c r="U114" s="278"/>
      <c r="V114" s="103"/>
      <c r="W114" s="84">
        <f t="shared" ref="W114:W122" si="50">Y114+1</f>
        <v>81</v>
      </c>
      <c r="X114" s="84"/>
      <c r="Y114" s="78">
        <f>SUM(E99:E114)</f>
        <v>80</v>
      </c>
      <c r="Z114" s="72" t="str">
        <f t="shared" si="48"/>
        <v/>
      </c>
      <c r="AA114" s="72" t="str">
        <f t="shared" si="49"/>
        <v/>
      </c>
      <c r="AB114" s="72"/>
      <c r="AC114" s="72">
        <f t="shared" si="34"/>
        <v>1</v>
      </c>
      <c r="AD114" s="72">
        <f t="shared" si="35"/>
        <v>0</v>
      </c>
      <c r="AE114" s="109" t="str">
        <f t="shared" si="36"/>
        <v>773-774</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t="s">
        <v>484</v>
      </c>
      <c r="D115" s="102" t="s">
        <v>748</v>
      </c>
      <c r="E115" s="32">
        <v>4</v>
      </c>
      <c r="F115" s="32" t="s">
        <v>488</v>
      </c>
      <c r="G115" s="68" t="s">
        <v>277</v>
      </c>
      <c r="H115" s="69">
        <f t="shared" si="43"/>
        <v>769</v>
      </c>
      <c r="I115" s="70">
        <f t="shared" si="44"/>
        <v>772</v>
      </c>
      <c r="J115" s="73" t="str">
        <f t="shared" si="45"/>
        <v>--</v>
      </c>
      <c r="K115" s="32"/>
      <c r="L115" s="233"/>
      <c r="M115" s="277"/>
      <c r="N115" s="277"/>
      <c r="O115" s="277"/>
      <c r="P115" s="277"/>
      <c r="Q115" s="277"/>
      <c r="R115" s="277"/>
      <c r="S115" s="277"/>
      <c r="T115" s="277"/>
      <c r="U115" s="278"/>
      <c r="V115" s="103"/>
      <c r="W115" s="84">
        <f t="shared" si="50"/>
        <v>85</v>
      </c>
      <c r="X115" s="84"/>
      <c r="Y115" s="78">
        <f>SUM(E99:E115)</f>
        <v>84</v>
      </c>
      <c r="Z115" s="72" t="str">
        <f t="shared" si="48"/>
        <v/>
      </c>
      <c r="AA115" s="72" t="str">
        <f t="shared" si="49"/>
        <v/>
      </c>
      <c r="AB115" s="72"/>
      <c r="AC115" s="72">
        <f t="shared" si="34"/>
        <v>1</v>
      </c>
      <c r="AD115" s="72">
        <f t="shared" si="35"/>
        <v>0</v>
      </c>
      <c r="AE115" s="109" t="str">
        <f t="shared" si="36"/>
        <v>769-772</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85</v>
      </c>
      <c r="X116" s="84"/>
      <c r="Y116" s="78">
        <f>SUM(E99:E116)</f>
        <v>84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85</v>
      </c>
      <c r="X117" s="84"/>
      <c r="Y117" s="78">
        <f>SUM(E99:E117)</f>
        <v>84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85</v>
      </c>
      <c r="X118" s="84"/>
      <c r="Y118" s="78">
        <f>SUM(E99:E118)</f>
        <v>84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85</v>
      </c>
      <c r="X119" s="84"/>
      <c r="Y119" s="78">
        <f>SUM(E99:E119)</f>
        <v>84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85</v>
      </c>
      <c r="X120" s="84"/>
      <c r="Y120" s="78">
        <f>SUM(E99:E120)</f>
        <v>84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85</v>
      </c>
      <c r="X121" s="84"/>
      <c r="Y121" s="78">
        <f>SUM(E99:E121)</f>
        <v>84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85</v>
      </c>
      <c r="X122" s="84"/>
      <c r="Y122" s="78">
        <f>SUM(E99:E122)</f>
        <v>84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84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11</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3" t="s">
        <v>230</v>
      </c>
      <c r="H130" s="304"/>
      <c r="I130" s="33">
        <f>E131-I129</f>
        <v>12</v>
      </c>
      <c r="J130" s="288" t="s">
        <v>231</v>
      </c>
      <c r="K130" s="289"/>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1</v>
      </c>
      <c r="V130" s="35">
        <v>0</v>
      </c>
      <c r="W130" s="34">
        <f>COUNTIFS($E140:$E164,"4",$F140:$F164,"HH",$C140:$C164,"FST")</f>
        <v>1</v>
      </c>
      <c r="X130" s="35">
        <f>COUNTIFS($E140:$E164,"4",$F140:$F164,"Ped",$C140:$C164,"FST")</f>
        <v>0</v>
      </c>
      <c r="Y130" s="25"/>
      <c r="Z130" s="297" t="s">
        <v>232</v>
      </c>
      <c r="AA130" s="299" t="s">
        <v>233</v>
      </c>
      <c r="AB130" s="300"/>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f>'Cable Calculator'!S3</f>
        <v>276</v>
      </c>
      <c r="M132" s="196">
        <v>8</v>
      </c>
      <c r="N132" s="35">
        <f>SUM(AI132,AI143)</f>
        <v>0</v>
      </c>
      <c r="O132" s="35">
        <v>0</v>
      </c>
      <c r="P132" s="35">
        <f>SUM(AJ132,AJ143)</f>
        <v>0</v>
      </c>
      <c r="Q132" s="35">
        <v>0</v>
      </c>
      <c r="R132" s="35">
        <f>COUNTIFS($E140:$E164,"8",$F140:$F164,"Pole",$C140:$C164,"FST")</f>
        <v>0</v>
      </c>
      <c r="S132" s="35">
        <f>SUM(AL132,AK143)</f>
        <v>0</v>
      </c>
      <c r="T132" s="35">
        <v>0</v>
      </c>
      <c r="U132" s="35">
        <f>SUM(AK132,AL143)</f>
        <v>1</v>
      </c>
      <c r="V132" s="35">
        <v>0</v>
      </c>
      <c r="W132" s="34">
        <f>COUNTIFS($E140:$E164,"8",$F140:$F164,"HH",$C140:$C164,"FST")</f>
        <v>1</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1"/>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841</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1"/>
      <c r="H135" s="47" t="s">
        <v>257</v>
      </c>
      <c r="I135" s="35">
        <f>IF(E133="","0",IF(AND(E130="EUC",E131=432), I134+(203-E132),IF(E133=0,0,(E133+(E131-E132)-1))))</f>
        <v>852</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749</v>
      </c>
      <c r="E140" s="32">
        <v>4</v>
      </c>
      <c r="F140" s="32" t="s">
        <v>488</v>
      </c>
      <c r="G140" s="68" t="s">
        <v>277</v>
      </c>
      <c r="H140" s="69">
        <f>IF(I140=0,0,I140-(E140-1))</f>
        <v>849</v>
      </c>
      <c r="I140" s="70">
        <f>IF(E140=0,0,I135)</f>
        <v>852</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750</v>
      </c>
      <c r="E141" s="32">
        <v>8</v>
      </c>
      <c r="F141" s="32" t="s">
        <v>488</v>
      </c>
      <c r="G141" s="68" t="s">
        <v>277</v>
      </c>
      <c r="H141" s="69">
        <f t="shared" ref="H141:H164" si="60">IF(E141=0,0,I141-(E141-1))</f>
        <v>841</v>
      </c>
      <c r="I141" s="70">
        <f t="shared" ref="I141:I164" si="61">IF(E141=0,0,H140-1)</f>
        <v>848</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0</v>
      </c>
      <c r="AE141" s="109" t="str">
        <f t="shared" si="53"/>
        <v>841-848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24</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6</v>
      </c>
      <c r="V170" s="35">
        <v>0</v>
      </c>
      <c r="W170" s="34">
        <f>COUNTIFS($E181:$E205,"2",$F181:$F205,"HH",$C181:$C205,"FST")</f>
        <v>6</v>
      </c>
      <c r="X170" s="35">
        <f>COUNTIFS($E181:$E205,"2",$F181:$F205,"Ped",$C181:$C205,"FST")</f>
        <v>0</v>
      </c>
      <c r="Y170" s="25"/>
      <c r="Z170" s="294" t="s">
        <v>226</v>
      </c>
      <c r="AA170" s="295"/>
      <c r="AB170" s="296"/>
      <c r="AC170" s="25"/>
      <c r="AD170" s="25"/>
      <c r="AH170" s="109">
        <v>2</v>
      </c>
      <c r="AI170" s="109" t="str">
        <f>IF($E171="SS",COUNTIFS($C181:$C205,"FST",$E181:$E205,"2"),"0")</f>
        <v>0</v>
      </c>
      <c r="AJ170" s="109" t="str">
        <f>IF($E171="RPX",COUNTIFS($C181:$C205,"FST",$E181:$E205,"2"),"0")</f>
        <v>0</v>
      </c>
      <c r="AK170" s="109">
        <f>IF($E171="EUC",COUNTIFS($C181:$C205,"FST",$E181:$E205,"2"),"0")</f>
        <v>6</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3" t="s">
        <v>230</v>
      </c>
      <c r="H171" s="304"/>
      <c r="I171" s="33">
        <f>E172-I170</f>
        <v>0</v>
      </c>
      <c r="J171" s="288" t="s">
        <v>231</v>
      </c>
      <c r="K171" s="289"/>
      <c r="L171" s="34">
        <f>I175</f>
        <v>805</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7" t="s">
        <v>232</v>
      </c>
      <c r="AA171" s="299" t="s">
        <v>233</v>
      </c>
      <c r="AB171" s="300"/>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804</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0" t="s">
        <v>242</v>
      </c>
      <c r="H173" s="43" t="s">
        <v>243</v>
      </c>
      <c r="I173" s="35">
        <f>IF(E173&lt;&gt;0,1,0)</f>
        <v>0</v>
      </c>
      <c r="J173" s="290" t="s">
        <v>244</v>
      </c>
      <c r="K173" s="291"/>
      <c r="L173" s="44">
        <f>'Cable Calculator'!X3</f>
        <v>973</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805</v>
      </c>
      <c r="F174" s="88"/>
      <c r="G174" s="321"/>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0" t="s">
        <v>251</v>
      </c>
      <c r="H175" s="51" t="s">
        <v>252</v>
      </c>
      <c r="I175" s="112">
        <f>E174</f>
        <v>805</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1"/>
      <c r="H176" s="47" t="s">
        <v>257</v>
      </c>
      <c r="I176" s="35">
        <f>IF(E174="","0",IF(AND(E171="EUC",E172=432), I175+(203-E173),IF(E174=0,0,(E174+(E172-E173)-1))))</f>
        <v>828</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751</v>
      </c>
      <c r="E181" s="32">
        <v>2</v>
      </c>
      <c r="F181" s="32" t="s">
        <v>488</v>
      </c>
      <c r="G181" s="68" t="s">
        <v>277</v>
      </c>
      <c r="H181" s="69">
        <f>IF(I181=0,0,I181-(E181-1))</f>
        <v>827</v>
      </c>
      <c r="I181" s="70">
        <f>IF(E181=0,0,I176)</f>
        <v>828</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827-828</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2</v>
      </c>
    </row>
    <row r="182" spans="1:53" ht="15.75" thickBot="1" x14ac:dyDescent="0.3">
      <c r="A182" s="88"/>
      <c r="B182" s="66" t="s">
        <v>279</v>
      </c>
      <c r="C182" s="67" t="s">
        <v>484</v>
      </c>
      <c r="D182" s="102" t="s">
        <v>752</v>
      </c>
      <c r="E182" s="32">
        <v>2</v>
      </c>
      <c r="F182" s="32" t="s">
        <v>488</v>
      </c>
      <c r="G182" s="68" t="s">
        <v>277</v>
      </c>
      <c r="H182" s="69">
        <f t="shared" ref="H182:H205" si="77">IF(E182=0,0,I182-(E182-1))</f>
        <v>825</v>
      </c>
      <c r="I182" s="70">
        <f t="shared" ref="I182:I205" si="78">IF(E182=0,0,H181-1)</f>
        <v>826</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825-826</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753</v>
      </c>
      <c r="E183" s="32">
        <v>2</v>
      </c>
      <c r="F183" s="32" t="s">
        <v>488</v>
      </c>
      <c r="G183" s="75" t="s">
        <v>277</v>
      </c>
      <c r="H183" s="69">
        <f t="shared" si="77"/>
        <v>823</v>
      </c>
      <c r="I183" s="70">
        <f t="shared" si="78"/>
        <v>824</v>
      </c>
      <c r="J183" s="73" t="str">
        <f t="shared" ref="J183:J205" si="79">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823-824</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8</v>
      </c>
    </row>
    <row r="184" spans="1:53" ht="15.75" thickBot="1" x14ac:dyDescent="0.3">
      <c r="A184" s="88"/>
      <c r="B184" s="66" t="s">
        <v>281</v>
      </c>
      <c r="C184" s="67" t="s">
        <v>484</v>
      </c>
      <c r="D184" s="102" t="s">
        <v>754</v>
      </c>
      <c r="E184" s="32">
        <v>2</v>
      </c>
      <c r="F184" s="32" t="s">
        <v>488</v>
      </c>
      <c r="G184" s="68" t="s">
        <v>277</v>
      </c>
      <c r="H184" s="69">
        <f t="shared" si="77"/>
        <v>821</v>
      </c>
      <c r="I184" s="70">
        <f t="shared" si="78"/>
        <v>822</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0</v>
      </c>
      <c r="AE184" s="109" t="str">
        <f t="shared" si="70"/>
        <v>821-822</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10</v>
      </c>
    </row>
    <row r="185" spans="1:53" ht="15.75" thickBot="1" x14ac:dyDescent="0.3">
      <c r="A185" s="88"/>
      <c r="B185" s="66" t="s">
        <v>282</v>
      </c>
      <c r="C185" s="67" t="s">
        <v>484</v>
      </c>
      <c r="D185" s="102" t="s">
        <v>755</v>
      </c>
      <c r="E185" s="32">
        <v>2</v>
      </c>
      <c r="F185" s="32" t="s">
        <v>488</v>
      </c>
      <c r="G185" s="68" t="s">
        <v>277</v>
      </c>
      <c r="H185" s="69">
        <f t="shared" si="77"/>
        <v>819</v>
      </c>
      <c r="I185" s="70">
        <f t="shared" si="78"/>
        <v>820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819-820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6</v>
      </c>
    </row>
    <row r="186" spans="1:53" ht="15.75" thickBot="1" x14ac:dyDescent="0.3">
      <c r="A186" s="88"/>
      <c r="B186" s="66" t="s">
        <v>283</v>
      </c>
      <c r="C186" s="67" t="s">
        <v>484</v>
      </c>
      <c r="D186" s="102" t="s">
        <v>756</v>
      </c>
      <c r="E186" s="32">
        <v>8</v>
      </c>
      <c r="F186" s="32" t="s">
        <v>488</v>
      </c>
      <c r="G186" s="68" t="s">
        <v>277</v>
      </c>
      <c r="H186" s="69">
        <f t="shared" si="77"/>
        <v>811</v>
      </c>
      <c r="I186" s="70">
        <f t="shared" si="78"/>
        <v>818</v>
      </c>
      <c r="J186" s="73" t="str">
        <f t="shared" si="79"/>
        <v>--</v>
      </c>
      <c r="K186" s="32">
        <v>100</v>
      </c>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0</v>
      </c>
      <c r="AE186" s="109" t="str">
        <f t="shared" si="70"/>
        <v>811-818</v>
      </c>
      <c r="AF186" s="109" t="str">
        <f t="shared" si="71"/>
        <v>Y</v>
      </c>
      <c r="AG186" s="109" t="str">
        <f t="shared" si="72"/>
        <v>B</v>
      </c>
      <c r="AM186" s="109">
        <f t="shared" si="73"/>
        <v>0</v>
      </c>
      <c r="AN186" s="109">
        <f t="shared" si="74"/>
        <v>0</v>
      </c>
      <c r="AO186" s="109" t="str">
        <f t="shared" si="75"/>
        <v/>
      </c>
      <c r="AQ186" s="109" t="str">
        <f t="shared" si="76"/>
        <v/>
      </c>
      <c r="BA186" s="229">
        <f>MOD(SUM(E181:E187),12)</f>
        <v>8</v>
      </c>
    </row>
    <row r="187" spans="1:53" ht="15.75" thickBot="1" x14ac:dyDescent="0.3">
      <c r="A187" s="88"/>
      <c r="B187" s="66" t="s">
        <v>284</v>
      </c>
      <c r="C187" s="67" t="s">
        <v>484</v>
      </c>
      <c r="D187" s="102" t="s">
        <v>757</v>
      </c>
      <c r="E187" s="32">
        <v>2</v>
      </c>
      <c r="F187" s="32" t="s">
        <v>488</v>
      </c>
      <c r="G187" s="68" t="s">
        <v>277</v>
      </c>
      <c r="H187" s="69">
        <f t="shared" si="77"/>
        <v>809</v>
      </c>
      <c r="I187" s="70">
        <f t="shared" si="78"/>
        <v>810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0</v>
      </c>
      <c r="AE187" s="109" t="str">
        <f t="shared" si="70"/>
        <v>809-810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t="s">
        <v>484</v>
      </c>
      <c r="D188" s="102" t="s">
        <v>758</v>
      </c>
      <c r="E188" s="32">
        <v>4</v>
      </c>
      <c r="F188" s="32" t="s">
        <v>488</v>
      </c>
      <c r="G188" s="68" t="s">
        <v>277</v>
      </c>
      <c r="H188" s="69">
        <f t="shared" si="77"/>
        <v>805</v>
      </c>
      <c r="I188" s="70">
        <f t="shared" si="78"/>
        <v>808</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0</v>
      </c>
      <c r="AE188" s="109" t="str">
        <f t="shared" si="70"/>
        <v>805-808</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17</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0</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3" t="s">
        <v>230</v>
      </c>
      <c r="H212" s="304"/>
      <c r="I212" s="33">
        <f>E213-I211</f>
        <v>0</v>
      </c>
      <c r="J212" s="288" t="s">
        <v>231</v>
      </c>
      <c r="K212" s="289"/>
      <c r="L212" s="34">
        <f>I216</f>
        <v>0</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c r="F213" s="88"/>
      <c r="G213" s="290" t="s">
        <v>237</v>
      </c>
      <c r="H213" s="291"/>
      <c r="I213" s="35">
        <f>IF(E213=0,0,12-(MOD(I211,12)))</f>
        <v>0</v>
      </c>
      <c r="J213" s="288" t="s">
        <v>238</v>
      </c>
      <c r="K213" s="289"/>
      <c r="L213" s="39">
        <f>I217-I211</f>
        <v>0</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c r="F214" s="88"/>
      <c r="G214" s="320" t="s">
        <v>242</v>
      </c>
      <c r="H214" s="43" t="s">
        <v>243</v>
      </c>
      <c r="I214" s="35">
        <f>IF(E214&lt;&gt;0,1,0)</f>
        <v>0</v>
      </c>
      <c r="J214" s="290" t="s">
        <v>244</v>
      </c>
      <c r="K214" s="291"/>
      <c r="L214" s="44" t="str">
        <f>'Cable Calculator'!AC3</f>
        <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c r="F215" s="88"/>
      <c r="G215" s="321"/>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0</v>
      </c>
      <c r="F216" s="88"/>
      <c r="G216" s="320" t="s">
        <v>251</v>
      </c>
      <c r="H216" s="51" t="s">
        <v>252</v>
      </c>
      <c r="I216" s="112">
        <f>E215</f>
        <v>0</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
      </c>
      <c r="F217" s="88"/>
      <c r="G217" s="321"/>
      <c r="H217" s="47" t="s">
        <v>257</v>
      </c>
      <c r="I217" s="35" t="str">
        <f>IF(E215="","0",IF(AND(E212="EUC",E213=432), I216+(203-E214),IF(E215=0,0,(E215+(E213-E214)-1))))</f>
        <v>0</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0</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c r="D222" s="102"/>
      <c r="E222" s="32"/>
      <c r="F222" s="32"/>
      <c r="G222" s="68" t="s">
        <v>277</v>
      </c>
      <c r="H222" s="69">
        <f>IF(I222=0,0,I222-(E222-1))</f>
        <v>0</v>
      </c>
      <c r="I222" s="70">
        <f>IF(E222=0,0,I217)</f>
        <v>0</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0-0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c r="D223" s="102"/>
      <c r="E223" s="32"/>
      <c r="F223" s="32"/>
      <c r="G223" s="68" t="s">
        <v>277</v>
      </c>
      <c r="H223" s="69">
        <f t="shared" ref="H223:H246" si="94">IF(E223=0,0,I223-(E223-1))</f>
        <v>0</v>
      </c>
      <c r="I223" s="70">
        <f t="shared" ref="I223:I246" si="95">IF(E223=0,0,H222-1)</f>
        <v>0</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1</v>
      </c>
      <c r="AE223" s="109" t="str">
        <f t="shared" si="87"/>
        <v>0-0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v>
      </c>
      <c r="X233" s="84"/>
      <c r="Y233" s="78">
        <f>SUM(E222:E233)</f>
        <v>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v>
      </c>
      <c r="X234" s="84"/>
      <c r="Y234" s="78">
        <f>SUM(E222:E234)</f>
        <v>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v>
      </c>
      <c r="X235" s="84"/>
      <c r="Y235" s="78">
        <f>SUM(E222:E235)</f>
        <v>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v>
      </c>
      <c r="X236" s="84"/>
      <c r="Y236" s="78">
        <f>SUM(E222:E236)</f>
        <v>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v>
      </c>
      <c r="X237" s="84"/>
      <c r="Y237" s="78">
        <f>SUM(E222:E237)</f>
        <v>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v>
      </c>
      <c r="X238" s="84"/>
      <c r="Y238" s="78">
        <f>SUM(E222:E238)</f>
        <v>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v>
      </c>
      <c r="X239" s="84"/>
      <c r="Y239" s="78">
        <f>SUM(E222:E239)</f>
        <v>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v>
      </c>
      <c r="X240" s="84"/>
      <c r="Y240" s="78">
        <f>SUM(E222:E240)</f>
        <v>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v>
      </c>
      <c r="X241" s="84"/>
      <c r="Y241" s="78">
        <f>SUM(E222:E241)</f>
        <v>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v>
      </c>
      <c r="X242" s="84"/>
      <c r="Y242" s="78">
        <f>SUM(E222:E242)</f>
        <v>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v>
      </c>
      <c r="X243" s="84"/>
      <c r="Y243" s="78">
        <f>SUM(E222:E243)</f>
        <v>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v>
      </c>
      <c r="X244" s="84"/>
      <c r="Y244" s="78">
        <f>SUM(E222:E244)</f>
        <v>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v>
      </c>
      <c r="X245" s="84"/>
      <c r="Y245" s="78">
        <f>SUM(E222:E245)</f>
        <v>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0</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3" t="s">
        <v>230</v>
      </c>
      <c r="H253" s="304"/>
      <c r="I253" s="33">
        <f>E254-I252</f>
        <v>0</v>
      </c>
      <c r="J253" s="288" t="s">
        <v>231</v>
      </c>
      <c r="K253" s="289"/>
      <c r="L253" s="34">
        <f>I257</f>
        <v>0</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c r="F254" s="88"/>
      <c r="G254" s="290" t="s">
        <v>237</v>
      </c>
      <c r="H254" s="291"/>
      <c r="I254" s="35">
        <f>IF(E254=0,0,12-(MOD(I252,12)))</f>
        <v>0</v>
      </c>
      <c r="J254" s="288" t="s">
        <v>238</v>
      </c>
      <c r="K254" s="289"/>
      <c r="L254" s="39">
        <f>I258-I252</f>
        <v>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c r="F255" s="88"/>
      <c r="G255" s="320" t="s">
        <v>242</v>
      </c>
      <c r="H255" s="43" t="s">
        <v>243</v>
      </c>
      <c r="I255" s="35">
        <f>IF(E255&lt;&gt;0,1,0)</f>
        <v>0</v>
      </c>
      <c r="J255" s="290" t="s">
        <v>244</v>
      </c>
      <c r="K255" s="291"/>
      <c r="L255" s="44" t="str">
        <f>'Cable Calculator'!AH3</f>
        <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c r="F256" s="88"/>
      <c r="G256" s="321"/>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0</v>
      </c>
      <c r="F257" s="88"/>
      <c r="G257" s="320" t="s">
        <v>251</v>
      </c>
      <c r="H257" s="51" t="s">
        <v>252</v>
      </c>
      <c r="I257" s="112">
        <f>E256</f>
        <v>0</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
      </c>
      <c r="F258" s="88"/>
      <c r="G258" s="321"/>
      <c r="H258" s="47" t="s">
        <v>257</v>
      </c>
      <c r="I258" s="35" t="str">
        <f>IF(E256="","0",IF(AND(E253="EUC",E254=432), I257+(203-E255),IF(E256=0,0,(E256+(E254-E255)-1))))</f>
        <v>0</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0</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c r="D263" s="102"/>
      <c r="E263" s="32"/>
      <c r="F263" s="32"/>
      <c r="G263" s="68" t="s">
        <v>277</v>
      </c>
      <c r="H263" s="69">
        <f>IF(I263=0,0,I263-(E263-1))</f>
        <v>0</v>
      </c>
      <c r="I263" s="70">
        <f>IF(E263=0,0,I258)</f>
        <v>0</v>
      </c>
      <c r="J263" s="71" t="s">
        <v>278</v>
      </c>
      <c r="K263" s="32"/>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0-0</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c r="D264" s="102"/>
      <c r="E264" s="32"/>
      <c r="F264" s="32"/>
      <c r="G264" s="68" t="s">
        <v>277</v>
      </c>
      <c r="H264" s="69">
        <f t="shared" ref="H264:H287" si="111">IF(E264=0,0,I264-(E264-1))</f>
        <v>0</v>
      </c>
      <c r="I264" s="70">
        <f t="shared" ref="I264:I287" si="112">IF(E264=0,0,H263-1)</f>
        <v>0</v>
      </c>
      <c r="J264" s="73" t="str">
        <f>IF(C264="","--",IF(AND(C264&lt;&gt;"FST",C264&lt;&gt;"TCF",BA263&lt;&gt;0),BA263,"--"))</f>
        <v>--</v>
      </c>
      <c r="K264" s="32"/>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1</v>
      </c>
      <c r="AE264" s="109" t="str">
        <f t="shared" si="104"/>
        <v>0-0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c r="D265" s="102"/>
      <c r="E265" s="32"/>
      <c r="F265" s="32"/>
      <c r="G265" s="75" t="s">
        <v>277</v>
      </c>
      <c r="H265" s="69">
        <f t="shared" si="111"/>
        <v>0</v>
      </c>
      <c r="I265" s="70">
        <f t="shared" si="112"/>
        <v>0</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1</v>
      </c>
      <c r="AE265" s="109" t="str">
        <f t="shared" si="104"/>
        <v>0-0</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7"/>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1</v>
      </c>
      <c r="X274" s="84"/>
      <c r="Y274" s="78">
        <f>SUM(E263:E274)</f>
        <v>0</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1</v>
      </c>
      <c r="X275" s="84"/>
      <c r="Y275" s="78">
        <f>SUM(E263:E275)</f>
        <v>0</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1</v>
      </c>
      <c r="X276" s="84"/>
      <c r="Y276" s="78">
        <f>SUM(E263:E276)</f>
        <v>0</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1</v>
      </c>
      <c r="X277" s="84"/>
      <c r="Y277" s="78">
        <f>SUM(E263:E277)</f>
        <v>0</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1</v>
      </c>
      <c r="X278" s="84"/>
      <c r="Y278" s="78">
        <f>SUM(E263:E278)</f>
        <v>0</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1</v>
      </c>
      <c r="X279" s="84"/>
      <c r="Y279" s="78">
        <f>SUM(E263:E279)</f>
        <v>0</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1</v>
      </c>
      <c r="X280" s="84"/>
      <c r="Y280" s="78">
        <f>SUM(E263:E280)</f>
        <v>0</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1</v>
      </c>
      <c r="X281" s="84"/>
      <c r="Y281" s="78">
        <f>SUM(E263:E281)</f>
        <v>0</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1</v>
      </c>
      <c r="X282" s="84"/>
      <c r="Y282" s="78">
        <f>SUM(E263:E282)</f>
        <v>0</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1</v>
      </c>
      <c r="X283" s="84"/>
      <c r="Y283" s="78">
        <f>SUM(E263:E283)</f>
        <v>0</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1</v>
      </c>
      <c r="X284" s="84"/>
      <c r="Y284" s="78">
        <f>SUM(E263:E284)</f>
        <v>0</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1</v>
      </c>
      <c r="X285" s="84"/>
      <c r="Y285" s="78">
        <f>SUM(E263:E285)</f>
        <v>0</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1</v>
      </c>
      <c r="X286" s="84"/>
      <c r="Y286" s="78">
        <f>SUM(E263:E286)</f>
        <v>0</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0</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0</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
      </c>
      <c r="F294" s="88"/>
      <c r="G294" s="303" t="s">
        <v>230</v>
      </c>
      <c r="H294" s="304"/>
      <c r="I294" s="33">
        <f>E295-I293</f>
        <v>0</v>
      </c>
      <c r="J294" s="288" t="s">
        <v>231</v>
      </c>
      <c r="K294" s="289"/>
      <c r="L294" s="34">
        <f>I298</f>
        <v>0</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c r="F295" s="88"/>
      <c r="G295" s="290" t="s">
        <v>237</v>
      </c>
      <c r="H295" s="291"/>
      <c r="I295" s="35">
        <f>IF(E295=0,0,12-(MOD(I293,12)))</f>
        <v>0</v>
      </c>
      <c r="J295" s="288" t="s">
        <v>238</v>
      </c>
      <c r="K295" s="289"/>
      <c r="L295" s="39">
        <f>I299-I293</f>
        <v>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c r="F296" s="88"/>
      <c r="G296" s="320" t="s">
        <v>242</v>
      </c>
      <c r="H296" s="43" t="s">
        <v>243</v>
      </c>
      <c r="I296" s="35">
        <f>IF(E296&lt;&gt;0,1,0)</f>
        <v>0</v>
      </c>
      <c r="J296" s="290" t="s">
        <v>244</v>
      </c>
      <c r="K296" s="291"/>
      <c r="L296" s="44" t="str">
        <f>'Cable Calculator'!AM3</f>
        <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c r="F297" s="88"/>
      <c r="G297" s="321"/>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0</v>
      </c>
      <c r="F298" s="88"/>
      <c r="G298" s="320" t="s">
        <v>251</v>
      </c>
      <c r="H298" s="51" t="s">
        <v>252</v>
      </c>
      <c r="I298" s="112">
        <f>E297</f>
        <v>0</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
      </c>
      <c r="F299" s="88"/>
      <c r="G299" s="321"/>
      <c r="H299" s="47" t="s">
        <v>257</v>
      </c>
      <c r="I299" s="35" t="str">
        <f>IF(E297="","0",IF(AND(E294="EUC",E295=432), I298+(203-E296),IF(E297=0,0,(E297+(E295-E296)-1))))</f>
        <v>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0</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c r="D304" s="102"/>
      <c r="E304" s="32"/>
      <c r="F304" s="32"/>
      <c r="G304" s="68" t="s">
        <v>277</v>
      </c>
      <c r="H304" s="69">
        <f>IF(I304=0,0,I304-(E304-1))</f>
        <v>0</v>
      </c>
      <c r="I304" s="70">
        <f>IF(E304=0,0,I299)</f>
        <v>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0-0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c r="D305" s="102"/>
      <c r="E305" s="32"/>
      <c r="F305" s="32"/>
      <c r="G305" s="68" t="s">
        <v>277</v>
      </c>
      <c r="H305" s="69">
        <f t="shared" ref="H305:H328" si="128">IF(E305=0,0,I305-(E305-1))</f>
        <v>0</v>
      </c>
      <c r="I305" s="70">
        <f t="shared" ref="I305:I328" si="129">IF(E305=0,0,H304-1)</f>
        <v>0</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1</v>
      </c>
      <c r="AE305" s="109" t="str">
        <f t="shared" si="121"/>
        <v>0-0</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c r="D306" s="102"/>
      <c r="E306" s="32"/>
      <c r="F306" s="32"/>
      <c r="G306" s="75" t="s">
        <v>277</v>
      </c>
      <c r="H306" s="69">
        <f t="shared" si="128"/>
        <v>0</v>
      </c>
      <c r="I306" s="70">
        <f t="shared" si="129"/>
        <v>0</v>
      </c>
      <c r="J306" s="73" t="str">
        <f t="shared" ref="J306:J328" si="130">IF(C306="","--",IF(AND(C306&lt;&gt;"FST",C306&lt;&gt;"TCF",BA305&lt;&gt;0),BA305,"--"))</f>
        <v>--</v>
      </c>
      <c r="K306" s="32"/>
      <c r="L306" s="233"/>
      <c r="M306" s="277"/>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1</v>
      </c>
      <c r="AE306" s="109" t="str">
        <f t="shared" si="121"/>
        <v>0-0</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1</v>
      </c>
      <c r="X315" s="84"/>
      <c r="Y315" s="78">
        <f>SUM(E304:E315)</f>
        <v>0</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1</v>
      </c>
      <c r="X316" s="84"/>
      <c r="Y316" s="78">
        <f>SUM(E304:E316)</f>
        <v>0</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1</v>
      </c>
      <c r="X317" s="84"/>
      <c r="Y317" s="78">
        <f>SUM(E304:E317)</f>
        <v>0</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1</v>
      </c>
      <c r="X318" s="84"/>
      <c r="Y318" s="78">
        <f>SUM(E304:E318)</f>
        <v>0</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1</v>
      </c>
      <c r="X319" s="84"/>
      <c r="Y319" s="78">
        <f>SUM(E304:E319)</f>
        <v>0</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1</v>
      </c>
      <c r="X320" s="84"/>
      <c r="Y320" s="78">
        <f>SUM(E304:E320)</f>
        <v>0</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1</v>
      </c>
      <c r="X321" s="84"/>
      <c r="Y321" s="78">
        <f>SUM(E304:E321)</f>
        <v>0</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1</v>
      </c>
      <c r="X322" s="84"/>
      <c r="Y322" s="78">
        <f>SUM(E304:E322)</f>
        <v>0</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1</v>
      </c>
      <c r="X323" s="84"/>
      <c r="Y323" s="78">
        <f>SUM(E304:E323)</f>
        <v>0</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1</v>
      </c>
      <c r="X324" s="84"/>
      <c r="Y324" s="78">
        <f>SUM(E304:E324)</f>
        <v>0</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1</v>
      </c>
      <c r="X325" s="84"/>
      <c r="Y325" s="78">
        <f>SUM(E304:E325)</f>
        <v>0</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1</v>
      </c>
      <c r="X326" s="84"/>
      <c r="Y326" s="78">
        <f>SUM(E304:E326)</f>
        <v>0</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1</v>
      </c>
      <c r="X327" s="84"/>
      <c r="Y327" s="78">
        <f>SUM(E304:E327)</f>
        <v>0</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0</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25</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0</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t="str">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
      </c>
      <c r="F335" s="88"/>
      <c r="G335" s="303" t="s">
        <v>230</v>
      </c>
      <c r="H335" s="304"/>
      <c r="I335" s="33">
        <f>E336-I334</f>
        <v>0</v>
      </c>
      <c r="J335" s="288" t="s">
        <v>231</v>
      </c>
      <c r="K335" s="289"/>
      <c r="L335" s="34">
        <f>I339</f>
        <v>0</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t="str">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c r="F336" s="88"/>
      <c r="G336" s="290" t="s">
        <v>237</v>
      </c>
      <c r="H336" s="291"/>
      <c r="I336" s="35">
        <f>IF(E336=0,0,12-(MOD(I334,12)))</f>
        <v>0</v>
      </c>
      <c r="J336" s="288" t="s">
        <v>238</v>
      </c>
      <c r="K336" s="289"/>
      <c r="L336" s="39">
        <f>I340-I334</f>
        <v>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t="str">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c r="F337" s="88"/>
      <c r="G337" s="320" t="s">
        <v>242</v>
      </c>
      <c r="H337" s="43" t="s">
        <v>243</v>
      </c>
      <c r="I337" s="35">
        <f>IF(E337&lt;&gt;0,1,0)</f>
        <v>0</v>
      </c>
      <c r="J337" s="290" t="s">
        <v>244</v>
      </c>
      <c r="K337" s="291"/>
      <c r="L337" s="44" t="str">
        <f>'Cable Calculator'!AR3</f>
        <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c r="F338" s="88"/>
      <c r="G338" s="321"/>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0</v>
      </c>
      <c r="F339" s="88"/>
      <c r="G339" s="320" t="s">
        <v>251</v>
      </c>
      <c r="H339" s="51" t="s">
        <v>252</v>
      </c>
      <c r="I339" s="112">
        <f>E338</f>
        <v>0</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
      </c>
      <c r="F340" s="88"/>
      <c r="G340" s="321"/>
      <c r="H340" s="47" t="s">
        <v>257</v>
      </c>
      <c r="I340" s="35" t="str">
        <f>IF(E338="","0",IF(AND(E335="EUC",E336=432), I339+(203-E337),IF(E338=0,0,(E338+(E336-E337)-1))))</f>
        <v>0</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0</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c r="D345" s="102"/>
      <c r="E345" s="32"/>
      <c r="F345" s="32"/>
      <c r="G345" s="68" t="s">
        <v>277</v>
      </c>
      <c r="H345" s="69">
        <f>IF(I345=0,0,I345-(E345-1))</f>
        <v>0</v>
      </c>
      <c r="I345" s="70">
        <f>IF(E345=0,0,I340)</f>
        <v>0</v>
      </c>
      <c r="J345" s="71" t="s">
        <v>278</v>
      </c>
      <c r="K345" s="32"/>
      <c r="L345" s="233"/>
      <c r="M345" s="277"/>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0-0</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v>
      </c>
      <c r="X356" s="84"/>
      <c r="Y356" s="78">
        <f>SUM(E345:E356)</f>
        <v>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v>
      </c>
      <c r="X357" s="84"/>
      <c r="Y357" s="78">
        <f>SUM(E345:E357)</f>
        <v>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v>
      </c>
      <c r="X358" s="84"/>
      <c r="Y358" s="78">
        <f>SUM(E345:E358)</f>
        <v>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v>
      </c>
      <c r="X359" s="84"/>
      <c r="Y359" s="78">
        <f>SUM(E345:E359)</f>
        <v>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v>
      </c>
      <c r="X360" s="84"/>
      <c r="Y360" s="78">
        <f>SUM(E345:E360)</f>
        <v>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v>
      </c>
      <c r="X361" s="84"/>
      <c r="Y361" s="78">
        <f>SUM(E345:E361)</f>
        <v>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v>
      </c>
      <c r="X362" s="84"/>
      <c r="Y362" s="78">
        <f>SUM(E345:E362)</f>
        <v>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v>
      </c>
      <c r="X363" s="84"/>
      <c r="Y363" s="78">
        <f>SUM(E345:E363)</f>
        <v>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v>
      </c>
      <c r="X364" s="84"/>
      <c r="Y364" s="78">
        <f>SUM(E345:E364)</f>
        <v>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v>
      </c>
      <c r="X365" s="84"/>
      <c r="Y365" s="78">
        <f>SUM(E345:E365)</f>
        <v>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v>
      </c>
      <c r="X366" s="84"/>
      <c r="Y366" s="78">
        <f>SUM(E345:E366)</f>
        <v>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v>
      </c>
      <c r="X367" s="84"/>
      <c r="Y367" s="78">
        <f>SUM(E345:E367)</f>
        <v>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v>
      </c>
      <c r="X368" s="84"/>
      <c r="Y368" s="78">
        <f>SUM(E345:E368)</f>
        <v>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25</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0</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3" t="s">
        <v>230</v>
      </c>
      <c r="H376" s="304"/>
      <c r="I376" s="33">
        <f>E377-I375</f>
        <v>0</v>
      </c>
      <c r="J376" s="288" t="s">
        <v>231</v>
      </c>
      <c r="K376" s="289"/>
      <c r="L376" s="34">
        <f>I380</f>
        <v>0</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c r="F377" s="88"/>
      <c r="G377" s="290" t="s">
        <v>237</v>
      </c>
      <c r="H377" s="291"/>
      <c r="I377" s="35">
        <f>IF(E377=0,0,12-(MOD(I375,12)))</f>
        <v>0</v>
      </c>
      <c r="J377" s="288" t="s">
        <v>238</v>
      </c>
      <c r="K377" s="289"/>
      <c r="L377" s="39">
        <f>I381-I375</f>
        <v>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c r="F378" s="88"/>
      <c r="G378" s="320" t="s">
        <v>242</v>
      </c>
      <c r="H378" s="43" t="s">
        <v>243</v>
      </c>
      <c r="I378" s="35">
        <f>IF(E378&lt;&gt;0,1,0)</f>
        <v>0</v>
      </c>
      <c r="J378" s="290" t="s">
        <v>244</v>
      </c>
      <c r="K378" s="291"/>
      <c r="L378" s="44" t="str">
        <f>'Cable Calculator'!AW3</f>
        <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0</v>
      </c>
      <c r="F380" s="88"/>
      <c r="G380" s="320" t="s">
        <v>251</v>
      </c>
      <c r="H380" s="51" t="s">
        <v>252</v>
      </c>
      <c r="I380" s="112">
        <f>E379</f>
        <v>0</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
      </c>
      <c r="F381" s="88"/>
      <c r="G381" s="321"/>
      <c r="H381" s="47" t="s">
        <v>257</v>
      </c>
      <c r="I381" s="35" t="str">
        <f>IF(E379="","0",IF(AND(E376="EUC",E377=432), I380+(203-E378),IF(E379=0,0,(E379+(E377-E378)-1))))</f>
        <v>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0</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
      </c>
      <c r="F417" s="88"/>
      <c r="G417" s="303" t="s">
        <v>230</v>
      </c>
      <c r="H417" s="304"/>
      <c r="I417" s="33">
        <f>E418-I416</f>
        <v>0</v>
      </c>
      <c r="J417" s="288" t="s">
        <v>231</v>
      </c>
      <c r="K417" s="289"/>
      <c r="L417" s="34">
        <f>I421</f>
        <v>0</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c r="F418" s="88"/>
      <c r="G418" s="290" t="s">
        <v>237</v>
      </c>
      <c r="H418" s="291"/>
      <c r="I418" s="35">
        <f>IF(E418=0,0,12-(MOD(I416,12)))</f>
        <v>0</v>
      </c>
      <c r="J418" s="288" t="s">
        <v>238</v>
      </c>
      <c r="K418" s="289"/>
      <c r="L418" s="39">
        <f>I422-I416</f>
        <v>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c r="F419" s="88"/>
      <c r="G419" s="320" t="s">
        <v>242</v>
      </c>
      <c r="H419" s="43" t="s">
        <v>243</v>
      </c>
      <c r="I419" s="35">
        <f>IF(E419&lt;&gt;0,1,0)</f>
        <v>0</v>
      </c>
      <c r="J419" s="290" t="s">
        <v>244</v>
      </c>
      <c r="K419" s="291"/>
      <c r="L419" s="44" t="str">
        <f>'Cable Calculator'!BB3</f>
        <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c r="F420" s="88"/>
      <c r="G420" s="32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0</v>
      </c>
      <c r="F421" s="88"/>
      <c r="G421" s="320" t="s">
        <v>251</v>
      </c>
      <c r="H421" s="51" t="s">
        <v>252</v>
      </c>
      <c r="I421" s="112">
        <f>E420</f>
        <v>0</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
      </c>
      <c r="F422" s="88"/>
      <c r="G422" s="321"/>
      <c r="H422" s="47" t="s">
        <v>257</v>
      </c>
      <c r="I422" s="35" t="str">
        <f>IF(E420="","0",IF(AND(E417="EUC",E418=432), I421+(203-E419),IF(E420=0,0,(E420+(E418-E419)-1))))</f>
        <v>0</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0</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c r="D427" s="102"/>
      <c r="E427" s="32"/>
      <c r="F427" s="32"/>
      <c r="G427" s="68" t="s">
        <v>277</v>
      </c>
      <c r="H427" s="69">
        <f>IF(I427=0,0,I427-(E427-1))</f>
        <v>0</v>
      </c>
      <c r="I427" s="70">
        <f>IF(E427=0,0,I422)</f>
        <v>0</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0-0</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0</v>
      </c>
    </row>
    <row r="428" spans="1:53" ht="15.75" thickBot="1" x14ac:dyDescent="0.3">
      <c r="A428" s="88"/>
      <c r="B428" s="66" t="s">
        <v>279</v>
      </c>
      <c r="C428" s="67"/>
      <c r="D428" s="102"/>
      <c r="E428" s="32"/>
      <c r="F428" s="32"/>
      <c r="G428" s="68" t="s">
        <v>277</v>
      </c>
      <c r="H428" s="69">
        <f t="shared" ref="H428:H451" si="179">IF(E428=0,0,I428-(E428-1))</f>
        <v>0</v>
      </c>
      <c r="I428" s="70">
        <f t="shared" ref="I428:I451" si="180">IF(E428=0,0,H427-1)</f>
        <v>0</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0-0</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c r="D429" s="102"/>
      <c r="E429" s="32"/>
      <c r="F429" s="32"/>
      <c r="G429" s="75" t="s">
        <v>277</v>
      </c>
      <c r="H429" s="69">
        <f t="shared" si="179"/>
        <v>0</v>
      </c>
      <c r="I429" s="70">
        <f t="shared" si="180"/>
        <v>0</v>
      </c>
      <c r="J429" s="73" t="str">
        <f t="shared" ref="J429:J451" si="181">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0-0</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1</v>
      </c>
      <c r="X438" s="84"/>
      <c r="Y438" s="78">
        <f>SUM(E427:E438)</f>
        <v>0</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1</v>
      </c>
      <c r="X439" s="84"/>
      <c r="Y439" s="78">
        <f>SUM(E427:E439)</f>
        <v>0</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1</v>
      </c>
      <c r="X440" s="84"/>
      <c r="Y440" s="78">
        <f>SUM(E427:E440)</f>
        <v>0</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1</v>
      </c>
      <c r="X441" s="84"/>
      <c r="Y441" s="78">
        <f>SUM(E427:E441)</f>
        <v>0</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1</v>
      </c>
      <c r="X442" s="84"/>
      <c r="Y442" s="78">
        <f>SUM(E427:E442)</f>
        <v>0</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1</v>
      </c>
      <c r="X443" s="84"/>
      <c r="Y443" s="78">
        <f>SUM(E427:E443)</f>
        <v>0</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1</v>
      </c>
      <c r="X444" s="84"/>
      <c r="Y444" s="78">
        <f>SUM(E427:E444)</f>
        <v>0</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1</v>
      </c>
      <c r="X445" s="84"/>
      <c r="Y445" s="78">
        <f>SUM(E427:E445)</f>
        <v>0</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1</v>
      </c>
      <c r="X446" s="84"/>
      <c r="Y446" s="78">
        <f>SUM(E427:E446)</f>
        <v>0</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1</v>
      </c>
      <c r="X447" s="84"/>
      <c r="Y447" s="78">
        <f>SUM(E427:E447)</f>
        <v>0</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1</v>
      </c>
      <c r="X448" s="84"/>
      <c r="Y448" s="78">
        <f>SUM(E427:E448)</f>
        <v>0</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1</v>
      </c>
      <c r="X449" s="84"/>
      <c r="Y449" s="78">
        <f>SUM(E427:E449)</f>
        <v>0</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1</v>
      </c>
      <c r="X450" s="84"/>
      <c r="Y450" s="78">
        <f>SUM(E427:E450)</f>
        <v>0</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0</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0</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
      </c>
      <c r="F458" s="88"/>
      <c r="G458" s="303" t="s">
        <v>230</v>
      </c>
      <c r="H458" s="304"/>
      <c r="I458" s="33">
        <f>E459-I457</f>
        <v>0</v>
      </c>
      <c r="J458" s="288" t="s">
        <v>231</v>
      </c>
      <c r="K458" s="289"/>
      <c r="L458" s="34">
        <f>I462</f>
        <v>0</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c r="F459" s="88"/>
      <c r="G459" s="290" t="s">
        <v>237</v>
      </c>
      <c r="H459" s="291"/>
      <c r="I459" s="35">
        <f>IF(E459=0,0,12-(MOD(I457,12)))</f>
        <v>0</v>
      </c>
      <c r="J459" s="288" t="s">
        <v>238</v>
      </c>
      <c r="K459" s="289"/>
      <c r="L459" s="39">
        <f>I463-I457</f>
        <v>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c r="F460" s="88"/>
      <c r="G460" s="320" t="s">
        <v>242</v>
      </c>
      <c r="H460" s="43" t="s">
        <v>243</v>
      </c>
      <c r="I460" s="35">
        <f>IF(E460&lt;&gt;0,1,0)</f>
        <v>0</v>
      </c>
      <c r="J460" s="290" t="s">
        <v>244</v>
      </c>
      <c r="K460" s="291"/>
      <c r="L460" s="44" t="str">
        <f>'Cable Calculator'!BG3</f>
        <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0</v>
      </c>
      <c r="F462" s="88"/>
      <c r="G462" s="320" t="s">
        <v>251</v>
      </c>
      <c r="H462" s="51" t="s">
        <v>252</v>
      </c>
      <c r="I462" s="112">
        <f>E461</f>
        <v>0</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
      </c>
      <c r="F463" s="88"/>
      <c r="G463" s="321"/>
      <c r="H463" s="47" t="s">
        <v>257</v>
      </c>
      <c r="I463" s="35" t="str">
        <f>IF(E461="","0",IF(AND(E458="EUC",E459=432), I462+(203-E460),IF(E461=0,0,(E461+(E459-E460)-1))))</f>
        <v>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c r="D468" s="102"/>
      <c r="E468" s="32"/>
      <c r="F468" s="32"/>
      <c r="G468" s="68" t="s">
        <v>277</v>
      </c>
      <c r="H468" s="69">
        <f>IF(I468=0,0,I468-(E468-1))</f>
        <v>0</v>
      </c>
      <c r="I468" s="70">
        <f>IF(E468=0,0,I463)</f>
        <v>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1</v>
      </c>
      <c r="AE468" s="109" t="str">
        <f t="shared" ref="AE468:AE492" si="189">CONCATENATE(H468,"-",I468)</f>
        <v>0-0</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77"/>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77"/>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1</v>
      </c>
      <c r="X479" s="84"/>
      <c r="Y479" s="78">
        <f>SUM(E468:E479)</f>
        <v>0</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1</v>
      </c>
      <c r="X480" s="84"/>
      <c r="Y480" s="78">
        <f>SUM(E468:E480)</f>
        <v>0</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1</v>
      </c>
      <c r="X481" s="84"/>
      <c r="Y481" s="78">
        <f>SUM(E468:E481)</f>
        <v>0</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1</v>
      </c>
      <c r="X482" s="84"/>
      <c r="Y482" s="78">
        <f>SUM(E468:E482)</f>
        <v>0</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1</v>
      </c>
      <c r="X483" s="84"/>
      <c r="Y483" s="78">
        <f>SUM(E468:E483)</f>
        <v>0</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1</v>
      </c>
      <c r="X484" s="84"/>
      <c r="Y484" s="78">
        <f>SUM(E468:E484)</f>
        <v>0</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1</v>
      </c>
      <c r="X485" s="84"/>
      <c r="Y485" s="78">
        <f>SUM(E468:E485)</f>
        <v>0</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1</v>
      </c>
      <c r="X486" s="84"/>
      <c r="Y486" s="78">
        <f>SUM(E468:E486)</f>
        <v>0</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1</v>
      </c>
      <c r="X487" s="84"/>
      <c r="Y487" s="78">
        <f>SUM(E468:E487)</f>
        <v>0</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1</v>
      </c>
      <c r="X488" s="84"/>
      <c r="Y488" s="78">
        <f>SUM(E468:E488)</f>
        <v>0</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1</v>
      </c>
      <c r="X489" s="84"/>
      <c r="Y489" s="78">
        <f>SUM(E468:E489)</f>
        <v>0</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1</v>
      </c>
      <c r="X490" s="84"/>
      <c r="Y490" s="78">
        <f>SUM(E468:E490)</f>
        <v>0</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1</v>
      </c>
      <c r="X491" s="84"/>
      <c r="Y491" s="78">
        <f>SUM(E468:E491)</f>
        <v>0</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0</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25</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0</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3" t="s">
        <v>230</v>
      </c>
      <c r="H499" s="304"/>
      <c r="I499" s="33">
        <f>E500-I498</f>
        <v>0</v>
      </c>
      <c r="J499" s="288" t="s">
        <v>231</v>
      </c>
      <c r="K499" s="289"/>
      <c r="L499" s="34">
        <f>I503</f>
        <v>0</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c r="F500" s="88"/>
      <c r="G500" s="290" t="s">
        <v>237</v>
      </c>
      <c r="H500" s="291"/>
      <c r="I500" s="35">
        <f>IF(E500=0,0,12-(MOD(I498,12)))</f>
        <v>0</v>
      </c>
      <c r="J500" s="288" t="s">
        <v>238</v>
      </c>
      <c r="K500" s="289"/>
      <c r="L500" s="39">
        <f>I504-I498</f>
        <v>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c r="F501" s="88"/>
      <c r="G501" s="320" t="s">
        <v>242</v>
      </c>
      <c r="H501" s="43" t="s">
        <v>243</v>
      </c>
      <c r="I501" s="35">
        <f>IF(E501&lt;&gt;0,1,0)</f>
        <v>0</v>
      </c>
      <c r="J501" s="290" t="s">
        <v>244</v>
      </c>
      <c r="K501" s="291"/>
      <c r="L501" s="44" t="str">
        <f>'Cable Calculator'!BL3</f>
        <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c r="F502" s="88"/>
      <c r="G502" s="321"/>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0</v>
      </c>
      <c r="F503" s="88"/>
      <c r="G503" s="320" t="s">
        <v>251</v>
      </c>
      <c r="H503" s="51" t="s">
        <v>252</v>
      </c>
      <c r="I503" s="112">
        <f>E502</f>
        <v>0</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
      </c>
      <c r="F504" s="88"/>
      <c r="G504" s="321"/>
      <c r="H504" s="47" t="s">
        <v>257</v>
      </c>
      <c r="I504" s="35" t="str">
        <f>IF(E502="","0",IF(AND(E499="EUC",E500=432), I503+(203-E501),IF(E502=0,0,(E502+(E500-E501)-1))))</f>
        <v>0</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0</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c r="F509" s="32"/>
      <c r="G509" s="68" t="s">
        <v>277</v>
      </c>
      <c r="H509" s="69">
        <f>IF(I509=0,0,I509-(E509-1))</f>
        <v>0</v>
      </c>
      <c r="I509" s="70">
        <f>IF(E509=0,0,I504)</f>
        <v>0</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0-0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1</v>
      </c>
      <c r="X520" s="84"/>
      <c r="Y520" s="78">
        <f>SUM(E509:E520)</f>
        <v>0</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1</v>
      </c>
      <c r="X521" s="84"/>
      <c r="Y521" s="78">
        <f>SUM(E509:E521)</f>
        <v>0</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1</v>
      </c>
      <c r="X522" s="84"/>
      <c r="Y522" s="78">
        <f>SUM(E509:E522)</f>
        <v>0</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1</v>
      </c>
      <c r="X523" s="84"/>
      <c r="Y523" s="78">
        <f>SUM(E509:E523)</f>
        <v>0</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1</v>
      </c>
      <c r="X524" s="84"/>
      <c r="Y524" s="78">
        <f>SUM(E509:E524)</f>
        <v>0</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1</v>
      </c>
      <c r="X525" s="84"/>
      <c r="Y525" s="78">
        <f>SUM(E509:E525)</f>
        <v>0</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1</v>
      </c>
      <c r="X526" s="84"/>
      <c r="Y526" s="78">
        <f>SUM(E509:E526)</f>
        <v>0</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1</v>
      </c>
      <c r="X527" s="84"/>
      <c r="Y527" s="78">
        <f>SUM(E509:E527)</f>
        <v>0</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1</v>
      </c>
      <c r="X528" s="84"/>
      <c r="Y528" s="78">
        <f>SUM(E509:E528)</f>
        <v>0</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1</v>
      </c>
      <c r="X529" s="84"/>
      <c r="Y529" s="78">
        <f>SUM(E509:E529)</f>
        <v>0</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1</v>
      </c>
      <c r="X530" s="84"/>
      <c r="Y530" s="78">
        <f>SUM(E509:E530)</f>
        <v>0</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1</v>
      </c>
      <c r="X531" s="84"/>
      <c r="Y531" s="78">
        <f>SUM(E509:E531)</f>
        <v>0</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1</v>
      </c>
      <c r="X532" s="84"/>
      <c r="Y532" s="78">
        <f>SUM(E509:E532)</f>
        <v>0</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0</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0</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3" t="s">
        <v>230</v>
      </c>
      <c r="H540" s="304"/>
      <c r="I540" s="33">
        <f>E541-I539</f>
        <v>0</v>
      </c>
      <c r="J540" s="288" t="s">
        <v>231</v>
      </c>
      <c r="K540" s="289"/>
      <c r="L540" s="34">
        <f>I544</f>
        <v>0</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c r="F541" s="88"/>
      <c r="G541" s="290" t="s">
        <v>237</v>
      </c>
      <c r="H541" s="291"/>
      <c r="I541" s="35">
        <f>IF(E541=0,0,12-(MOD(I539,12)))</f>
        <v>0</v>
      </c>
      <c r="J541" s="288" t="s">
        <v>238</v>
      </c>
      <c r="K541" s="289"/>
      <c r="L541" s="39">
        <f>I545-I539</f>
        <v>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c r="F542" s="88"/>
      <c r="G542" s="320" t="s">
        <v>242</v>
      </c>
      <c r="H542" s="43" t="s">
        <v>243</v>
      </c>
      <c r="I542" s="35">
        <f>IF(E542&lt;&gt;0,1,0)</f>
        <v>0</v>
      </c>
      <c r="J542" s="290" t="s">
        <v>244</v>
      </c>
      <c r="K542" s="291"/>
      <c r="L542" s="44" t="str">
        <f>'Cable Calculator'!BQ3</f>
        <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c r="F543" s="88"/>
      <c r="G543" s="321"/>
      <c r="H543" s="47" t="s">
        <v>248</v>
      </c>
      <c r="I543" s="35">
        <f>IF(E542&lt;&gt;0,E542,0)</f>
        <v>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0</v>
      </c>
      <c r="F544" s="88"/>
      <c r="G544" s="320" t="s">
        <v>251</v>
      </c>
      <c r="H544" s="51" t="s">
        <v>252</v>
      </c>
      <c r="I544" s="112">
        <f>E543</f>
        <v>0</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
      </c>
      <c r="F545" s="88"/>
      <c r="G545" s="321"/>
      <c r="H545" s="47" t="s">
        <v>257</v>
      </c>
      <c r="I545" s="35" t="str">
        <f>IF(E543="","0",IF(AND(E540="EUC",E541=432), I544+(203-E542),IF(E543=0,0,(E543+(E541-E542)-1))))</f>
        <v>0</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0</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c r="F550" s="32"/>
      <c r="G550" s="68" t="s">
        <v>277</v>
      </c>
      <c r="H550" s="69">
        <f>IF(I550=0,0,I550-(E550-1))</f>
        <v>0</v>
      </c>
      <c r="I550" s="70">
        <f>IF(E550=0,0,I545)</f>
        <v>0</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0-0</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v>
      </c>
      <c r="X561" s="84"/>
      <c r="Y561" s="78">
        <f>SUM(E550:E561)</f>
        <v>0</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v>
      </c>
      <c r="X562" s="84"/>
      <c r="Y562" s="78">
        <f>SUM(E550:E562)</f>
        <v>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v>
      </c>
      <c r="X563" s="84"/>
      <c r="Y563" s="78">
        <f>SUM(E550:E563)</f>
        <v>0</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v>
      </c>
      <c r="X564" s="84"/>
      <c r="Y564" s="78">
        <f>SUM(E550:E564)</f>
        <v>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v>
      </c>
      <c r="X565" s="84"/>
      <c r="Y565" s="78">
        <f>SUM(E550:E565)</f>
        <v>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v>
      </c>
      <c r="X566" s="84"/>
      <c r="Y566" s="78">
        <f>SUM(E550:E566)</f>
        <v>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v>
      </c>
      <c r="X567" s="84"/>
      <c r="Y567" s="78">
        <f>SUM(E550:E567)</f>
        <v>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v>
      </c>
      <c r="X568" s="84"/>
      <c r="Y568" s="78">
        <f>SUM(E550:E568)</f>
        <v>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v>
      </c>
      <c r="X569" s="84"/>
      <c r="Y569" s="78">
        <f>SUM(E550:E569)</f>
        <v>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v>
      </c>
      <c r="X570" s="84"/>
      <c r="Y570" s="78">
        <f>SUM(E550:E570)</f>
        <v>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v>
      </c>
      <c r="X571" s="84"/>
      <c r="Y571" s="78">
        <f>SUM(E550:E571)</f>
        <v>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v>
      </c>
      <c r="X572" s="84"/>
      <c r="Y572" s="78">
        <f>SUM(E550:E572)</f>
        <v>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v>
      </c>
      <c r="X573" s="84"/>
      <c r="Y573" s="78">
        <f>SUM(E550:E573)</f>
        <v>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0</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
      </c>
      <c r="F581" s="88"/>
      <c r="G581" s="303" t="s">
        <v>230</v>
      </c>
      <c r="H581" s="304"/>
      <c r="I581" s="33">
        <f>E582-I580</f>
        <v>0</v>
      </c>
      <c r="J581" s="288" t="s">
        <v>231</v>
      </c>
      <c r="K581" s="289"/>
      <c r="L581" s="34">
        <f>I585</f>
        <v>0</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c r="F582" s="88"/>
      <c r="G582" s="290" t="s">
        <v>237</v>
      </c>
      <c r="H582" s="291"/>
      <c r="I582" s="35">
        <f>IF(E582=0,0,12-(MOD(I580,12)))</f>
        <v>0</v>
      </c>
      <c r="J582" s="288" t="s">
        <v>238</v>
      </c>
      <c r="K582" s="289"/>
      <c r="L582" s="39">
        <f>I586-I580</f>
        <v>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c r="F583" s="88"/>
      <c r="G583" s="320" t="s">
        <v>242</v>
      </c>
      <c r="H583" s="43" t="s">
        <v>243</v>
      </c>
      <c r="I583" s="35">
        <f>IF(E583&lt;&gt;0,1,0)</f>
        <v>0</v>
      </c>
      <c r="J583" s="290" t="s">
        <v>244</v>
      </c>
      <c r="K583" s="291"/>
      <c r="L583" s="44" t="str">
        <f>'Cable Calculator'!BV3</f>
        <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c r="F584" s="88"/>
      <c r="G584" s="321"/>
      <c r="H584" s="47" t="s">
        <v>248</v>
      </c>
      <c r="I584" s="35">
        <f>IF(E583&lt;&gt;0,E583,0)</f>
        <v>0</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0</v>
      </c>
      <c r="F585" s="88"/>
      <c r="G585" s="320" t="s">
        <v>251</v>
      </c>
      <c r="H585" s="51" t="s">
        <v>252</v>
      </c>
      <c r="I585" s="112">
        <f>E584</f>
        <v>0</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
      </c>
      <c r="F586" s="88"/>
      <c r="G586" s="321"/>
      <c r="H586" s="47" t="s">
        <v>257</v>
      </c>
      <c r="I586" s="35" t="str">
        <f>IF(E584="","0",IF(AND(E581="EUC",E582=432), I585+(203-E583),IF(E584=0,0,(E584+(E582-E583)-1))))</f>
        <v>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c r="D591" s="102"/>
      <c r="E591" s="32"/>
      <c r="F591" s="32"/>
      <c r="G591" s="68" t="s">
        <v>277</v>
      </c>
      <c r="H591" s="69">
        <f>IF(I591=0,0,I591-(E591-1))</f>
        <v>0</v>
      </c>
      <c r="I591" s="70">
        <f>IF(E591=0,0,I586)</f>
        <v>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1</v>
      </c>
      <c r="AE591" s="109" t="str">
        <f t="shared" ref="AE591:AE615" si="240">CONCATENATE(H591,"-",I591)</f>
        <v>0-0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c r="D592" s="102"/>
      <c r="E592" s="32"/>
      <c r="F592" s="32"/>
      <c r="G592" s="68" t="s">
        <v>277</v>
      </c>
      <c r="H592" s="69">
        <f t="shared" ref="H592:H615" si="247">IF(E592=0,0,I592-(E592-1))</f>
        <v>0</v>
      </c>
      <c r="I592" s="70">
        <f t="shared" ref="I592:I615" si="248">IF(E592=0,0,H591-1)</f>
        <v>0</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1</v>
      </c>
      <c r="AE592" s="109" t="str">
        <f t="shared" si="240"/>
        <v>0-0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v>
      </c>
      <c r="X602" s="84"/>
      <c r="Y602" s="78">
        <f>SUM(E591:E602)</f>
        <v>0</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v>
      </c>
      <c r="X603" s="84"/>
      <c r="Y603" s="78">
        <f>SUM(E591:E603)</f>
        <v>0</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v>
      </c>
      <c r="X604" s="84"/>
      <c r="Y604" s="78">
        <f>SUM(E591:E604)</f>
        <v>0</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v>
      </c>
      <c r="X605" s="84"/>
      <c r="Y605" s="78">
        <f>SUM(E591:E605)</f>
        <v>0</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v>
      </c>
      <c r="X606" s="84"/>
      <c r="Y606" s="78">
        <f>SUM(E591:E606)</f>
        <v>0</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v>
      </c>
      <c r="X607" s="84"/>
      <c r="Y607" s="78">
        <f>SUM(E591:E607)</f>
        <v>0</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v>
      </c>
      <c r="X608" s="84"/>
      <c r="Y608" s="78">
        <f>SUM(E591:E608)</f>
        <v>0</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v>
      </c>
      <c r="X609" s="84"/>
      <c r="Y609" s="78">
        <f>SUM(E591:E609)</f>
        <v>0</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v>
      </c>
      <c r="X610" s="84"/>
      <c r="Y610" s="78">
        <f>SUM(E591:E610)</f>
        <v>0</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v>
      </c>
      <c r="X611" s="84"/>
      <c r="Y611" s="78">
        <f>SUM(E591:E611)</f>
        <v>0</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v>
      </c>
      <c r="X612" s="84"/>
      <c r="Y612" s="78">
        <f>SUM(E591:E612)</f>
        <v>0</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v>
      </c>
      <c r="X613" s="84"/>
      <c r="Y613" s="78">
        <f>SUM(E591:E613)</f>
        <v>0</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v>
      </c>
      <c r="X614" s="84"/>
      <c r="Y614" s="78">
        <f>SUM(E591:E614)</f>
        <v>0</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0</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25</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0</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
      </c>
      <c r="F622" s="88"/>
      <c r="G622" s="303" t="s">
        <v>230</v>
      </c>
      <c r="H622" s="304"/>
      <c r="I622" s="33">
        <f>E623-I621</f>
        <v>0</v>
      </c>
      <c r="J622" s="288" t="s">
        <v>231</v>
      </c>
      <c r="K622" s="289"/>
      <c r="L622" s="34">
        <f>I626</f>
        <v>0</v>
      </c>
      <c r="M622" s="196">
        <v>4</v>
      </c>
      <c r="N622" s="35">
        <f>SUM(AI622,AI633)</f>
        <v>0</v>
      </c>
      <c r="O622" s="35">
        <v>0</v>
      </c>
      <c r="P622" s="35">
        <f>SUM(AJ622,AJ633)</f>
        <v>0</v>
      </c>
      <c r="Q622" s="35">
        <v>0</v>
      </c>
      <c r="R622" s="35">
        <f>COUNTIFS($E632:$E656,"4",$F632:$F656,"Pole",$C632:$C656,"FST")</f>
        <v>0</v>
      </c>
      <c r="S622" s="35">
        <f>SUM(AL622,AK633)</f>
        <v>0</v>
      </c>
      <c r="T622" s="35">
        <v>0</v>
      </c>
      <c r="U622" s="35">
        <f>SUM(AK622,AL633)</f>
        <v>0</v>
      </c>
      <c r="V622" s="35">
        <v>0</v>
      </c>
      <c r="W622" s="34">
        <f>COUNTIFS($E632:$E656,"4",$F632:$F656,"HH",$C632:$C656,"FST")</f>
        <v>0</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c r="F623" s="88"/>
      <c r="G623" s="290" t="s">
        <v>237</v>
      </c>
      <c r="H623" s="291"/>
      <c r="I623" s="35">
        <f>IF(E623=0,0,12-(MOD(I621,12)))</f>
        <v>0</v>
      </c>
      <c r="J623" s="288" t="s">
        <v>238</v>
      </c>
      <c r="K623" s="289"/>
      <c r="L623" s="39">
        <f>I627-I621</f>
        <v>0</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c r="F624" s="88"/>
      <c r="G624" s="320" t="s">
        <v>242</v>
      </c>
      <c r="H624" s="43" t="s">
        <v>243</v>
      </c>
      <c r="I624" s="35">
        <f>IF(E624&lt;&gt;0,1,0)</f>
        <v>0</v>
      </c>
      <c r="J624" s="290" t="s">
        <v>244</v>
      </c>
      <c r="K624" s="291"/>
      <c r="L624" s="44" t="str">
        <f>'Cable Calculator'!CA3</f>
        <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0</v>
      </c>
      <c r="F626" s="88"/>
      <c r="G626" s="320" t="s">
        <v>251</v>
      </c>
      <c r="H626" s="51" t="s">
        <v>252</v>
      </c>
      <c r="I626" s="112">
        <f>E625</f>
        <v>0</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
      </c>
      <c r="F627" s="88"/>
      <c r="G627" s="321"/>
      <c r="H627" s="47" t="s">
        <v>257</v>
      </c>
      <c r="I627" s="35" t="str">
        <f>IF(E625="","0",IF(AND(E622="EUC",E623=432), I626+(203-E624),IF(E625=0,0,(E625+(E623-E624)-1))))</f>
        <v>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0</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c r="D632" s="102"/>
      <c r="E632" s="32"/>
      <c r="F632" s="32"/>
      <c r="G632" s="68" t="s">
        <v>277</v>
      </c>
      <c r="H632" s="69">
        <f>IF(I632=0,0,I632-(E632-1))</f>
        <v>0</v>
      </c>
      <c r="I632" s="70">
        <f>IF(E632=0,0,I627)</f>
        <v>0</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1</v>
      </c>
      <c r="AE632" s="109" t="str">
        <f t="shared" ref="AE632:AE656" si="257">CONCATENATE(H632,"-",I632)</f>
        <v>0-0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0</v>
      </c>
    </row>
    <row r="633" spans="1:53" ht="15.75" thickBot="1" x14ac:dyDescent="0.3">
      <c r="A633" s="88"/>
      <c r="B633" s="66" t="s">
        <v>279</v>
      </c>
      <c r="C633" s="67"/>
      <c r="D633" s="102"/>
      <c r="E633" s="32"/>
      <c r="F633" s="32"/>
      <c r="G633" s="68" t="s">
        <v>277</v>
      </c>
      <c r="H633" s="69">
        <f t="shared" ref="H633:H656" si="264">IF(E633=0,0,I633-(E633-1))</f>
        <v>0</v>
      </c>
      <c r="I633" s="70">
        <f t="shared" ref="I633:I656" si="265">IF(E633=0,0,H632-1)</f>
        <v>0</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1</v>
      </c>
      <c r="AE633" s="109" t="str">
        <f t="shared" si="257"/>
        <v>0-0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c r="D634" s="102"/>
      <c r="E634" s="32"/>
      <c r="F634" s="32"/>
      <c r="G634" s="75" t="s">
        <v>277</v>
      </c>
      <c r="H634" s="69">
        <f t="shared" si="264"/>
        <v>0</v>
      </c>
      <c r="I634" s="70">
        <f t="shared" si="265"/>
        <v>0</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1</v>
      </c>
      <c r="AE634" s="109" t="str">
        <f t="shared" si="257"/>
        <v>0-0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v>
      </c>
      <c r="X643" s="84"/>
      <c r="Y643" s="78">
        <f>SUM(E632:E643)</f>
        <v>0</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v>
      </c>
      <c r="X644" s="84"/>
      <c r="Y644" s="78">
        <f>SUM(E632:E644)</f>
        <v>0</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v>
      </c>
      <c r="X645" s="84"/>
      <c r="Y645" s="78">
        <f>SUM(E632:E645)</f>
        <v>0</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v>
      </c>
      <c r="X646" s="84"/>
      <c r="Y646" s="78">
        <f>SUM(E632:E646)</f>
        <v>0</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v>
      </c>
      <c r="X647" s="84"/>
      <c r="Y647" s="78">
        <f>SUM(E632:E647)</f>
        <v>0</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v>
      </c>
      <c r="X648" s="84"/>
      <c r="Y648" s="78">
        <f>SUM(E632:E648)</f>
        <v>0</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v>
      </c>
      <c r="X649" s="84"/>
      <c r="Y649" s="78">
        <f>SUM(E632:E649)</f>
        <v>0</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v>
      </c>
      <c r="X650" s="84"/>
      <c r="Y650" s="78">
        <f>SUM(E632:E650)</f>
        <v>0</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v>
      </c>
      <c r="X651" s="84"/>
      <c r="Y651" s="78">
        <f>SUM(E632:E651)</f>
        <v>0</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v>
      </c>
      <c r="X652" s="84"/>
      <c r="Y652" s="78">
        <f>SUM(E632:E652)</f>
        <v>0</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v>
      </c>
      <c r="X653" s="84"/>
      <c r="Y653" s="78">
        <f>SUM(E632:E653)</f>
        <v>0</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v>
      </c>
      <c r="X654" s="84"/>
      <c r="Y654" s="78">
        <f>SUM(E632:E654)</f>
        <v>0</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v>
      </c>
      <c r="X655" s="84"/>
      <c r="Y655" s="78">
        <f>SUM(E632:E655)</f>
        <v>0</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0</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25</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0</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t="str">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
      </c>
      <c r="F663" s="88"/>
      <c r="G663" s="303" t="s">
        <v>230</v>
      </c>
      <c r="H663" s="304"/>
      <c r="I663" s="33">
        <f>E664-I662</f>
        <v>0</v>
      </c>
      <c r="J663" s="288" t="s">
        <v>231</v>
      </c>
      <c r="K663" s="289"/>
      <c r="L663" s="34">
        <f>I667</f>
        <v>0</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t="str">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c r="F664" s="88"/>
      <c r="G664" s="290" t="s">
        <v>237</v>
      </c>
      <c r="H664" s="291"/>
      <c r="I664" s="35">
        <f>IF(E664=0,0,12-(MOD(I662,12)))</f>
        <v>0</v>
      </c>
      <c r="J664" s="288" t="s">
        <v>238</v>
      </c>
      <c r="K664" s="289"/>
      <c r="L664" s="39">
        <f>I668-I662</f>
        <v>0</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t="str">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c r="F665" s="88"/>
      <c r="G665" s="320" t="s">
        <v>242</v>
      </c>
      <c r="H665" s="43" t="s">
        <v>243</v>
      </c>
      <c r="I665" s="35">
        <f>IF(E665&lt;&gt;0,1,0)</f>
        <v>0</v>
      </c>
      <c r="J665" s="290" t="s">
        <v>244</v>
      </c>
      <c r="K665" s="291"/>
      <c r="L665" s="44" t="str">
        <f>'Cable Calculator'!CF3</f>
        <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c r="F666" s="88"/>
      <c r="G666" s="321"/>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0</v>
      </c>
      <c r="F667" s="88"/>
      <c r="G667" s="320" t="s">
        <v>251</v>
      </c>
      <c r="H667" s="51" t="s">
        <v>252</v>
      </c>
      <c r="I667" s="112">
        <f>E666</f>
        <v>0</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
      </c>
      <c r="F668" s="88"/>
      <c r="G668" s="321"/>
      <c r="H668" s="47" t="s">
        <v>257</v>
      </c>
      <c r="I668" s="35" t="str">
        <f>IF(E666="","0",IF(AND(E663="EUC",E664=432), I667+(203-E665),IF(E666=0,0,(E666+(E664-E665)-1))))</f>
        <v>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0</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c r="D673" s="102"/>
      <c r="E673" s="32"/>
      <c r="F673" s="32"/>
      <c r="G673" s="68" t="s">
        <v>277</v>
      </c>
      <c r="H673" s="69">
        <f>IF(I673=0,0,I673-(E673-1))</f>
        <v>0</v>
      </c>
      <c r="I673" s="70">
        <f>IF(E673=0,0,I668)</f>
        <v>0</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0-0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c r="D674" s="102"/>
      <c r="E674" s="32"/>
      <c r="F674" s="32"/>
      <c r="G674" s="68" t="s">
        <v>277</v>
      </c>
      <c r="H674" s="69">
        <f t="shared" ref="H674:H697" si="281">IF(E674=0,0,I674-(E674-1))</f>
        <v>0</v>
      </c>
      <c r="I674" s="70">
        <f t="shared" ref="I674:I697" si="282">IF(E674=0,0,H673-1)</f>
        <v>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1</v>
      </c>
      <c r="AE674" s="109" t="str">
        <f t="shared" si="274"/>
        <v>0-0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c r="D675" s="102"/>
      <c r="E675" s="32"/>
      <c r="F675" s="32"/>
      <c r="G675" s="75" t="s">
        <v>277</v>
      </c>
      <c r="H675" s="69">
        <f t="shared" si="281"/>
        <v>0</v>
      </c>
      <c r="I675" s="70">
        <f t="shared" si="282"/>
        <v>0</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1</v>
      </c>
      <c r="AE675" s="109" t="str">
        <f t="shared" si="274"/>
        <v>0-0</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77"/>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7"/>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7"/>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7"/>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7"/>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7"/>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1</v>
      </c>
      <c r="X684" s="84"/>
      <c r="Y684" s="78">
        <f>SUM(E673:E684)</f>
        <v>0</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1</v>
      </c>
      <c r="X685" s="84"/>
      <c r="Y685" s="78">
        <f>SUM(E673:E685)</f>
        <v>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1</v>
      </c>
      <c r="X686" s="84"/>
      <c r="Y686" s="78">
        <f>SUM(E673:E686)</f>
        <v>0</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1</v>
      </c>
      <c r="X687" s="84"/>
      <c r="Y687" s="78">
        <f>SUM(E673:E687)</f>
        <v>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1</v>
      </c>
      <c r="X688" s="84"/>
      <c r="Y688" s="78">
        <f>SUM(E673:E688)</f>
        <v>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1</v>
      </c>
      <c r="X689" s="84"/>
      <c r="Y689" s="78">
        <f>SUM(E673:E689)</f>
        <v>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1</v>
      </c>
      <c r="X690" s="84"/>
      <c r="Y690" s="78">
        <f>SUM(E673:E690)</f>
        <v>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1</v>
      </c>
      <c r="X691" s="84"/>
      <c r="Y691" s="78">
        <f>SUM(E673:E691)</f>
        <v>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1</v>
      </c>
      <c r="X692" s="84"/>
      <c r="Y692" s="78">
        <f>SUM(E673:E692)</f>
        <v>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1</v>
      </c>
      <c r="X693" s="84"/>
      <c r="Y693" s="78">
        <f>SUM(E673:E693)</f>
        <v>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1</v>
      </c>
      <c r="X694" s="84"/>
      <c r="Y694" s="78">
        <f>SUM(E673:E694)</f>
        <v>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1</v>
      </c>
      <c r="X695" s="84"/>
      <c r="Y695" s="78">
        <f>SUM(E673:E695)</f>
        <v>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1</v>
      </c>
      <c r="X696" s="84"/>
      <c r="Y696" s="78">
        <f>SUM(E673:E696)</f>
        <v>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25</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9:E198">
    <cfRule type="expression" dxfId="1347" priority="1569">
      <formula>AND(OR(C189="NO",C189="REV T",C189="DBL REV",C189="TPL REV",C189="QD REV"),E189&gt;12)</formula>
    </cfRule>
  </conditionalFormatting>
  <conditionalFormatting sqref="C189:C198">
    <cfRule type="expression" dxfId="1346" priority="1568">
      <formula>AND(OR(C190="FST",C190="REV T",C190="DBL REV",C190="TPL REV",C190="QD REV"),C189="Field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100">
    <cfRule type="expression" dxfId="885" priority="997">
      <formula>AND(OR(C1083="NO",C1083="REV T",C1083="DBL REV",C1083="TPL REV",C1083="QD REV"),E1083&gt;12)</formula>
    </cfRule>
  </conditionalFormatting>
  <conditionalFormatting sqref="C1083: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81:E188">
    <cfRule type="expression" dxfId="5" priority="2">
      <formula>AND(OR(C181="NO",C181="REV T",C181="DBL REV",C181="TPL REV",C181="QD REV"),E181&gt;12)</formula>
    </cfRule>
  </conditionalFormatting>
  <conditionalFormatting sqref="C181:C188">
    <cfRule type="expression" dxfId="4" priority="1">
      <formula>AND(OR(C182="FST",C182="REV T",C182="DBL REV",C182="TPL REV",C182="QD REV"),C181="Field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11550.49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0</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0</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560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22</v>
      </c>
      <c r="F2" s="186">
        <f t="shared" ref="F2:F5" si="0">PRODUCT(D2:E2)</f>
        <v>2467.3000000000002</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19</v>
      </c>
      <c r="J2" s="181">
        <f>COUNTIFS('Assignment Tool'!$E$17:$E$2050, "4",'Assignment Tool'!$F$17:$F$2050,"POLE", 'Assignment Tool'!$C$17:$C$2050, "FST",'Assignment Tool'!$K$17:$K$2050,"")</f>
        <v>0</v>
      </c>
      <c r="K2" s="180">
        <f>COUNTIFS('Assignment Tool'!$E$17:$E$2050, "4",'Assignment Tool'!$F$17:$F$2050,"PED", 'Assignment Tool'!$C$17:$C$2050, "FST",'Assignment Tool'!$K$17:$K$2050,"")</f>
        <v>0</v>
      </c>
      <c r="L2" s="180">
        <f>COUNTIFS('Assignment Tool'!$E$17:$E$2050, "4",'Assignment Tool'!$F$17:$F$2050,"HH", 'Assignment Tool'!$C$17:$C$2050, "FST",'Assignment Tool'!$K$17:$K$2050,"")</f>
        <v>3</v>
      </c>
      <c r="N2" s="181">
        <f>PRODUCT(SUM(G2,J2),D2)</f>
        <v>0</v>
      </c>
      <c r="O2" s="180">
        <f>PRODUCT(SUM(H2:I2,K2:L2),D2)</f>
        <v>2467.3000000000002</v>
      </c>
      <c r="P2" s="183">
        <f>SUM(N2:N5,F11:F16,F27:F36,F43:F46,F51:F54,N88:N135)</f>
        <v>0</v>
      </c>
      <c r="Q2" s="182">
        <f>SUM(O2:O5,F17:F26,F37:F42,F47:F50,F55:F58,F60:F67,O88:O135)</f>
        <v>11550.49</v>
      </c>
      <c r="R2" s="126">
        <f>SUM(F69:F71)</f>
        <v>0</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1</v>
      </c>
      <c r="F3" s="186">
        <f t="shared" si="0"/>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3</v>
      </c>
      <c r="F4" s="186">
        <f t="shared" si="0"/>
        <v>509.31000000000006</v>
      </c>
      <c r="G4" s="181">
        <f>COUNTIFS('Assignment Tool'!$E$17:$E$2050, "8", 'Assignment Tool'!$F$17:$F$2050, "POLE", 'Assignment Tool'!$C$17:$C$2050, "FST",'Assignment Tool'!$K$17:$K$2050,"")</f>
        <v>0</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0</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0</v>
      </c>
      <c r="F5" s="186">
        <f t="shared" si="0"/>
        <v>0</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0</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0</v>
      </c>
      <c r="F12" s="181">
        <f t="shared" ref="F12:F58" si="5">E12*D12</f>
        <v>0</v>
      </c>
      <c r="Q12" s="21"/>
      <c r="R12" s="21"/>
      <c r="Y12" s="1">
        <v>72</v>
      </c>
      <c r="AA12" s="1">
        <f t="shared" si="4"/>
        <v>132</v>
      </c>
      <c r="AC12" s="1">
        <v>900</v>
      </c>
    </row>
    <row r="13" spans="1:29" x14ac:dyDescent="0.25">
      <c r="A13" s="181">
        <v>100083493</v>
      </c>
      <c r="B13" s="181"/>
      <c r="C13" s="181" t="s">
        <v>505</v>
      </c>
      <c r="D13" s="1">
        <v>183.1</v>
      </c>
      <c r="E13" s="162">
        <f>'Construction Exempt Material'!B19</f>
        <v>0</v>
      </c>
      <c r="F13" s="181">
        <f t="shared" si="5"/>
        <v>0</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5</v>
      </c>
      <c r="F18" s="180">
        <f t="shared" si="5"/>
        <v>1169.8</v>
      </c>
      <c r="Q18" s="21"/>
      <c r="Y18" s="1">
        <v>144</v>
      </c>
      <c r="AA18" s="1">
        <f t="shared" si="4"/>
        <v>204</v>
      </c>
    </row>
    <row r="19" spans="1:27" x14ac:dyDescent="0.25">
      <c r="A19" s="180">
        <v>100083593</v>
      </c>
      <c r="B19" s="180"/>
      <c r="C19" s="180" t="s">
        <v>511</v>
      </c>
      <c r="D19" s="1">
        <v>226.44</v>
      </c>
      <c r="E19" s="162">
        <f>'Construction Exempt Material'!B25</f>
        <v>1</v>
      </c>
      <c r="F19" s="180">
        <f t="shared" si="5"/>
        <v>226.44</v>
      </c>
      <c r="Y19" s="1">
        <v>216</v>
      </c>
      <c r="AA19" s="1">
        <f t="shared" si="4"/>
        <v>216</v>
      </c>
    </row>
    <row r="20" spans="1:27" x14ac:dyDescent="0.25">
      <c r="A20" s="180">
        <v>100083592</v>
      </c>
      <c r="B20" s="180"/>
      <c r="C20" s="180" t="s">
        <v>512</v>
      </c>
      <c r="D20" s="1">
        <v>199.86</v>
      </c>
      <c r="E20" s="162">
        <f>'Construction Exempt Material'!B26</f>
        <v>3</v>
      </c>
      <c r="F20" s="180">
        <f t="shared" si="5"/>
        <v>599.58000000000004</v>
      </c>
      <c r="AA20" s="1">
        <f t="shared" si="4"/>
        <v>228</v>
      </c>
    </row>
    <row r="21" spans="1:27" x14ac:dyDescent="0.25">
      <c r="A21" s="180">
        <v>200008456</v>
      </c>
      <c r="B21" s="180"/>
      <c r="C21" s="180" t="s">
        <v>513</v>
      </c>
      <c r="D21" s="1">
        <v>201.13</v>
      </c>
      <c r="E21" s="162">
        <f>'Construction Exempt Material'!B27</f>
        <v>19</v>
      </c>
      <c r="F21" s="180">
        <f t="shared" si="5"/>
        <v>3821.47</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0</v>
      </c>
      <c r="F43" s="181">
        <f t="shared" si="5"/>
        <v>0</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28</v>
      </c>
      <c r="F61" s="180">
        <f t="shared" ref="F61:F67" si="6">E61*D61</f>
        <v>684.88</v>
      </c>
      <c r="G61" s="1">
        <f>SUM(I2:I4,L2,I88:I123,L88:L99,I61:I64)</f>
        <v>28</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0</v>
      </c>
      <c r="F63" s="180">
        <f t="shared" si="6"/>
        <v>0</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0</v>
      </c>
      <c r="F69" s="126">
        <f>E69*D69</f>
        <v>0</v>
      </c>
    </row>
    <row r="70" spans="1:16" x14ac:dyDescent="0.25">
      <c r="A70" s="1">
        <v>100069989</v>
      </c>
      <c r="B70" s="1" t="s">
        <v>565</v>
      </c>
      <c r="C70" s="1" t="s">
        <v>566</v>
      </c>
      <c r="D70" s="1">
        <v>0.65</v>
      </c>
      <c r="E70" s="1">
        <f>'Construction Exempt Material'!B69</f>
        <v>0</v>
      </c>
      <c r="F70" s="126">
        <f>E70*D70</f>
        <v>0</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2</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2</v>
      </c>
      <c r="N114" s="1">
        <f t="shared" si="14"/>
        <v>0</v>
      </c>
      <c r="O114" s="1">
        <f t="shared" si="15"/>
        <v>331.68</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2" sqref="C2"/>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3</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0</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f>Data!G61</f>
        <v>28</v>
      </c>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0</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0</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5</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1</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19</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2</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2025-02-11T16:26:35Z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