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cclau/Desktop/GP/"/>
    </mc:Choice>
  </mc:AlternateContent>
  <xr:revisionPtr revIDLastSave="0" documentId="13_ncr:1_{050A4817-DC55-6C4A-9AFF-AD3F3B4BE516}" xr6:coauthVersionLast="47" xr6:coauthVersionMax="47" xr10:uidLastSave="{00000000-0000-0000-0000-000000000000}"/>
  <bookViews>
    <workbookView xWindow="0" yWindow="500" windowWidth="26040" windowHeight="17540" xr2:uid="{00000000-000D-0000-FFFF-FFFF00000000}"/>
  </bookViews>
  <sheets>
    <sheet name="Hotspot" sheetId="1" r:id="rId1"/>
    <sheet name="Transportation Matrix" sheetId="2" r:id="rId2"/>
    <sheet name="HotspotsGenerarator" sheetId="3" r:id="rId3"/>
    <sheet name="Model_0" sheetId="4" r:id="rId4"/>
    <sheet name="Model1_simplex" sheetId="10" state="hidden" r:id="rId5"/>
    <sheet name="Hotspot Selection" sheetId="11" r:id="rId6"/>
    <sheet name="SolveByHand_HungarianMethod" sheetId="8" r:id="rId7"/>
  </sheets>
  <definedNames>
    <definedName name="df_v1fee">Model_0!$C$40:$M$50</definedName>
    <definedName name="df_v1sol">Model_0!$C$5:$M$15</definedName>
    <definedName name="df_v1time">Model_0!$C$23:$M$33</definedName>
    <definedName name="fee_matrix">'Transportation Matrix'!$C$27:$V$46</definedName>
    <definedName name="hs_category">Hotspot!$D$2:$D$21</definedName>
    <definedName name="hs_name">Hotspot!$B$2:$B$21</definedName>
    <definedName name="hs_ref">Hotspot!$A$2:$A$21</definedName>
    <definedName name="hs_stay">Hotspot!$C$2:$C$21</definedName>
    <definedName name="solver_adj" localSheetId="3" hidden="1">Model_0!$C$5:$M$15</definedName>
    <definedName name="solver_adj" localSheetId="4" hidden="1">Model1_simplex!$C$6:$I$12</definedName>
    <definedName name="solver_cvg" localSheetId="3" hidden="1">0.0001</definedName>
    <definedName name="solver_cvg" localSheetId="4" hidden="1">0.0001</definedName>
    <definedName name="solver_drv" localSheetId="3" hidden="1">1</definedName>
    <definedName name="solver_drv" localSheetId="4" hidden="1">1</definedName>
    <definedName name="solver_eng" localSheetId="3" hidden="1">2</definedName>
    <definedName name="solver_eng" localSheetId="4" hidden="1">2</definedName>
    <definedName name="solver_itr" localSheetId="3" hidden="1">2147483647</definedName>
    <definedName name="solver_itr" localSheetId="4" hidden="1">2147483647</definedName>
    <definedName name="solver_lhs1" localSheetId="3" hidden="1">Model_0!$C$16:$M$16</definedName>
    <definedName name="solver_lhs1" localSheetId="4" hidden="1">Model1_simplex!$C$17:$I$17</definedName>
    <definedName name="solver_lhs2" localSheetId="3" hidden="1">Model_0!$N$17</definedName>
    <definedName name="solver_lhs2" localSheetId="4" hidden="1">Model1_simplex!$C$6:$I$12</definedName>
    <definedName name="solver_lhs3" localSheetId="3" hidden="1">Model_0!$N$5:$N$15</definedName>
    <definedName name="solver_lhs3" localSheetId="4" hidden="1">Model1_simplex!$N$18:$N$21</definedName>
    <definedName name="solver_lhs4" localSheetId="3" hidden="1">Model_0!$C$5:$M$15</definedName>
    <definedName name="solver_lhs4" localSheetId="4" hidden="1">Model1_simplex!$N$6:$N$12</definedName>
    <definedName name="solver_lin" localSheetId="3" hidden="1">1</definedName>
    <definedName name="solver_lin" localSheetId="4" hidden="1">1</definedName>
    <definedName name="solver_mip" localSheetId="3" hidden="1">2147483647</definedName>
    <definedName name="solver_mip" localSheetId="4" hidden="1">2147483647</definedName>
    <definedName name="solver_mni" localSheetId="3" hidden="1">30</definedName>
    <definedName name="solver_mni" localSheetId="4" hidden="1">30</definedName>
    <definedName name="solver_mrt" localSheetId="3" hidden="1">0.075</definedName>
    <definedName name="solver_mrt" localSheetId="4" hidden="1">0.075</definedName>
    <definedName name="solver_msl" localSheetId="3" hidden="1">2</definedName>
    <definedName name="solver_msl" localSheetId="4" hidden="1">2</definedName>
    <definedName name="solver_neg" localSheetId="3" hidden="1">1</definedName>
    <definedName name="solver_neg" localSheetId="4" hidden="1">1</definedName>
    <definedName name="solver_nod" localSheetId="3" hidden="1">2147483647</definedName>
    <definedName name="solver_nod" localSheetId="4" hidden="1">2147483647</definedName>
    <definedName name="solver_num" localSheetId="3" hidden="1">4</definedName>
    <definedName name="solver_num" localSheetId="4" hidden="1">4</definedName>
    <definedName name="solver_opt" localSheetId="3" hidden="1">Model_0!$T$2</definedName>
    <definedName name="solver_opt" localSheetId="4" hidden="1">Model1_simplex!$U$3</definedName>
    <definedName name="solver_pre" localSheetId="3" hidden="1">0.000001</definedName>
    <definedName name="solver_pre" localSheetId="4" hidden="1">0.000001</definedName>
    <definedName name="solver_rbv" localSheetId="3" hidden="1">1</definedName>
    <definedName name="solver_rbv" localSheetId="4" hidden="1">1</definedName>
    <definedName name="solver_rel1" localSheetId="3" hidden="1">2</definedName>
    <definedName name="solver_rel1" localSheetId="4" hidden="1">2</definedName>
    <definedName name="solver_rel2" localSheetId="3" hidden="1">1</definedName>
    <definedName name="solver_rel2" localSheetId="4" hidden="1">4</definedName>
    <definedName name="solver_rel3" localSheetId="3" hidden="1">2</definedName>
    <definedName name="solver_rel3" localSheetId="4" hidden="1">1</definedName>
    <definedName name="solver_rel4" localSheetId="3" hidden="1">4</definedName>
    <definedName name="solver_rel4" localSheetId="4" hidden="1">2</definedName>
    <definedName name="solver_rhs1" localSheetId="3" hidden="1">Model_0!$C$18:$M$18</definedName>
    <definedName name="solver_rhs1" localSheetId="4" hidden="1">Model1_simplex!$C$19:$I$19</definedName>
    <definedName name="solver_rhs2" localSheetId="3" hidden="1">Model_0!$P$17</definedName>
    <definedName name="solver_rhs2" localSheetId="4" hidden="1">"整數"</definedName>
    <definedName name="solver_rhs3" localSheetId="3" hidden="1">Model_0!$P$5:$P$15</definedName>
    <definedName name="solver_rhs3" localSheetId="4" hidden="1">Model1_simplex!$P$18:$P$21</definedName>
    <definedName name="solver_rhs4" localSheetId="3" hidden="1">"整數"</definedName>
    <definedName name="solver_rhs4" localSheetId="4" hidden="1">Model1_simplex!$P$6:$P$12</definedName>
    <definedName name="solver_rlx" localSheetId="3" hidden="1">2</definedName>
    <definedName name="solver_rlx" localSheetId="4" hidden="1">1</definedName>
    <definedName name="solver_rsd" localSheetId="3" hidden="1">0</definedName>
    <definedName name="solver_rsd" localSheetId="4" hidden="1">0</definedName>
    <definedName name="solver_scl" localSheetId="3" hidden="1">1</definedName>
    <definedName name="solver_scl" localSheetId="4" hidden="1">2</definedName>
    <definedName name="solver_sho" localSheetId="3" hidden="1">2</definedName>
    <definedName name="solver_sho" localSheetId="4" hidden="1">2</definedName>
    <definedName name="solver_ssz" localSheetId="3" hidden="1">100</definedName>
    <definedName name="solver_ssz" localSheetId="4" hidden="1">100</definedName>
    <definedName name="solver_tim" localSheetId="3" hidden="1">2147483647</definedName>
    <definedName name="solver_tim" localSheetId="4" hidden="1">2147483647</definedName>
    <definedName name="solver_tol" localSheetId="3" hidden="1">0.01</definedName>
    <definedName name="solver_tol" localSheetId="4" hidden="1">0.01</definedName>
    <definedName name="solver_typ" localSheetId="3" hidden="1">2</definedName>
    <definedName name="solver_typ" localSheetId="4" hidden="1">2</definedName>
    <definedName name="solver_val" localSheetId="3" hidden="1">0</definedName>
    <definedName name="solver_val" localSheetId="4" hidden="1">0</definedName>
    <definedName name="solver_ver" localSheetId="3" hidden="1">2</definedName>
    <definedName name="solver_ver" localSheetId="4" hidden="1">2</definedName>
    <definedName name="time_matrix">'Transportation Matrix'!$C$3:$V$22</definedName>
    <definedName name="v1name_sort">Model_0!$B$5:$B$15</definedName>
    <definedName name="v1ref">HotspotsGenerarator!$H$7:$H$17</definedName>
    <definedName name="v1ref_sort">Model_0!$A$5:$A$15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9" i="10" l="1"/>
  <c r="N18" i="10"/>
  <c r="U3" i="10"/>
  <c r="S7" i="10"/>
  <c r="S8" i="10"/>
  <c r="S9" i="10"/>
  <c r="S10" i="10"/>
  <c r="S11" i="10"/>
  <c r="S6" i="10"/>
  <c r="F11" i="11"/>
  <c r="F8" i="11"/>
  <c r="O3" i="10"/>
  <c r="U2" i="10"/>
  <c r="R7" i="10"/>
  <c r="R8" i="10"/>
  <c r="R9" i="10"/>
  <c r="R10" i="10"/>
  <c r="R11" i="10"/>
  <c r="R6" i="10"/>
  <c r="C22" i="11"/>
  <c r="C21" i="11"/>
  <c r="C20" i="11"/>
  <c r="C19" i="11"/>
  <c r="F18" i="11"/>
  <c r="C17" i="11"/>
  <c r="F16" i="11"/>
  <c r="C15" i="11"/>
  <c r="C14" i="11"/>
  <c r="C13" i="11"/>
  <c r="F12" i="11"/>
  <c r="C10" i="11"/>
  <c r="C9" i="11"/>
  <c r="C7" i="11"/>
  <c r="C6" i="11"/>
  <c r="C5" i="11"/>
  <c r="C4" i="11"/>
  <c r="G13" i="3"/>
  <c r="A12" i="3"/>
  <c r="D7" i="3" a="1"/>
  <c r="D7" i="3" s="1"/>
  <c r="N17" i="4"/>
  <c r="G32" i="8"/>
  <c r="E32" i="8"/>
  <c r="C32" i="8"/>
  <c r="B32" i="8"/>
  <c r="F30" i="8"/>
  <c r="F29" i="8"/>
  <c r="F34" i="8"/>
  <c r="F33" i="8"/>
  <c r="D34" i="8"/>
  <c r="D33" i="8"/>
  <c r="D30" i="8"/>
  <c r="D29" i="8"/>
  <c r="B34" i="8"/>
  <c r="B33" i="8"/>
  <c r="B30" i="8"/>
  <c r="B29" i="8"/>
  <c r="D21" i="8"/>
  <c r="B13" i="8"/>
  <c r="C13" i="8"/>
  <c r="C22" i="8" s="1"/>
  <c r="D13" i="8"/>
  <c r="E13" i="8"/>
  <c r="F13" i="8"/>
  <c r="G13" i="8"/>
  <c r="B14" i="8"/>
  <c r="B23" i="8" s="1"/>
  <c r="C14" i="8"/>
  <c r="D14" i="8"/>
  <c r="D23" i="8" s="1"/>
  <c r="E14" i="8"/>
  <c r="E23" i="8" s="1"/>
  <c r="F14" i="8"/>
  <c r="F23" i="8" s="1"/>
  <c r="G14" i="8"/>
  <c r="B15" i="8"/>
  <c r="B24" i="8" s="1"/>
  <c r="C15" i="8"/>
  <c r="D15" i="8"/>
  <c r="D24" i="8" s="1"/>
  <c r="E15" i="8"/>
  <c r="F15" i="8"/>
  <c r="G15" i="8"/>
  <c r="B16" i="8"/>
  <c r="B25" i="8" s="1"/>
  <c r="C16" i="8"/>
  <c r="D16" i="8"/>
  <c r="D25" i="8" s="1"/>
  <c r="E16" i="8"/>
  <c r="E25" i="8" s="1"/>
  <c r="F16" i="8"/>
  <c r="F25" i="8" s="1"/>
  <c r="G16" i="8"/>
  <c r="B17" i="8"/>
  <c r="B26" i="8" s="1"/>
  <c r="C17" i="8"/>
  <c r="D17" i="8"/>
  <c r="D26" i="8" s="1"/>
  <c r="E17" i="8"/>
  <c r="F17" i="8"/>
  <c r="G17" i="8"/>
  <c r="C12" i="8"/>
  <c r="C21" i="8" s="1"/>
  <c r="D12" i="8"/>
  <c r="E12" i="8"/>
  <c r="E21" i="8" s="1"/>
  <c r="F12" i="8"/>
  <c r="G12" i="8"/>
  <c r="G21" i="8" s="1"/>
  <c r="B12" i="8"/>
  <c r="B21" i="8" s="1"/>
  <c r="G10" i="3"/>
  <c r="D23" i="1"/>
  <c r="B2" i="10"/>
  <c r="M17" i="10"/>
  <c r="L17" i="10"/>
  <c r="K17" i="10"/>
  <c r="J17" i="10"/>
  <c r="I17" i="10"/>
  <c r="H17" i="10"/>
  <c r="G17" i="10"/>
  <c r="F17" i="10"/>
  <c r="E17" i="10"/>
  <c r="D17" i="10"/>
  <c r="C17" i="10"/>
  <c r="N16" i="10"/>
  <c r="N15" i="10"/>
  <c r="N14" i="10"/>
  <c r="N13" i="10"/>
  <c r="N12" i="10"/>
  <c r="N11" i="10"/>
  <c r="N10" i="10"/>
  <c r="N9" i="10"/>
  <c r="N8" i="10"/>
  <c r="N7" i="10"/>
  <c r="N6" i="10"/>
  <c r="V8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V7" i="3"/>
  <c r="E7" i="3" a="1"/>
  <c r="E7" i="3" s="1"/>
  <c r="N15" i="4"/>
  <c r="N14" i="4"/>
  <c r="N13" i="4"/>
  <c r="N12" i="4"/>
  <c r="N11" i="4"/>
  <c r="N10" i="4"/>
  <c r="N9" i="4"/>
  <c r="N8" i="4"/>
  <c r="N7" i="4"/>
  <c r="N5" i="4"/>
  <c r="N6" i="4"/>
  <c r="M16" i="4"/>
  <c r="L16" i="4"/>
  <c r="K16" i="4"/>
  <c r="J16" i="4"/>
  <c r="I16" i="4"/>
  <c r="G16" i="4"/>
  <c r="F16" i="4"/>
  <c r="E16" i="4"/>
  <c r="D16" i="4"/>
  <c r="C16" i="4"/>
  <c r="H16" i="4"/>
  <c r="J3" i="1"/>
  <c r="J4" i="1"/>
  <c r="J5" i="1"/>
  <c r="J6" i="1"/>
  <c r="J7" i="1"/>
  <c r="J8" i="1"/>
  <c r="J9" i="1"/>
  <c r="J2" i="1"/>
  <c r="I2" i="1" a="1"/>
  <c r="I2" i="1" s="1"/>
  <c r="G7" i="3"/>
  <c r="I7" i="3"/>
  <c r="G8" i="3"/>
  <c r="G9" i="3"/>
  <c r="G11" i="3"/>
  <c r="G12" i="3"/>
  <c r="G14" i="3"/>
  <c r="G15" i="3"/>
  <c r="G16" i="3"/>
  <c r="K8" i="3"/>
  <c r="K9" i="3"/>
  <c r="K10" i="3"/>
  <c r="K11" i="3"/>
  <c r="K12" i="3"/>
  <c r="N12" i="3"/>
  <c r="K13" i="3"/>
  <c r="N13" i="3"/>
  <c r="K14" i="3"/>
  <c r="N14" i="3"/>
  <c r="K15" i="3"/>
  <c r="N15" i="3"/>
  <c r="Q15" i="3"/>
  <c r="K16" i="3"/>
  <c r="N16" i="3"/>
  <c r="Q16" i="3"/>
  <c r="K17" i="3"/>
  <c r="N17" i="3"/>
  <c r="Q17" i="3"/>
  <c r="K18" i="3"/>
  <c r="N18" i="3"/>
  <c r="Q18" i="3"/>
  <c r="K19" i="3"/>
  <c r="N19" i="3"/>
  <c r="Q19" i="3"/>
  <c r="K20" i="3"/>
  <c r="N20" i="3"/>
  <c r="Q20" i="3"/>
  <c r="K21" i="3"/>
  <c r="N21" i="3"/>
  <c r="Q21" i="3"/>
  <c r="K22" i="3"/>
  <c r="N22" i="3"/>
  <c r="Q22" i="3"/>
  <c r="K23" i="3"/>
  <c r="N23" i="3"/>
  <c r="Q23" i="3"/>
  <c r="K24" i="3"/>
  <c r="N24" i="3"/>
  <c r="Q24" i="3"/>
  <c r="K25" i="3"/>
  <c r="N25" i="3"/>
  <c r="Q25" i="3"/>
  <c r="K26" i="3"/>
  <c r="N26" i="3"/>
  <c r="Q26" i="3"/>
  <c r="Q7" i="3"/>
  <c r="N7" i="3"/>
  <c r="K7" i="3"/>
  <c r="G17" i="3"/>
  <c r="G18" i="3"/>
  <c r="G19" i="3"/>
  <c r="G22" i="3"/>
  <c r="G23" i="3"/>
  <c r="G24" i="3"/>
  <c r="G25" i="3"/>
  <c r="G26" i="3"/>
  <c r="G27" i="3"/>
  <c r="G28" i="3"/>
  <c r="L26" i="2" a="1"/>
  <c r="L26" i="2" s="1"/>
  <c r="L2" i="2" a="1"/>
  <c r="L2" i="2" s="1"/>
  <c r="B5" i="2" a="1"/>
  <c r="B5" i="2" s="1"/>
  <c r="V26" i="2" a="1"/>
  <c r="V26" i="2" s="1"/>
  <c r="U26" i="2" a="1"/>
  <c r="U26" i="2" s="1"/>
  <c r="T26" i="2" a="1"/>
  <c r="T26" i="2" s="1"/>
  <c r="S26" i="2" a="1"/>
  <c r="S26" i="2" s="1"/>
  <c r="R26" i="2" a="1"/>
  <c r="R26" i="2" s="1"/>
  <c r="Q26" i="2" a="1"/>
  <c r="Q26" i="2" s="1"/>
  <c r="P26" i="2" a="1"/>
  <c r="P26" i="2" s="1"/>
  <c r="O26" i="2" a="1"/>
  <c r="O26" i="2" s="1"/>
  <c r="N26" i="2" a="1"/>
  <c r="N26" i="2" s="1"/>
  <c r="M26" i="2" a="1"/>
  <c r="M26" i="2" s="1"/>
  <c r="K26" i="2" a="1"/>
  <c r="K26" i="2" s="1"/>
  <c r="J26" i="2" a="1"/>
  <c r="J26" i="2" s="1"/>
  <c r="I26" i="2" a="1"/>
  <c r="I26" i="2" s="1"/>
  <c r="H26" i="2" a="1"/>
  <c r="H26" i="2" s="1"/>
  <c r="G26" i="2" a="1"/>
  <c r="G26" i="2" s="1"/>
  <c r="F26" i="2" a="1"/>
  <c r="F26" i="2" s="1"/>
  <c r="E26" i="2" a="1"/>
  <c r="E26" i="2" s="1"/>
  <c r="D26" i="2" a="1"/>
  <c r="D26" i="2" s="1"/>
  <c r="C26" i="2" a="1"/>
  <c r="C26" i="2" s="1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M2" i="2" a="1"/>
  <c r="M2" i="2" s="1"/>
  <c r="N2" i="2" a="1"/>
  <c r="N2" i="2" s="1"/>
  <c r="O2" i="2" a="1"/>
  <c r="O2" i="2" s="1"/>
  <c r="P2" i="2" a="1"/>
  <c r="P2" i="2" s="1"/>
  <c r="Q2" i="2" a="1"/>
  <c r="Q2" i="2" s="1"/>
  <c r="R2" i="2" a="1"/>
  <c r="R2" i="2" s="1"/>
  <c r="S2" i="2" a="1"/>
  <c r="S2" i="2" s="1"/>
  <c r="T2" i="2" a="1"/>
  <c r="T2" i="2" s="1"/>
  <c r="U2" i="2" a="1"/>
  <c r="U2" i="2" s="1"/>
  <c r="V2" i="2" a="1"/>
  <c r="V2" i="2" s="1"/>
  <c r="C2" i="2" a="1"/>
  <c r="C2" i="2" s="1"/>
  <c r="B4" i="2" a="1"/>
  <c r="B4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3" i="2" a="1"/>
  <c r="B3" i="2" s="1"/>
  <c r="H13" i="3" l="1"/>
  <c r="I13" i="3" s="1"/>
  <c r="G26" i="8"/>
  <c r="C26" i="8"/>
  <c r="G24" i="8"/>
  <c r="C24" i="8"/>
  <c r="G22" i="8"/>
  <c r="F26" i="8"/>
  <c r="F24" i="8"/>
  <c r="F22" i="8"/>
  <c r="E26" i="8"/>
  <c r="G25" i="8"/>
  <c r="C25" i="8"/>
  <c r="E24" i="8"/>
  <c r="G23" i="8"/>
  <c r="C23" i="8"/>
  <c r="E22" i="8"/>
  <c r="D22" i="8"/>
  <c r="B22" i="8"/>
  <c r="F21" i="8"/>
  <c r="N11" i="3"/>
  <c r="N9" i="3"/>
  <c r="N8" i="3"/>
  <c r="N10" i="3"/>
  <c r="H15" i="3" l="1"/>
  <c r="I15" i="3" s="1"/>
  <c r="H10" i="3"/>
  <c r="I10" i="3" s="1"/>
  <c r="H14" i="3"/>
  <c r="I14" i="3" s="1"/>
  <c r="H12" i="3"/>
  <c r="I12" i="3" s="1"/>
  <c r="H16" i="3"/>
  <c r="I16" i="3" s="1"/>
  <c r="H8" i="3"/>
  <c r="H11" i="3"/>
  <c r="I11" i="3" s="1"/>
  <c r="H9" i="3"/>
  <c r="Q12" i="3"/>
  <c r="Q13" i="3"/>
  <c r="Q14" i="3"/>
  <c r="R14" i="3" s="1"/>
  <c r="S14" i="3" s="1"/>
  <c r="R7" i="3"/>
  <c r="S7" i="3" s="1"/>
  <c r="L8" i="3"/>
  <c r="M8" i="3" s="1"/>
  <c r="O24" i="3"/>
  <c r="P24" i="3" s="1"/>
  <c r="O9" i="3"/>
  <c r="P9" i="3" s="1"/>
  <c r="O8" i="3"/>
  <c r="P8" i="3" s="1"/>
  <c r="Q9" i="3"/>
  <c r="R9" i="3" s="1"/>
  <c r="S9" i="3" s="1"/>
  <c r="Q8" i="3"/>
  <c r="R8" i="3" s="1"/>
  <c r="S8" i="3" s="1"/>
  <c r="L12" i="3"/>
  <c r="M12" i="3" s="1"/>
  <c r="O16" i="3"/>
  <c r="P16" i="3" s="1"/>
  <c r="O13" i="3"/>
  <c r="P13" i="3" s="1"/>
  <c r="R26" i="3"/>
  <c r="S26" i="3" s="1"/>
  <c r="O12" i="3"/>
  <c r="P12" i="3" s="1"/>
  <c r="R17" i="3"/>
  <c r="S17" i="3" s="1"/>
  <c r="O10" i="3"/>
  <c r="P10" i="3" s="1"/>
  <c r="R18" i="3"/>
  <c r="S18" i="3" s="1"/>
  <c r="R25" i="3"/>
  <c r="S25" i="3" s="1"/>
  <c r="O25" i="3"/>
  <c r="P25" i="3" s="1"/>
  <c r="O17" i="3"/>
  <c r="P17" i="3" s="1"/>
  <c r="R21" i="3"/>
  <c r="S21" i="3" s="1"/>
  <c r="L20" i="3"/>
  <c r="M20" i="3" s="1"/>
  <c r="L23" i="3"/>
  <c r="M23" i="3" s="1"/>
  <c r="O21" i="3"/>
  <c r="P21" i="3" s="1"/>
  <c r="R13" i="3"/>
  <c r="S13" i="3" s="1"/>
  <c r="L19" i="3"/>
  <c r="M19" i="3" s="1"/>
  <c r="O7" i="3"/>
  <c r="P7" i="3" s="1"/>
  <c r="L9" i="3"/>
  <c r="M9" i="3" s="1"/>
  <c r="L17" i="3"/>
  <c r="M17" i="3" s="1"/>
  <c r="O18" i="3"/>
  <c r="P18" i="3" s="1"/>
  <c r="L21" i="3"/>
  <c r="M21" i="3" s="1"/>
  <c r="R23" i="3"/>
  <c r="S23" i="3" s="1"/>
  <c r="O26" i="3"/>
  <c r="P26" i="3" s="1"/>
  <c r="L10" i="3"/>
  <c r="M10" i="3" s="1"/>
  <c r="O11" i="3"/>
  <c r="P11" i="3" s="1"/>
  <c r="L14" i="3"/>
  <c r="M14" i="3" s="1"/>
  <c r="R16" i="3"/>
  <c r="S16" i="3" s="1"/>
  <c r="L18" i="3"/>
  <c r="M18" i="3" s="1"/>
  <c r="R20" i="3"/>
  <c r="S20" i="3" s="1"/>
  <c r="O23" i="3"/>
  <c r="P23" i="3" s="1"/>
  <c r="L26" i="3"/>
  <c r="M26" i="3" s="1"/>
  <c r="L13" i="3"/>
  <c r="M13" i="3" s="1"/>
  <c r="O14" i="3"/>
  <c r="P14" i="3" s="1"/>
  <c r="R15" i="3"/>
  <c r="S15" i="3" s="1"/>
  <c r="R19" i="3"/>
  <c r="S19" i="3" s="1"/>
  <c r="O22" i="3"/>
  <c r="P22" i="3" s="1"/>
  <c r="L25" i="3"/>
  <c r="M25" i="3" s="1"/>
  <c r="R12" i="3"/>
  <c r="S12" i="3" s="1"/>
  <c r="O15" i="3"/>
  <c r="P15" i="3" s="1"/>
  <c r="O19" i="3"/>
  <c r="P19" i="3" s="1"/>
  <c r="L22" i="3"/>
  <c r="M22" i="3" s="1"/>
  <c r="R24" i="3"/>
  <c r="S24" i="3" s="1"/>
  <c r="Q11" i="3"/>
  <c r="R11" i="3" s="1"/>
  <c r="S11" i="3" s="1"/>
  <c r="R22" i="3"/>
  <c r="S22" i="3" s="1"/>
  <c r="L11" i="3"/>
  <c r="M11" i="3" s="1"/>
  <c r="L16" i="3"/>
  <c r="M16" i="3" s="1"/>
  <c r="L24" i="3"/>
  <c r="M24" i="3" s="1"/>
  <c r="L15" i="3"/>
  <c r="M15" i="3" s="1"/>
  <c r="O20" i="3"/>
  <c r="P20" i="3" s="1"/>
  <c r="Q10" i="3"/>
  <c r="R10" i="3" s="1"/>
  <c r="S10" i="3" s="1"/>
  <c r="L7" i="3"/>
  <c r="M7" i="3" s="1"/>
  <c r="H26" i="3"/>
  <c r="H18" i="3"/>
  <c r="H19" i="3"/>
  <c r="H23" i="3"/>
  <c r="H22" i="3"/>
  <c r="H17" i="3"/>
  <c r="H24" i="3"/>
  <c r="H25" i="3"/>
  <c r="I9" i="3" l="1"/>
  <c r="A6" i="10" a="1"/>
  <c r="I8" i="3"/>
  <c r="A5" i="4" a="1"/>
  <c r="P10" i="4" s="1"/>
  <c r="I26" i="3"/>
  <c r="I25" i="3"/>
  <c r="I24" i="3"/>
  <c r="I17" i="3"/>
  <c r="I22" i="3"/>
  <c r="I23" i="3"/>
  <c r="I19" i="3"/>
  <c r="I18" i="3"/>
  <c r="P11" i="10" l="1"/>
  <c r="Q10" i="10"/>
  <c r="Q7" i="10"/>
  <c r="Q11" i="10"/>
  <c r="Q8" i="10"/>
  <c r="Q9" i="10"/>
  <c r="Q8" i="4"/>
  <c r="Q12" i="4"/>
  <c r="Q9" i="4"/>
  <c r="Q13" i="4"/>
  <c r="Q6" i="4"/>
  <c r="Q10" i="4"/>
  <c r="Q14" i="4"/>
  <c r="Q7" i="4"/>
  <c r="Q11" i="4"/>
  <c r="Q15" i="4"/>
  <c r="B16" i="10" a="1"/>
  <c r="B16" i="10" s="1"/>
  <c r="B11" i="10" a="1"/>
  <c r="B11" i="10" s="1"/>
  <c r="B7" i="10" a="1"/>
  <c r="B7" i="10" s="1"/>
  <c r="B9" i="10" a="1"/>
  <c r="B9" i="10" s="1"/>
  <c r="B10" i="10" a="1"/>
  <c r="B10" i="10" s="1"/>
  <c r="P13" i="10"/>
  <c r="P9" i="10"/>
  <c r="B14" i="10" a="1"/>
  <c r="B14" i="10" s="1"/>
  <c r="P14" i="10"/>
  <c r="A6" i="10"/>
  <c r="Q6" i="10" s="1"/>
  <c r="P10" i="10"/>
  <c r="B15" i="10" a="1"/>
  <c r="B15" i="10" s="1"/>
  <c r="P15" i="10"/>
  <c r="P7" i="10"/>
  <c r="B12" i="10" a="1"/>
  <c r="B12" i="10" s="1"/>
  <c r="B8" i="10" a="1"/>
  <c r="B8" i="10" s="1"/>
  <c r="P12" i="10"/>
  <c r="P16" i="10"/>
  <c r="P8" i="10"/>
  <c r="B13" i="10" a="1"/>
  <c r="B13" i="10" s="1"/>
  <c r="P15" i="4"/>
  <c r="P11" i="4"/>
  <c r="P6" i="4"/>
  <c r="P14" i="4"/>
  <c r="P9" i="4"/>
  <c r="P13" i="4"/>
  <c r="P8" i="4"/>
  <c r="P12" i="4"/>
  <c r="P7" i="4"/>
  <c r="A5" i="4"/>
  <c r="B6" i="4" a="1"/>
  <c r="B6" i="4" s="1"/>
  <c r="B7" i="4" a="1"/>
  <c r="B7" i="4" s="1"/>
  <c r="B8" i="4" a="1"/>
  <c r="B8" i="4" s="1"/>
  <c r="B9" i="4" a="1"/>
  <c r="B9" i="4" s="1"/>
  <c r="B10" i="4" a="1"/>
  <c r="B10" i="4" s="1"/>
  <c r="B11" i="4" a="1"/>
  <c r="B11" i="4" s="1"/>
  <c r="B12" i="4" a="1"/>
  <c r="B12" i="4" s="1"/>
  <c r="B13" i="4" a="1"/>
  <c r="B13" i="4" s="1"/>
  <c r="B14" i="4" a="1"/>
  <c r="B14" i="4" s="1"/>
  <c r="B15" i="4" a="1"/>
  <c r="B15" i="4" s="1"/>
  <c r="Q5" i="4" l="1"/>
  <c r="A39" i="10" a="1"/>
  <c r="A24" i="10" a="1"/>
  <c r="C37" i="10" a="1"/>
  <c r="C37" i="10" s="1"/>
  <c r="C22" i="10" a="1"/>
  <c r="C3" i="10" a="1"/>
  <c r="P6" i="10"/>
  <c r="B6" i="10" a="1"/>
  <c r="B6" i="10" s="1"/>
  <c r="P5" i="4"/>
  <c r="A40" i="4" a="1"/>
  <c r="C38" i="4" a="1"/>
  <c r="C38" i="4" s="1"/>
  <c r="A23" i="4" a="1"/>
  <c r="C21" i="4" a="1"/>
  <c r="C21" i="4" s="1"/>
  <c r="B5" i="4" a="1"/>
  <c r="B5" i="4" s="1"/>
  <c r="C3" i="4" a="1"/>
  <c r="C38" i="10" l="1" a="1"/>
  <c r="C38" i="10" s="1"/>
  <c r="C23" i="10" a="1"/>
  <c r="C23" i="10" s="1"/>
  <c r="C4" i="10" a="1"/>
  <c r="C4" i="10" s="1"/>
  <c r="B39" i="10" a="1"/>
  <c r="B39" i="10" s="1"/>
  <c r="B24" i="10" a="1"/>
  <c r="B24" i="10" s="1"/>
  <c r="L34" i="10"/>
  <c r="I25" i="10"/>
  <c r="F26" i="10"/>
  <c r="J26" i="10"/>
  <c r="G26" i="10"/>
  <c r="I29" i="10"/>
  <c r="E33" i="10"/>
  <c r="L30" i="10"/>
  <c r="K33" i="10"/>
  <c r="D28" i="10"/>
  <c r="K25" i="10"/>
  <c r="I27" i="10"/>
  <c r="H30" i="10"/>
  <c r="G33" i="10"/>
  <c r="I32" i="10"/>
  <c r="D31" i="10"/>
  <c r="J29" i="10"/>
  <c r="E28" i="10"/>
  <c r="M34" i="10"/>
  <c r="H33" i="10"/>
  <c r="I30" i="10"/>
  <c r="D29" i="10"/>
  <c r="J27" i="10"/>
  <c r="H25" i="10"/>
  <c r="M29" i="10"/>
  <c r="L32" i="10"/>
  <c r="M25" i="10"/>
  <c r="M27" i="10"/>
  <c r="J28" i="10"/>
  <c r="G29" i="10"/>
  <c r="K26" i="10"/>
  <c r="F30" i="10"/>
  <c r="M33" i="10"/>
  <c r="I31" i="10"/>
  <c r="H34" i="10"/>
  <c r="D26" i="10"/>
  <c r="F28" i="10"/>
  <c r="E31" i="10"/>
  <c r="D34" i="10"/>
  <c r="J33" i="10"/>
  <c r="E32" i="10"/>
  <c r="K30" i="10"/>
  <c r="F29" i="10"/>
  <c r="L27" i="10"/>
  <c r="I34" i="10"/>
  <c r="D33" i="10"/>
  <c r="J31" i="10"/>
  <c r="E30" i="10"/>
  <c r="K28" i="10"/>
  <c r="F27" i="10"/>
  <c r="L25" i="10"/>
  <c r="K27" i="10"/>
  <c r="J30" i="10"/>
  <c r="I33" i="10"/>
  <c r="A24" i="10"/>
  <c r="F25" i="10"/>
  <c r="G27" i="10"/>
  <c r="K31" i="10"/>
  <c r="J34" i="10"/>
  <c r="F32" i="10"/>
  <c r="H26" i="10"/>
  <c r="M31" i="10"/>
  <c r="K34" i="10"/>
  <c r="F33" i="10"/>
  <c r="L31" i="10"/>
  <c r="G30" i="10"/>
  <c r="M28" i="10"/>
  <c r="H27" i="10"/>
  <c r="E34" i="10"/>
  <c r="K32" i="10"/>
  <c r="F31" i="10"/>
  <c r="L29" i="10"/>
  <c r="G28" i="10"/>
  <c r="M26" i="10"/>
  <c r="E26" i="10"/>
  <c r="H28" i="10"/>
  <c r="G31" i="10"/>
  <c r="F34" i="10"/>
  <c r="E27" i="10"/>
  <c r="E25" i="10"/>
  <c r="J25" i="10"/>
  <c r="L28" i="10"/>
  <c r="H32" i="10"/>
  <c r="D30" i="10"/>
  <c r="G25" i="10"/>
  <c r="L26" i="10"/>
  <c r="K29" i="10"/>
  <c r="J32" i="10"/>
  <c r="G34" i="10"/>
  <c r="M32" i="10"/>
  <c r="H31" i="10"/>
  <c r="I28" i="10"/>
  <c r="D27" i="10"/>
  <c r="L33" i="10"/>
  <c r="G32" i="10"/>
  <c r="M30" i="10"/>
  <c r="H29" i="10"/>
  <c r="D25" i="10"/>
  <c r="I26" i="10"/>
  <c r="E29" i="10"/>
  <c r="D32" i="10"/>
  <c r="F19" i="10"/>
  <c r="J19" i="10"/>
  <c r="E19" i="10"/>
  <c r="C3" i="10"/>
  <c r="K19" i="10"/>
  <c r="L19" i="10"/>
  <c r="G19" i="10"/>
  <c r="M19" i="10"/>
  <c r="H19" i="10"/>
  <c r="I19" i="10"/>
  <c r="D19" i="10"/>
  <c r="F48" i="10"/>
  <c r="H42" i="10"/>
  <c r="M49" i="10"/>
  <c r="J42" i="10"/>
  <c r="K47" i="10"/>
  <c r="J46" i="10"/>
  <c r="H40" i="10"/>
  <c r="M43" i="10"/>
  <c r="G43" i="10"/>
  <c r="L46" i="10"/>
  <c r="F46" i="10"/>
  <c r="K49" i="10"/>
  <c r="E49" i="10"/>
  <c r="E40" i="10"/>
  <c r="J43" i="10"/>
  <c r="D43" i="10"/>
  <c r="I46" i="10"/>
  <c r="H47" i="10"/>
  <c r="M50" i="10"/>
  <c r="G40" i="10"/>
  <c r="L43" i="10"/>
  <c r="F43" i="10"/>
  <c r="K46" i="10"/>
  <c r="E46" i="10"/>
  <c r="J49" i="10"/>
  <c r="L48" i="10"/>
  <c r="H46" i="10"/>
  <c r="F44" i="10"/>
  <c r="E43" i="10"/>
  <c r="L42" i="10"/>
  <c r="F42" i="10"/>
  <c r="K45" i="10"/>
  <c r="E45" i="10"/>
  <c r="J48" i="10"/>
  <c r="D48" i="10"/>
  <c r="I51" i="10"/>
  <c r="I42" i="10"/>
  <c r="H43" i="10"/>
  <c r="M46" i="10"/>
  <c r="G46" i="10"/>
  <c r="L49" i="10"/>
  <c r="F49" i="10"/>
  <c r="K42" i="10"/>
  <c r="E42" i="10"/>
  <c r="J45" i="10"/>
  <c r="D45" i="10"/>
  <c r="G45" i="10"/>
  <c r="I45" i="10"/>
  <c r="J50" i="10"/>
  <c r="L44" i="10"/>
  <c r="I49" i="10"/>
  <c r="K43" i="10"/>
  <c r="L51" i="10"/>
  <c r="E41" i="10"/>
  <c r="J44" i="10"/>
  <c r="D44" i="10"/>
  <c r="I47" i="10"/>
  <c r="H48" i="10"/>
  <c r="M51" i="10"/>
  <c r="M42" i="10"/>
  <c r="G42" i="10"/>
  <c r="L45" i="10"/>
  <c r="F45" i="10"/>
  <c r="K48" i="10"/>
  <c r="E48" i="10"/>
  <c r="J51" i="10"/>
  <c r="D41" i="10"/>
  <c r="I44" i="10"/>
  <c r="H45" i="10"/>
  <c r="M48" i="10"/>
  <c r="G48" i="10"/>
  <c r="K51" i="10"/>
  <c r="M45" i="10"/>
  <c r="G49" i="10"/>
  <c r="D42" i="10"/>
  <c r="E47" i="10"/>
  <c r="G41" i="10"/>
  <c r="D46" i="10"/>
  <c r="F40" i="10"/>
  <c r="D40" i="10"/>
  <c r="I43" i="10"/>
  <c r="H44" i="10"/>
  <c r="M47" i="10"/>
  <c r="G47" i="10"/>
  <c r="L50" i="10"/>
  <c r="A39" i="10"/>
  <c r="F41" i="10"/>
  <c r="K44" i="10"/>
  <c r="E44" i="10"/>
  <c r="J47" i="10"/>
  <c r="D47" i="10"/>
  <c r="I50" i="10"/>
  <c r="H41" i="10"/>
  <c r="M44" i="10"/>
  <c r="G44" i="10"/>
  <c r="L47" i="10"/>
  <c r="F47" i="10"/>
  <c r="K50" i="10"/>
  <c r="I48" i="10"/>
  <c r="D49" i="10"/>
  <c r="H49" i="10"/>
  <c r="E60" i="10"/>
  <c r="K58" i="10"/>
  <c r="M56" i="10"/>
  <c r="H55" i="10"/>
  <c r="J53" i="10"/>
  <c r="E52" i="10"/>
  <c r="J59" i="10"/>
  <c r="E58" i="10"/>
  <c r="K56" i="10"/>
  <c r="M54" i="10"/>
  <c r="H53" i="10"/>
  <c r="J60" i="10"/>
  <c r="E59" i="10"/>
  <c r="K57" i="10"/>
  <c r="M55" i="10"/>
  <c r="H54" i="10"/>
  <c r="J52" i="10"/>
  <c r="D56" i="10"/>
  <c r="K55" i="10"/>
  <c r="I53" i="10"/>
  <c r="K59" i="10"/>
  <c r="M53" i="10"/>
  <c r="L59" i="10"/>
  <c r="G58" i="10"/>
  <c r="I56" i="10"/>
  <c r="D55" i="10"/>
  <c r="F53" i="10"/>
  <c r="L60" i="10"/>
  <c r="F59" i="10"/>
  <c r="L57" i="10"/>
  <c r="G56" i="10"/>
  <c r="I54" i="10"/>
  <c r="D53" i="10"/>
  <c r="F60" i="10"/>
  <c r="L58" i="10"/>
  <c r="G57" i="10"/>
  <c r="I55" i="10"/>
  <c r="D54" i="10"/>
  <c r="F52" i="10"/>
  <c r="J54" i="10"/>
  <c r="D60" i="10"/>
  <c r="F54" i="10"/>
  <c r="G59" i="10"/>
  <c r="D52" i="10"/>
  <c r="F58" i="10"/>
  <c r="H52" i="10"/>
  <c r="M60" i="10"/>
  <c r="H59" i="10"/>
  <c r="J57" i="10"/>
  <c r="E56" i="10"/>
  <c r="K54" i="10"/>
  <c r="M52" i="10"/>
  <c r="K60" i="10"/>
  <c r="M58" i="10"/>
  <c r="H57" i="10"/>
  <c r="J55" i="10"/>
  <c r="E54" i="10"/>
  <c r="K52" i="10"/>
  <c r="M59" i="10"/>
  <c r="H58" i="10"/>
  <c r="J56" i="10"/>
  <c r="E55" i="10"/>
  <c r="K53" i="10"/>
  <c r="H60" i="10"/>
  <c r="E53" i="10"/>
  <c r="J58" i="10"/>
  <c r="L52" i="10"/>
  <c r="M57" i="10"/>
  <c r="L56" i="10"/>
  <c r="C22" i="10"/>
  <c r="C34" i="10" s="1"/>
  <c r="I60" i="10"/>
  <c r="D59" i="10"/>
  <c r="F57" i="10"/>
  <c r="L55" i="10"/>
  <c r="G54" i="10"/>
  <c r="I52" i="10"/>
  <c r="G60" i="10"/>
  <c r="I58" i="10"/>
  <c r="D57" i="10"/>
  <c r="F55" i="10"/>
  <c r="L53" i="10"/>
  <c r="G52" i="10"/>
  <c r="I59" i="10"/>
  <c r="D58" i="10"/>
  <c r="F56" i="10"/>
  <c r="L54" i="10"/>
  <c r="G53" i="10"/>
  <c r="I57" i="10"/>
  <c r="E57" i="10"/>
  <c r="H56" i="10"/>
  <c r="G55" i="10"/>
  <c r="L18" i="4"/>
  <c r="G18" i="4"/>
  <c r="E18" i="4"/>
  <c r="H18" i="4"/>
  <c r="K18" i="4"/>
  <c r="F18" i="4"/>
  <c r="I18" i="4"/>
  <c r="M18" i="4"/>
  <c r="D18" i="4"/>
  <c r="J18" i="4"/>
  <c r="M33" i="4"/>
  <c r="E25" i="4"/>
  <c r="L32" i="4"/>
  <c r="H28" i="4"/>
  <c r="D24" i="4"/>
  <c r="G27" i="4"/>
  <c r="F26" i="4"/>
  <c r="I29" i="4"/>
  <c r="K31" i="4"/>
  <c r="J30" i="4"/>
  <c r="C3" i="4"/>
  <c r="C18" i="4" s="1"/>
  <c r="M59" i="4"/>
  <c r="L59" i="4"/>
  <c r="K59" i="4"/>
  <c r="J59" i="4"/>
  <c r="I59" i="4"/>
  <c r="H59" i="4"/>
  <c r="G59" i="4"/>
  <c r="F59" i="4"/>
  <c r="E59" i="4"/>
  <c r="D59" i="4"/>
  <c r="C59" i="4"/>
  <c r="M58" i="4"/>
  <c r="L58" i="4"/>
  <c r="K58" i="4"/>
  <c r="J58" i="4"/>
  <c r="I58" i="4"/>
  <c r="H58" i="4"/>
  <c r="G58" i="4"/>
  <c r="F58" i="4"/>
  <c r="E58" i="4"/>
  <c r="D58" i="4"/>
  <c r="C58" i="4"/>
  <c r="M57" i="4"/>
  <c r="L57" i="4"/>
  <c r="K57" i="4"/>
  <c r="J57" i="4"/>
  <c r="I57" i="4"/>
  <c r="H57" i="4"/>
  <c r="G57" i="4"/>
  <c r="F57" i="4"/>
  <c r="E57" i="4"/>
  <c r="D57" i="4"/>
  <c r="C57" i="4"/>
  <c r="M56" i="4"/>
  <c r="L56" i="4"/>
  <c r="K56" i="4"/>
  <c r="J56" i="4"/>
  <c r="I56" i="4"/>
  <c r="H56" i="4"/>
  <c r="G56" i="4"/>
  <c r="F56" i="4"/>
  <c r="E56" i="4"/>
  <c r="D56" i="4"/>
  <c r="C56" i="4"/>
  <c r="M55" i="4"/>
  <c r="L55" i="4"/>
  <c r="K55" i="4"/>
  <c r="J55" i="4"/>
  <c r="I55" i="4"/>
  <c r="H55" i="4"/>
  <c r="G55" i="4"/>
  <c r="F55" i="4"/>
  <c r="E55" i="4"/>
  <c r="D55" i="4"/>
  <c r="C55" i="4"/>
  <c r="M54" i="4"/>
  <c r="L54" i="4"/>
  <c r="K54" i="4"/>
  <c r="J54" i="4"/>
  <c r="I54" i="4"/>
  <c r="H54" i="4"/>
  <c r="G54" i="4"/>
  <c r="F54" i="4"/>
  <c r="E54" i="4"/>
  <c r="D54" i="4"/>
  <c r="C54" i="4"/>
  <c r="M53" i="4"/>
  <c r="L53" i="4"/>
  <c r="K53" i="4"/>
  <c r="J53" i="4"/>
  <c r="I53" i="4"/>
  <c r="H53" i="4"/>
  <c r="G53" i="4"/>
  <c r="F53" i="4"/>
  <c r="E53" i="4"/>
  <c r="D53" i="4"/>
  <c r="C53" i="4"/>
  <c r="M52" i="4"/>
  <c r="L52" i="4"/>
  <c r="K52" i="4"/>
  <c r="J52" i="4"/>
  <c r="I52" i="4"/>
  <c r="H52" i="4"/>
  <c r="G52" i="4"/>
  <c r="F52" i="4"/>
  <c r="E52" i="4"/>
  <c r="D52" i="4"/>
  <c r="C52" i="4"/>
  <c r="M51" i="4"/>
  <c r="L51" i="4"/>
  <c r="K51" i="4"/>
  <c r="J51" i="4"/>
  <c r="I51" i="4"/>
  <c r="H51" i="4"/>
  <c r="G51" i="4"/>
  <c r="F51" i="4"/>
  <c r="E51" i="4"/>
  <c r="D51" i="4"/>
  <c r="C51" i="4"/>
  <c r="M50" i="4"/>
  <c r="L50" i="4"/>
  <c r="K50" i="4"/>
  <c r="J50" i="4"/>
  <c r="I50" i="4"/>
  <c r="H50" i="4"/>
  <c r="G50" i="4"/>
  <c r="F50" i="4"/>
  <c r="E50" i="4"/>
  <c r="D50" i="4"/>
  <c r="C50" i="4"/>
  <c r="M49" i="4"/>
  <c r="L49" i="4"/>
  <c r="K49" i="4"/>
  <c r="J49" i="4"/>
  <c r="I49" i="4"/>
  <c r="H49" i="4"/>
  <c r="G49" i="4"/>
  <c r="F49" i="4"/>
  <c r="E49" i="4"/>
  <c r="D49" i="4"/>
  <c r="C49" i="4"/>
  <c r="M48" i="4"/>
  <c r="L48" i="4"/>
  <c r="K48" i="4"/>
  <c r="J48" i="4"/>
  <c r="I48" i="4"/>
  <c r="H48" i="4"/>
  <c r="G48" i="4"/>
  <c r="F48" i="4"/>
  <c r="E48" i="4"/>
  <c r="D48" i="4"/>
  <c r="C48" i="4"/>
  <c r="M47" i="4"/>
  <c r="L47" i="4"/>
  <c r="K47" i="4"/>
  <c r="J47" i="4"/>
  <c r="I47" i="4"/>
  <c r="H47" i="4"/>
  <c r="G47" i="4"/>
  <c r="F47" i="4"/>
  <c r="E47" i="4"/>
  <c r="D47" i="4"/>
  <c r="C47" i="4"/>
  <c r="M46" i="4"/>
  <c r="L46" i="4"/>
  <c r="K46" i="4"/>
  <c r="J46" i="4"/>
  <c r="I46" i="4"/>
  <c r="H46" i="4"/>
  <c r="G46" i="4"/>
  <c r="F46" i="4"/>
  <c r="E46" i="4"/>
  <c r="D46" i="4"/>
  <c r="C46" i="4"/>
  <c r="M45" i="4"/>
  <c r="L45" i="4"/>
  <c r="K45" i="4"/>
  <c r="J45" i="4"/>
  <c r="I45" i="4"/>
  <c r="H45" i="4"/>
  <c r="G45" i="4"/>
  <c r="F45" i="4"/>
  <c r="E45" i="4"/>
  <c r="D45" i="4"/>
  <c r="C45" i="4"/>
  <c r="M44" i="4"/>
  <c r="L44" i="4"/>
  <c r="K44" i="4"/>
  <c r="J44" i="4"/>
  <c r="I44" i="4"/>
  <c r="H44" i="4"/>
  <c r="G44" i="4"/>
  <c r="F44" i="4"/>
  <c r="E44" i="4"/>
  <c r="D44" i="4"/>
  <c r="C44" i="4"/>
  <c r="M43" i="4"/>
  <c r="L43" i="4"/>
  <c r="K43" i="4"/>
  <c r="J43" i="4"/>
  <c r="I43" i="4"/>
  <c r="H43" i="4"/>
  <c r="G43" i="4"/>
  <c r="F43" i="4"/>
  <c r="E43" i="4"/>
  <c r="D43" i="4"/>
  <c r="C43" i="4"/>
  <c r="M42" i="4"/>
  <c r="L42" i="4"/>
  <c r="K42" i="4"/>
  <c r="J42" i="4"/>
  <c r="I42" i="4"/>
  <c r="H42" i="4"/>
  <c r="G42" i="4"/>
  <c r="F42" i="4"/>
  <c r="E42" i="4"/>
  <c r="D42" i="4"/>
  <c r="C42" i="4"/>
  <c r="M41" i="4"/>
  <c r="L41" i="4"/>
  <c r="K41" i="4"/>
  <c r="J41" i="4"/>
  <c r="I41" i="4"/>
  <c r="H41" i="4"/>
  <c r="G41" i="4"/>
  <c r="F41" i="4"/>
  <c r="E41" i="4"/>
  <c r="D41" i="4"/>
  <c r="C41" i="4"/>
  <c r="C22" i="4" a="1"/>
  <c r="C22" i="4" s="1"/>
  <c r="B40" i="4" a="1"/>
  <c r="B40" i="4" s="1"/>
  <c r="C39" i="4" a="1"/>
  <c r="C39" i="4" s="1"/>
  <c r="A40" i="4"/>
  <c r="A23" i="4"/>
  <c r="C23" i="4" s="1"/>
  <c r="M35" i="4"/>
  <c r="L35" i="4"/>
  <c r="K35" i="4"/>
  <c r="J35" i="4"/>
  <c r="I35" i="4"/>
  <c r="H35" i="4"/>
  <c r="G35" i="4"/>
  <c r="F35" i="4"/>
  <c r="E35" i="4"/>
  <c r="D35" i="4"/>
  <c r="C35" i="4"/>
  <c r="M34" i="4"/>
  <c r="L34" i="4"/>
  <c r="K34" i="4"/>
  <c r="J34" i="4"/>
  <c r="I34" i="4"/>
  <c r="H34" i="4"/>
  <c r="G34" i="4"/>
  <c r="F34" i="4"/>
  <c r="E34" i="4"/>
  <c r="D34" i="4"/>
  <c r="C34" i="4"/>
  <c r="L33" i="4"/>
  <c r="K33" i="4"/>
  <c r="J33" i="4"/>
  <c r="I33" i="4"/>
  <c r="H33" i="4"/>
  <c r="G33" i="4"/>
  <c r="F33" i="4"/>
  <c r="E33" i="4"/>
  <c r="D33" i="4"/>
  <c r="C33" i="4"/>
  <c r="M32" i="4"/>
  <c r="K32" i="4"/>
  <c r="J32" i="4"/>
  <c r="I32" i="4"/>
  <c r="H32" i="4"/>
  <c r="G32" i="4"/>
  <c r="F32" i="4"/>
  <c r="E32" i="4"/>
  <c r="D32" i="4"/>
  <c r="C32" i="4"/>
  <c r="M31" i="4"/>
  <c r="L31" i="4"/>
  <c r="J31" i="4"/>
  <c r="I31" i="4"/>
  <c r="H31" i="4"/>
  <c r="G31" i="4"/>
  <c r="F31" i="4"/>
  <c r="E31" i="4"/>
  <c r="D31" i="4"/>
  <c r="C31" i="4"/>
  <c r="M30" i="4"/>
  <c r="L30" i="4"/>
  <c r="K30" i="4"/>
  <c r="I30" i="4"/>
  <c r="H30" i="4"/>
  <c r="G30" i="4"/>
  <c r="F30" i="4"/>
  <c r="E30" i="4"/>
  <c r="D30" i="4"/>
  <c r="C30" i="4"/>
  <c r="M29" i="4"/>
  <c r="L29" i="4"/>
  <c r="K29" i="4"/>
  <c r="J29" i="4"/>
  <c r="H29" i="4"/>
  <c r="G29" i="4"/>
  <c r="F29" i="4"/>
  <c r="E29" i="4"/>
  <c r="D29" i="4"/>
  <c r="C29" i="4"/>
  <c r="M28" i="4"/>
  <c r="L28" i="4"/>
  <c r="K28" i="4"/>
  <c r="J28" i="4"/>
  <c r="I28" i="4"/>
  <c r="G28" i="4"/>
  <c r="F28" i="4"/>
  <c r="E28" i="4"/>
  <c r="D28" i="4"/>
  <c r="C28" i="4"/>
  <c r="M27" i="4"/>
  <c r="L27" i="4"/>
  <c r="K27" i="4"/>
  <c r="J27" i="4"/>
  <c r="I27" i="4"/>
  <c r="H27" i="4"/>
  <c r="F27" i="4"/>
  <c r="E27" i="4"/>
  <c r="D27" i="4"/>
  <c r="C27" i="4"/>
  <c r="M26" i="4"/>
  <c r="L26" i="4"/>
  <c r="K26" i="4"/>
  <c r="J26" i="4"/>
  <c r="I26" i="4"/>
  <c r="H26" i="4"/>
  <c r="G26" i="4"/>
  <c r="E26" i="4"/>
  <c r="D26" i="4"/>
  <c r="C26" i="4"/>
  <c r="M25" i="4"/>
  <c r="L25" i="4"/>
  <c r="K25" i="4"/>
  <c r="J25" i="4"/>
  <c r="I25" i="4"/>
  <c r="H25" i="4"/>
  <c r="G25" i="4"/>
  <c r="F25" i="4"/>
  <c r="D25" i="4"/>
  <c r="C25" i="4"/>
  <c r="M24" i="4"/>
  <c r="L24" i="4"/>
  <c r="K24" i="4"/>
  <c r="J24" i="4"/>
  <c r="I24" i="4"/>
  <c r="H24" i="4"/>
  <c r="G24" i="4"/>
  <c r="F24" i="4"/>
  <c r="E24" i="4"/>
  <c r="C24" i="4"/>
  <c r="C4" i="4" a="1"/>
  <c r="C4" i="4" s="1"/>
  <c r="B23" i="4" a="1"/>
  <c r="B23" i="4" s="1"/>
  <c r="C40" i="10" l="1"/>
  <c r="C43" i="10"/>
  <c r="C49" i="10"/>
  <c r="C46" i="10"/>
  <c r="C27" i="10"/>
  <c r="C31" i="10"/>
  <c r="C54" i="10"/>
  <c r="C57" i="10"/>
  <c r="C60" i="10"/>
  <c r="C53" i="10"/>
  <c r="C55" i="10"/>
  <c r="C56" i="10"/>
  <c r="C59" i="10"/>
  <c r="C58" i="10"/>
  <c r="C52" i="10"/>
  <c r="C45" i="10"/>
  <c r="C26" i="10"/>
  <c r="C30" i="10"/>
  <c r="C33" i="10"/>
  <c r="C29" i="10"/>
  <c r="H24" i="10"/>
  <c r="K24" i="10"/>
  <c r="M24" i="10"/>
  <c r="G24" i="10"/>
  <c r="I24" i="10"/>
  <c r="D24" i="10"/>
  <c r="J24" i="10"/>
  <c r="E24" i="10"/>
  <c r="F24" i="10"/>
  <c r="L24" i="10"/>
  <c r="C24" i="10"/>
  <c r="C32" i="10"/>
  <c r="C44" i="10"/>
  <c r="C47" i="10"/>
  <c r="C28" i="10"/>
  <c r="C41" i="10"/>
  <c r="C48" i="10"/>
  <c r="F39" i="10"/>
  <c r="K41" i="10"/>
  <c r="E39" i="10"/>
  <c r="L41" i="10"/>
  <c r="G39" i="10"/>
  <c r="M41" i="10"/>
  <c r="H39" i="10"/>
  <c r="C39" i="10"/>
  <c r="J41" i="10"/>
  <c r="D39" i="10"/>
  <c r="I41" i="10"/>
  <c r="C42" i="10"/>
  <c r="C25" i="10"/>
  <c r="C40" i="4"/>
  <c r="M40" i="4"/>
  <c r="L40" i="4"/>
  <c r="K40" i="4"/>
  <c r="J40" i="4"/>
  <c r="I40" i="4"/>
  <c r="H40" i="4"/>
  <c r="G40" i="4"/>
  <c r="F40" i="4"/>
  <c r="E40" i="4"/>
  <c r="D40" i="4"/>
  <c r="M23" i="4"/>
  <c r="L23" i="4"/>
  <c r="K23" i="4"/>
  <c r="J23" i="4"/>
  <c r="I23" i="4"/>
  <c r="H23" i="4"/>
  <c r="G23" i="4"/>
  <c r="F23" i="4"/>
  <c r="E23" i="4"/>
  <c r="D23" i="4"/>
  <c r="W2" i="10" l="1"/>
  <c r="T2" i="4"/>
  <c r="V2" i="4" s="1"/>
  <c r="AC2" i="10"/>
  <c r="AD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<sst xmlns="http://schemas.openxmlformats.org/spreadsheetml/2006/main" count="268" uniqueCount="132">
  <si>
    <t>Ref. no</t>
  </si>
  <si>
    <t>Hotspot</t>
  </si>
  <si>
    <t>StayTime
 (minute)</t>
    <phoneticPr fontId="1" type="noConversion"/>
  </si>
  <si>
    <t>Category</t>
  </si>
  <si>
    <t>Exoected expenditure (HKD)</t>
    <phoneticPr fontId="1" type="noConversion"/>
  </si>
  <si>
    <t>Item</t>
    <phoneticPr fontId="1" type="noConversion"/>
  </si>
  <si>
    <t>Description</t>
    <phoneticPr fontId="1" type="noConversion"/>
  </si>
  <si>
    <t>Count</t>
  </si>
  <si>
    <t>Airport</t>
  </si>
  <si>
    <t>Travel</t>
  </si>
  <si>
    <t>D</t>
    <phoneticPr fontId="1" type="noConversion"/>
  </si>
  <si>
    <t>Day stay</t>
    <phoneticPr fontId="1" type="noConversion"/>
  </si>
  <si>
    <t>Causeway Bay</t>
  </si>
  <si>
    <t>Retail</t>
  </si>
  <si>
    <t>N_hs</t>
    <phoneticPr fontId="1" type="noConversion"/>
  </si>
  <si>
    <t>Number of hotspots</t>
    <phoneticPr fontId="1" type="noConversion"/>
  </si>
  <si>
    <t>Cheung Chau</t>
  </si>
  <si>
    <t>Recreation</t>
  </si>
  <si>
    <t>T</t>
    <phoneticPr fontId="1" type="noConversion"/>
  </si>
  <si>
    <t>Time available per day</t>
    <phoneticPr fontId="1" type="noConversion"/>
  </si>
  <si>
    <t>Chuen Lung Street</t>
  </si>
  <si>
    <t>Food</t>
  </si>
  <si>
    <t>T_i</t>
    <phoneticPr fontId="1" type="noConversion"/>
  </si>
  <si>
    <t>expected time stay at hotspot i</t>
    <phoneticPr fontId="1" type="noConversion"/>
  </si>
  <si>
    <t>Disneyland</t>
  </si>
  <si>
    <t>Theme park</t>
  </si>
  <si>
    <t>T_ij</t>
    <phoneticPr fontId="1" type="noConversion"/>
  </si>
  <si>
    <t>expeced time travel from hotspot i to hotspot j</t>
    <phoneticPr fontId="1" type="noConversion"/>
  </si>
  <si>
    <t>HKU</t>
  </si>
  <si>
    <t>Tourism</t>
  </si>
  <si>
    <t>C_i</t>
    <phoneticPr fontId="1" type="noConversion"/>
  </si>
  <si>
    <t>expected money spend on hotspot i</t>
    <phoneticPr fontId="1" type="noConversion"/>
  </si>
  <si>
    <t>Hong Kong Space Museum</t>
    <phoneticPr fontId="1" type="noConversion"/>
  </si>
  <si>
    <t>Museum</t>
  </si>
  <si>
    <t>C_ij</t>
    <phoneticPr fontId="1" type="noConversion"/>
  </si>
  <si>
    <t>expected money spend on transportation from hotspot i to hotspot j</t>
    <phoneticPr fontId="1" type="noConversion"/>
  </si>
  <si>
    <t>M+</t>
    <phoneticPr fontId="1" type="noConversion"/>
  </si>
  <si>
    <t>Mai Po Nature Reserve</t>
  </si>
  <si>
    <t>Nature</t>
  </si>
  <si>
    <t>Mong Kok</t>
  </si>
  <si>
    <t>Orean Park</t>
  </si>
  <si>
    <t>Sai Kung</t>
  </si>
  <si>
    <t>Sham Tseng</t>
  </si>
  <si>
    <t>Shek O</t>
  </si>
  <si>
    <t>Stanley</t>
  </si>
  <si>
    <t>Tai Kwun, Central</t>
    <phoneticPr fontId="1" type="noConversion"/>
  </si>
  <si>
    <t>Tai On Night market, Sai Wan Ho</t>
    <phoneticPr fontId="1" type="noConversion"/>
  </si>
  <si>
    <t>Tai Po Insect House</t>
    <phoneticPr fontId="1" type="noConversion"/>
  </si>
  <si>
    <t>The Mills</t>
    <phoneticPr fontId="1" type="noConversion"/>
  </si>
  <si>
    <t>Tian Tan Buddha</t>
  </si>
  <si>
    <t>Time cost in minute</t>
  </si>
  <si>
    <t>From \ To</t>
  </si>
  <si>
    <t>fee</t>
  </si>
  <si>
    <t>Transportation Fee</t>
  </si>
  <si>
    <t>Hong Kong Space Museum, Tsim Sha Tsui</t>
  </si>
  <si>
    <t>M+, West Kowloon Cultural District</t>
  </si>
  <si>
    <t>Tai Kwun - Centre for Heritage and Arts, Central</t>
  </si>
  <si>
    <t>Tai On Building Night market, Sai Wan Ho</t>
  </si>
  <si>
    <t>Tai Po Insect House, Tai Po</t>
  </si>
  <si>
    <t>The Mills, Tsuen Wan</t>
  </si>
  <si>
    <t>Randomized Hotspots Generator</t>
    <phoneticPr fontId="1" type="noConversion"/>
  </si>
  <si>
    <t>Case Study</t>
    <phoneticPr fontId="1" type="noConversion"/>
  </si>
  <si>
    <t>Version 2</t>
    <phoneticPr fontId="1" type="noConversion"/>
  </si>
  <si>
    <t>One day trip, target N hotspots</t>
    <phoneticPr fontId="1" type="noConversion"/>
  </si>
  <si>
    <t>Number of Hotspot</t>
    <phoneticPr fontId="1" type="noConversion"/>
  </si>
  <si>
    <t>V2D1</t>
    <phoneticPr fontId="1" type="noConversion"/>
  </si>
  <si>
    <t>V2D2</t>
    <phoneticPr fontId="1" type="noConversion"/>
  </si>
  <si>
    <t>V2D3</t>
    <phoneticPr fontId="1" type="noConversion"/>
  </si>
  <si>
    <t>RAND</t>
    <phoneticPr fontId="1" type="noConversion"/>
  </si>
  <si>
    <t>Rank</t>
    <phoneticPr fontId="1" type="noConversion"/>
  </si>
  <si>
    <t>Ref. No</t>
    <phoneticPr fontId="1" type="noConversion"/>
  </si>
  <si>
    <t>Name</t>
    <phoneticPr fontId="1" type="noConversion"/>
  </si>
  <si>
    <t>Category</t>
    <phoneticPr fontId="1" type="noConversion"/>
  </si>
  <si>
    <t>Selected</t>
    <phoneticPr fontId="1" type="noConversion"/>
  </si>
  <si>
    <t>RAND</t>
  </si>
  <si>
    <t>Rank</t>
  </si>
  <si>
    <t>Ref_cat</t>
    <phoneticPr fontId="1" type="noConversion"/>
  </si>
  <si>
    <t>Ref. No</t>
  </si>
  <si>
    <t>Travelling Salesman Problem
(Sub-tour encountered)</t>
    <phoneticPr fontId="1" type="noConversion"/>
  </si>
  <si>
    <t>Objective 1</t>
  </si>
  <si>
    <t>To visit all of the hotspots given minimum Time</t>
  </si>
  <si>
    <t>Objective 2</t>
  </si>
  <si>
    <t>To visit all of the hotspots given minimum Transportation Fee</t>
    <phoneticPr fontId="1" type="noConversion"/>
  </si>
  <si>
    <t>Obj. Funct.</t>
  </si>
  <si>
    <t>minutes</t>
    <phoneticPr fontId="1" type="noConversion"/>
  </si>
  <si>
    <t>(hh:mm)</t>
    <phoneticPr fontId="1" type="noConversion"/>
  </si>
  <si>
    <t>Hotspots Selected</t>
  </si>
  <si>
    <t>Slack</t>
  </si>
  <si>
    <t>Symbol</t>
  </si>
  <si>
    <t>Constraints</t>
  </si>
  <si>
    <t>Time stay</t>
    <phoneticPr fontId="1" type="noConversion"/>
  </si>
  <si>
    <t>=</t>
  </si>
  <si>
    <t>subtour</t>
    <phoneticPr fontId="1" type="noConversion"/>
  </si>
  <si>
    <t>1,9</t>
    <phoneticPr fontId="1" type="noConversion"/>
  </si>
  <si>
    <t>=</t>
    <phoneticPr fontId="1" type="noConversion"/>
  </si>
  <si>
    <t>&lt;=</t>
    <phoneticPr fontId="1" type="noConversion"/>
  </si>
  <si>
    <t>Transportation Time Matrix</t>
  </si>
  <si>
    <t>Transportation Fee Matrix</t>
  </si>
  <si>
    <t>To visit all of the hotspots given minimum Time</t>
    <phoneticPr fontId="1" type="noConversion"/>
  </si>
  <si>
    <t>Money</t>
    <phoneticPr fontId="1" type="noConversion"/>
  </si>
  <si>
    <t>To visit all of the hotspots given minimum Transportation Fee</t>
  </si>
  <si>
    <t>Number of Hotspots</t>
    <phoneticPr fontId="1" type="noConversion"/>
  </si>
  <si>
    <t>(h:mm)</t>
    <phoneticPr fontId="1" type="noConversion"/>
  </si>
  <si>
    <t>Funct.</t>
    <phoneticPr fontId="1" type="noConversion"/>
  </si>
  <si>
    <t>HKD</t>
    <phoneticPr fontId="1" type="noConversion"/>
  </si>
  <si>
    <t>Solution Matrix</t>
    <phoneticPr fontId="1" type="noConversion"/>
  </si>
  <si>
    <t>Objective</t>
    <phoneticPr fontId="1" type="noConversion"/>
  </si>
  <si>
    <t>Obj</t>
    <phoneticPr fontId="1" type="noConversion"/>
  </si>
  <si>
    <t>Stay Time</t>
    <phoneticPr fontId="1" type="noConversion"/>
  </si>
  <si>
    <t>Stay C</t>
    <phoneticPr fontId="1" type="noConversion"/>
  </si>
  <si>
    <t>Sensitiity Analysis</t>
    <phoneticPr fontId="1" type="noConversion"/>
  </si>
  <si>
    <t>Forward ( One more hotspots)</t>
    <phoneticPr fontId="1" type="noConversion"/>
  </si>
  <si>
    <t>Backward ( One less hotspots)</t>
    <phoneticPr fontId="1" type="noConversion"/>
  </si>
  <si>
    <t>Optimal</t>
    <phoneticPr fontId="1" type="noConversion"/>
  </si>
  <si>
    <t>%Diff.</t>
    <phoneticPr fontId="1" type="noConversion"/>
  </si>
  <si>
    <t>Select</t>
    <phoneticPr fontId="1" type="noConversion"/>
  </si>
  <si>
    <t>Ori.</t>
    <phoneticPr fontId="1" type="noConversion"/>
  </si>
  <si>
    <t>-</t>
    <phoneticPr fontId="1" type="noConversion"/>
  </si>
  <si>
    <t>Best</t>
    <phoneticPr fontId="1" type="noConversion"/>
  </si>
  <si>
    <t>/</t>
  </si>
  <si>
    <t>/</t>
    <phoneticPr fontId="1" type="noConversion"/>
  </si>
  <si>
    <t>Original Time Cost Table</t>
    <phoneticPr fontId="1" type="noConversion"/>
  </si>
  <si>
    <t>Row Opportunity Cost Table</t>
    <phoneticPr fontId="1" type="noConversion"/>
  </si>
  <si>
    <t>Total Opportunity Cost Table</t>
    <phoneticPr fontId="1" type="noConversion"/>
  </si>
  <si>
    <t>9-&gt;1</t>
    <phoneticPr fontId="1" type="noConversion"/>
  </si>
  <si>
    <t>16-&gt;6</t>
    <phoneticPr fontId="1" type="noConversion"/>
  </si>
  <si>
    <t>10-&gt;9</t>
    <phoneticPr fontId="1" type="noConversion"/>
  </si>
  <si>
    <t>6-&gt;14</t>
    <phoneticPr fontId="1" type="noConversion"/>
  </si>
  <si>
    <t>1-&gt;16</t>
    <phoneticPr fontId="1" type="noConversion"/>
  </si>
  <si>
    <t>1-&gt;10</t>
    <phoneticPr fontId="1" type="noConversion"/>
  </si>
  <si>
    <t>14-&gt;10</t>
    <phoneticPr fontId="1" type="noConversion"/>
  </si>
  <si>
    <t>1-&gt;16-&gt;6-&gt;14-&gt;10-&gt;9-&gt;1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</si>
</sst>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4"/>
      <color theme="1"/>
      <name val="Times Roman"/>
    </font>
    <font>
      <sz val="12"/>
      <color theme="1"/>
      <name val="Times Roman"/>
    </font>
    <font>
      <sz val="12"/>
      <color rgb="FF000000"/>
      <name val="Times Roman"/>
    </font>
    <font>
      <b/>
      <sz val="12"/>
      <color theme="1"/>
      <name val="Times Roman"/>
    </font>
    <font>
      <sz val="12"/>
      <color theme="1"/>
      <name val="新細明體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>
      <alignment vertical="center"/>
    </xf>
  </cellStyleXfs>
  <cellXfs count="15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2" fillId="0" borderId="26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13" xfId="0" applyFont="1" applyBorder="1" applyAlignment="1">
      <alignment horizontal="left"/>
    </xf>
    <xf numFmtId="0" fontId="4" fillId="3" borderId="14" xfId="0" applyFont="1" applyFill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31" xfId="0" applyFont="1" applyBorder="1" applyAlignment="1">
      <alignment horizontal="center" vertical="center"/>
    </xf>
    <xf numFmtId="0" fontId="4" fillId="0" borderId="9" xfId="0" applyFont="1" applyBorder="1"/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29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/>
    <xf numFmtId="0" fontId="4" fillId="0" borderId="15" xfId="0" applyFont="1" applyBorder="1"/>
    <xf numFmtId="0" fontId="4" fillId="0" borderId="30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2" xfId="0" applyFont="1" applyBorder="1"/>
    <xf numFmtId="0" fontId="4" fillId="0" borderId="13" xfId="0" applyFont="1" applyBorder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wrapText="1"/>
    </xf>
    <xf numFmtId="0" fontId="4" fillId="0" borderId="10" xfId="0" applyFont="1" applyBorder="1"/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wrapText="1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6" borderId="0" xfId="0" applyFont="1" applyFill="1" applyAlignment="1">
      <alignment horizontal="left"/>
    </xf>
    <xf numFmtId="0" fontId="4" fillId="6" borderId="0" xfId="0" applyFont="1" applyFill="1"/>
    <xf numFmtId="0" fontId="4" fillId="6" borderId="0" xfId="0" applyFont="1" applyFill="1" applyAlignment="1">
      <alignment horizontal="center" vertical="center"/>
    </xf>
    <xf numFmtId="0" fontId="4" fillId="6" borderId="11" xfId="0" applyFont="1" applyFill="1" applyBorder="1" applyAlignment="1">
      <alignment horizontal="left"/>
    </xf>
    <xf numFmtId="0" fontId="4" fillId="0" borderId="8" xfId="0" applyFont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4" fillId="0" borderId="17" xfId="0" applyFont="1" applyBorder="1" applyAlignment="1">
      <alignment horizontal="center"/>
    </xf>
    <xf numFmtId="0" fontId="4" fillId="0" borderId="7" xfId="0" applyFont="1" applyBorder="1"/>
    <xf numFmtId="0" fontId="4" fillId="0" borderId="1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8" xfId="0" applyFont="1" applyBorder="1"/>
    <xf numFmtId="0" fontId="4" fillId="0" borderId="11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19" xfId="0" applyFont="1" applyBorder="1"/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26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2" borderId="29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left"/>
    </xf>
    <xf numFmtId="0" fontId="4" fillId="0" borderId="11" xfId="0" applyFont="1" applyBorder="1"/>
    <xf numFmtId="0" fontId="4" fillId="0" borderId="7" xfId="0" applyFont="1" applyBorder="1" applyAlignment="1">
      <alignment horizontal="center" vertical="center"/>
    </xf>
    <xf numFmtId="10" fontId="4" fillId="0" borderId="0" xfId="1" applyNumberFormat="1" applyFont="1" applyBorder="1" applyAlignment="1">
      <alignment horizontal="center" vertical="center"/>
    </xf>
    <xf numFmtId="10" fontId="4" fillId="0" borderId="14" xfId="1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 wrapText="1"/>
    </xf>
    <xf numFmtId="0" fontId="4" fillId="0" borderId="26" xfId="0" applyFont="1" applyBorder="1" applyAlignment="1">
      <alignment vertical="center"/>
    </xf>
    <xf numFmtId="10" fontId="4" fillId="0" borderId="30" xfId="1" applyNumberFormat="1" applyFont="1" applyBorder="1" applyAlignment="1">
      <alignment horizontal="center" vertical="center"/>
    </xf>
    <xf numFmtId="0" fontId="4" fillId="6" borderId="9" xfId="0" applyFont="1" applyFill="1" applyBorder="1"/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10" fontId="4" fillId="0" borderId="0" xfId="1" applyNumberFormat="1" applyFont="1" applyBorder="1" applyAlignment="1">
      <alignment horizontal="center"/>
    </xf>
    <xf numFmtId="10" fontId="4" fillId="0" borderId="0" xfId="1" applyNumberFormat="1" applyFont="1" applyFill="1" applyBorder="1" applyAlignment="1">
      <alignment horizontal="center"/>
    </xf>
    <xf numFmtId="0" fontId="4" fillId="0" borderId="20" xfId="0" applyFont="1" applyBorder="1" applyAlignment="1">
      <alignment vertical="center"/>
    </xf>
    <xf numFmtId="0" fontId="4" fillId="8" borderId="12" xfId="0" applyFont="1" applyFill="1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4" fillId="7" borderId="26" xfId="0" applyFont="1" applyFill="1" applyBorder="1" applyAlignment="1">
      <alignment horizontal="left" vertical="center"/>
    </xf>
    <xf numFmtId="0" fontId="4" fillId="7" borderId="30" xfId="0" applyFont="1" applyFill="1" applyBorder="1" applyAlignment="1">
      <alignment horizontal="left" vertical="center"/>
    </xf>
    <xf numFmtId="0" fontId="4" fillId="0" borderId="26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left"/>
    </xf>
    <xf numFmtId="0" fontId="4" fillId="6" borderId="30" xfId="0" applyFont="1" applyFill="1" applyBorder="1" applyAlignment="1">
      <alignment horizontal="left"/>
    </xf>
    <xf numFmtId="0" fontId="4" fillId="6" borderId="27" xfId="0" applyFont="1" applyFill="1" applyBorder="1" applyAlignment="1">
      <alignment horizontal="left"/>
    </xf>
    <xf numFmtId="0" fontId="4" fillId="6" borderId="8" xfId="0" applyFont="1" applyFill="1" applyBorder="1" applyAlignment="1">
      <alignment horizontal="left"/>
    </xf>
    <xf numFmtId="0" fontId="4" fillId="6" borderId="9" xfId="0" applyFont="1" applyFill="1" applyBorder="1" applyAlignment="1">
      <alignment horizontal="left"/>
    </xf>
    <xf numFmtId="0" fontId="4" fillId="6" borderId="10" xfId="0" applyFont="1" applyFill="1" applyBorder="1" applyAlignment="1">
      <alignment horizontal="left"/>
    </xf>
    <xf numFmtId="0" fontId="4" fillId="7" borderId="14" xfId="0" applyFont="1" applyFill="1" applyBorder="1" applyAlignment="1">
      <alignment horizontal="left"/>
    </xf>
  </cellXfs>
  <cellStyles count="2">
    <cellStyle name="一般" xfId="0" builtinId="0"/>
    <cellStyle name="百分比" xfId="1" builtinId="5"/>
  </cellStyles>
  <dxfs count="7">
    <dxf>
      <font>
        <b/>
        <i val="0"/>
        <color theme="7" tint="-0.499984740745262"/>
      </font>
      <fill>
        <patternFill>
          <bgColor theme="7" tint="0.59996337778862885"/>
        </patternFill>
      </fill>
    </dxf>
    <dxf>
      <font>
        <b/>
        <i val="0"/>
        <color theme="7" tint="-0.499984740745262"/>
      </font>
      <fill>
        <patternFill>
          <bgColor theme="7" tint="0.59996337778862885"/>
        </patternFill>
      </fill>
    </dxf>
    <dxf>
      <font>
        <b/>
        <i val="0"/>
        <color theme="7" tint="-0.499984740745262"/>
      </font>
      <fill>
        <patternFill>
          <bgColor theme="7" tint="0.59996337778862885"/>
        </patternFill>
      </fill>
    </dxf>
    <dxf>
      <font>
        <b/>
        <i val="0"/>
        <strike val="0"/>
        <color theme="7" tint="-0.499984740745262"/>
      </font>
      <fill>
        <patternFill patternType="darkGray">
          <fgColor theme="7" tint="0.79998168889431442"/>
          <bgColor theme="7" tint="0.39994506668294322"/>
        </patternFill>
      </fill>
    </dxf>
    <dxf>
      <font>
        <color theme="0" tint="-0.34998626667073579"/>
      </font>
    </dxf>
    <dxf>
      <font>
        <b/>
        <i val="0"/>
        <strike val="0"/>
        <color theme="7" tint="-0.499984740745262"/>
      </font>
      <fill>
        <patternFill patternType="darkGray">
          <fgColor theme="7" tint="0.79998168889431442"/>
          <bgColor theme="7" tint="0.39994506668294322"/>
        </patternFill>
      </fill>
    </dxf>
    <dxf>
      <font>
        <color theme="0" tint="-0.34998626667073579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E26" sqref="E26"/>
    </sheetView>
  </sheetViews>
  <sheetFormatPr baseColWidth="10" defaultColWidth="8.83203125" defaultRowHeight="15"/>
  <cols>
    <col min="2" max="2" width="28.1640625" customWidth="1"/>
    <col min="4" max="4" width="11.5" hidden="1" customWidth="1"/>
    <col min="5" max="5" width="14.1640625" customWidth="1"/>
    <col min="7" max="7" width="54.5" customWidth="1"/>
    <col min="9" max="9" width="11.33203125" bestFit="1" customWidth="1"/>
  </cols>
  <sheetData>
    <row r="1" spans="1:10" ht="48">
      <c r="A1" s="128" t="s">
        <v>0</v>
      </c>
      <c r="B1" s="129" t="s">
        <v>1</v>
      </c>
      <c r="C1" s="126" t="s">
        <v>2</v>
      </c>
      <c r="D1" s="127" t="s">
        <v>3</v>
      </c>
      <c r="E1" s="132" t="s">
        <v>4</v>
      </c>
      <c r="F1" s="18" t="s">
        <v>5</v>
      </c>
      <c r="G1" s="18" t="s">
        <v>6</v>
      </c>
      <c r="H1" s="11"/>
      <c r="I1" s="21" t="s">
        <v>3</v>
      </c>
      <c r="J1" s="18" t="s">
        <v>7</v>
      </c>
    </row>
    <row r="2" spans="1:10">
      <c r="A2" s="19">
        <v>1</v>
      </c>
      <c r="B2" t="s">
        <v>8</v>
      </c>
      <c r="C2" s="24">
        <v>15</v>
      </c>
      <c r="D2" s="22" t="s">
        <v>9</v>
      </c>
      <c r="E2" s="130">
        <v>0</v>
      </c>
      <c r="F2" s="14" t="s">
        <v>10</v>
      </c>
      <c r="G2" s="14" t="s">
        <v>11</v>
      </c>
      <c r="H2" s="11"/>
      <c r="I2" s="13" t="str" cm="1">
        <f t="array" ref="I2:I9">_xlfn.UNIQUE(D2:D21)</f>
        <v>Travel</v>
      </c>
      <c r="J2" s="14">
        <f t="shared" ref="J2:J9" si="0">COUNTIF(D$2:D$21,I2)</f>
        <v>1</v>
      </c>
    </row>
    <row r="3" spans="1:10">
      <c r="A3" s="19">
        <v>2</v>
      </c>
      <c r="B3" t="s">
        <v>12</v>
      </c>
      <c r="C3" s="24">
        <v>30</v>
      </c>
      <c r="D3" s="22" t="s">
        <v>13</v>
      </c>
      <c r="E3" s="130">
        <v>50</v>
      </c>
      <c r="F3" s="14" t="s">
        <v>14</v>
      </c>
      <c r="G3" s="14" t="s">
        <v>15</v>
      </c>
      <c r="H3" s="11"/>
      <c r="I3" s="13" t="str">
        <v>Retail</v>
      </c>
      <c r="J3" s="14">
        <f t="shared" si="0"/>
        <v>3</v>
      </c>
    </row>
    <row r="4" spans="1:10">
      <c r="A4" s="19">
        <v>3</v>
      </c>
      <c r="B4" t="s">
        <v>16</v>
      </c>
      <c r="C4" s="24">
        <v>120</v>
      </c>
      <c r="D4" s="22" t="s">
        <v>17</v>
      </c>
      <c r="E4" s="130">
        <v>100</v>
      </c>
      <c r="F4" s="14" t="s">
        <v>18</v>
      </c>
      <c r="G4" s="14" t="s">
        <v>19</v>
      </c>
      <c r="H4" s="11"/>
      <c r="I4" s="13" t="str">
        <v>Recreation</v>
      </c>
      <c r="J4" s="14">
        <f t="shared" si="0"/>
        <v>2</v>
      </c>
    </row>
    <row r="5" spans="1:10">
      <c r="A5" s="19">
        <v>4</v>
      </c>
      <c r="B5" t="s">
        <v>20</v>
      </c>
      <c r="C5" s="24">
        <v>30</v>
      </c>
      <c r="D5" s="22" t="s">
        <v>21</v>
      </c>
      <c r="E5" s="130">
        <v>50</v>
      </c>
      <c r="F5" s="14" t="s">
        <v>22</v>
      </c>
      <c r="G5" s="14" t="s">
        <v>23</v>
      </c>
      <c r="I5" s="13" t="str">
        <v>Food</v>
      </c>
      <c r="J5" s="14">
        <f t="shared" si="0"/>
        <v>3</v>
      </c>
    </row>
    <row r="6" spans="1:10">
      <c r="A6" s="19">
        <v>5</v>
      </c>
      <c r="B6" t="s">
        <v>24</v>
      </c>
      <c r="C6" s="24">
        <v>240</v>
      </c>
      <c r="D6" s="22" t="s">
        <v>25</v>
      </c>
      <c r="E6" s="130">
        <v>400</v>
      </c>
      <c r="F6" s="14" t="s">
        <v>26</v>
      </c>
      <c r="G6" s="14" t="s">
        <v>27</v>
      </c>
      <c r="I6" s="13" t="str">
        <v>Theme park</v>
      </c>
      <c r="J6" s="14">
        <f t="shared" si="0"/>
        <v>2</v>
      </c>
    </row>
    <row r="7" spans="1:10">
      <c r="A7" s="19">
        <v>6</v>
      </c>
      <c r="B7" t="s">
        <v>28</v>
      </c>
      <c r="C7" s="24">
        <v>30</v>
      </c>
      <c r="D7" s="22" t="s">
        <v>29</v>
      </c>
      <c r="E7" s="130">
        <v>30</v>
      </c>
      <c r="F7" s="14" t="s">
        <v>30</v>
      </c>
      <c r="G7" s="14" t="s">
        <v>31</v>
      </c>
      <c r="I7" s="13" t="str">
        <v>Tourism</v>
      </c>
      <c r="J7" s="14">
        <f t="shared" si="0"/>
        <v>2</v>
      </c>
    </row>
    <row r="8" spans="1:10">
      <c r="A8" s="19">
        <v>7</v>
      </c>
      <c r="B8" t="s">
        <v>32</v>
      </c>
      <c r="C8" s="24">
        <v>60</v>
      </c>
      <c r="D8" s="22" t="s">
        <v>33</v>
      </c>
      <c r="E8" s="130">
        <v>30</v>
      </c>
      <c r="F8" s="17" t="s">
        <v>34</v>
      </c>
      <c r="G8" s="17" t="s">
        <v>35</v>
      </c>
      <c r="I8" s="13" t="str">
        <v>Museum</v>
      </c>
      <c r="J8" s="14">
        <f t="shared" si="0"/>
        <v>4</v>
      </c>
    </row>
    <row r="9" spans="1:10">
      <c r="A9" s="19">
        <v>8</v>
      </c>
      <c r="B9" t="s">
        <v>36</v>
      </c>
      <c r="C9" s="24">
        <v>90</v>
      </c>
      <c r="D9" s="22" t="s">
        <v>33</v>
      </c>
      <c r="E9" s="130">
        <v>100</v>
      </c>
      <c r="I9" s="15" t="str">
        <v>Nature</v>
      </c>
      <c r="J9" s="17">
        <f t="shared" si="0"/>
        <v>3</v>
      </c>
    </row>
    <row r="10" spans="1:10">
      <c r="A10" s="19">
        <v>9</v>
      </c>
      <c r="B10" t="s">
        <v>37</v>
      </c>
      <c r="C10" s="24">
        <v>90</v>
      </c>
      <c r="D10" s="22" t="s">
        <v>38</v>
      </c>
      <c r="E10" s="130">
        <v>0</v>
      </c>
    </row>
    <row r="11" spans="1:10">
      <c r="A11" s="19">
        <v>10</v>
      </c>
      <c r="B11" t="s">
        <v>39</v>
      </c>
      <c r="C11" s="24">
        <v>45</v>
      </c>
      <c r="D11" s="22" t="s">
        <v>13</v>
      </c>
      <c r="E11" s="130">
        <v>50</v>
      </c>
    </row>
    <row r="12" spans="1:10">
      <c r="A12" s="19">
        <v>11</v>
      </c>
      <c r="B12" t="s">
        <v>40</v>
      </c>
      <c r="C12" s="24">
        <v>150</v>
      </c>
      <c r="D12" s="22" t="s">
        <v>25</v>
      </c>
      <c r="E12" s="130">
        <v>200</v>
      </c>
    </row>
    <row r="13" spans="1:10">
      <c r="A13" s="19">
        <v>12</v>
      </c>
      <c r="B13" t="s">
        <v>41</v>
      </c>
      <c r="C13" s="24">
        <v>90</v>
      </c>
      <c r="D13" s="22" t="s">
        <v>17</v>
      </c>
      <c r="E13" s="130">
        <v>0</v>
      </c>
    </row>
    <row r="14" spans="1:10">
      <c r="A14" s="19">
        <v>13</v>
      </c>
      <c r="B14" t="s">
        <v>42</v>
      </c>
      <c r="C14" s="24">
        <v>60</v>
      </c>
      <c r="D14" s="22" t="s">
        <v>21</v>
      </c>
      <c r="E14" s="130">
        <v>50</v>
      </c>
    </row>
    <row r="15" spans="1:10">
      <c r="A15" s="19">
        <v>14</v>
      </c>
      <c r="B15" t="s">
        <v>43</v>
      </c>
      <c r="C15" s="24">
        <v>60</v>
      </c>
      <c r="D15" s="22" t="s">
        <v>38</v>
      </c>
      <c r="E15" s="130">
        <v>30</v>
      </c>
    </row>
    <row r="16" spans="1:10">
      <c r="A16" s="19">
        <v>15</v>
      </c>
      <c r="B16" t="s">
        <v>44</v>
      </c>
      <c r="C16" s="24">
        <v>90</v>
      </c>
      <c r="D16" s="22" t="s">
        <v>38</v>
      </c>
      <c r="E16" s="130">
        <v>30</v>
      </c>
    </row>
    <row r="17" spans="1:5">
      <c r="A17" s="19">
        <v>16</v>
      </c>
      <c r="B17" t="s">
        <v>45</v>
      </c>
      <c r="C17" s="24">
        <v>45</v>
      </c>
      <c r="D17" s="22" t="s">
        <v>33</v>
      </c>
      <c r="E17" s="130">
        <v>60</v>
      </c>
    </row>
    <row r="18" spans="1:5">
      <c r="A18" s="19">
        <v>17</v>
      </c>
      <c r="B18" t="s">
        <v>46</v>
      </c>
      <c r="C18" s="24">
        <v>60</v>
      </c>
      <c r="D18" s="22" t="s">
        <v>21</v>
      </c>
      <c r="E18" s="130">
        <v>50</v>
      </c>
    </row>
    <row r="19" spans="1:5">
      <c r="A19" s="19">
        <v>18</v>
      </c>
      <c r="B19" t="s">
        <v>47</v>
      </c>
      <c r="C19" s="24">
        <v>60</v>
      </c>
      <c r="D19" s="22" t="s">
        <v>33</v>
      </c>
      <c r="E19" s="130">
        <v>0</v>
      </c>
    </row>
    <row r="20" spans="1:5">
      <c r="A20" s="19">
        <v>19</v>
      </c>
      <c r="B20" t="s">
        <v>48</v>
      </c>
      <c r="C20" s="24">
        <v>90</v>
      </c>
      <c r="D20" s="22" t="s">
        <v>13</v>
      </c>
      <c r="E20" s="130">
        <v>80</v>
      </c>
    </row>
    <row r="21" spans="1:5">
      <c r="A21" s="20">
        <v>20</v>
      </c>
      <c r="B21" s="16" t="s">
        <v>49</v>
      </c>
      <c r="C21" s="25">
        <v>120</v>
      </c>
      <c r="D21" s="23" t="s">
        <v>29</v>
      </c>
      <c r="E21" s="131">
        <v>50</v>
      </c>
    </row>
    <row r="22" spans="1:5">
      <c r="C22" s="12"/>
      <c r="D22" s="12"/>
    </row>
    <row r="23" spans="1:5">
      <c r="D23">
        <f>C23*10/60</f>
        <v>0</v>
      </c>
    </row>
  </sheetData>
  <sortState xmlns:xlrd2="http://schemas.microsoft.com/office/spreadsheetml/2017/richdata2" ref="A2:C21">
    <sortCondition ref="B2:B2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B7441-3FD5-4BE5-B59E-C8B0768332A6}">
  <dimension ref="A1:V46"/>
  <sheetViews>
    <sheetView topLeftCell="B1" workbookViewId="0">
      <pane xSplit="1" topLeftCell="C1" activePane="topRight" state="frozen"/>
      <selection pane="topRight" activeCell="V20" sqref="V20"/>
    </sheetView>
  </sheetViews>
  <sheetFormatPr baseColWidth="10" defaultColWidth="8.83203125" defaultRowHeight="15"/>
  <cols>
    <col min="1" max="1" width="0" hidden="1" customWidth="1"/>
    <col min="2" max="2" width="24.6640625" customWidth="1"/>
    <col min="12" max="12" width="9" bestFit="1" customWidth="1"/>
  </cols>
  <sheetData>
    <row r="1" spans="1:22" ht="32.25" customHeight="1">
      <c r="A1" s="2"/>
      <c r="B1" s="3" t="s">
        <v>50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4">
        <v>20</v>
      </c>
    </row>
    <row r="2" spans="1:22" s="1" customFormat="1" ht="32.25" customHeight="1">
      <c r="A2" s="5"/>
      <c r="B2" s="1" t="s">
        <v>51</v>
      </c>
      <c r="C2" s="1" t="str" cm="1">
        <f t="array" ref="C2">INDEX(Hotspot!$B$2:$B$21,C1)</f>
        <v>Airport</v>
      </c>
      <c r="D2" s="1" t="str" cm="1">
        <f t="array" ref="D2">INDEX(Hotspot!$B$2:$B$21,D1)</f>
        <v>Causeway Bay</v>
      </c>
      <c r="E2" s="1" t="str" cm="1">
        <f t="array" ref="E2">INDEX(Hotspot!$B$2:$B$21,E1)</f>
        <v>Cheung Chau</v>
      </c>
      <c r="F2" s="1" t="str" cm="1">
        <f t="array" ref="F2">INDEX(Hotspot!$B$2:$B$21,F1)</f>
        <v>Chuen Lung Street</v>
      </c>
      <c r="G2" s="1" t="str" cm="1">
        <f t="array" ref="G2">INDEX(Hotspot!$B$2:$B$21,G1)</f>
        <v>Disneyland</v>
      </c>
      <c r="H2" s="1" t="str" cm="1">
        <f t="array" ref="H2">INDEX(Hotspot!$B$2:$B$21,H1)</f>
        <v>HKU</v>
      </c>
      <c r="I2" s="1" t="str" cm="1">
        <f t="array" ref="I2">INDEX(Hotspot!$B$2:$B$21,I1)</f>
        <v>Hong Kong Space Museum</v>
      </c>
      <c r="J2" s="1" t="str" cm="1">
        <f t="array" ref="J2">INDEX(Hotspot!$B$2:$B$21,J1)</f>
        <v>M+</v>
      </c>
      <c r="K2" s="1" t="str" cm="1">
        <f t="array" ref="K2">INDEX(Hotspot!$B$2:$B$21,K1)</f>
        <v>Mai Po Nature Reserve</v>
      </c>
      <c r="L2" s="1" t="str" cm="1">
        <f t="array" ref="L2">INDEX(Hotspot!$B$2:$B$21,L1)</f>
        <v>Mong Kok</v>
      </c>
      <c r="M2" s="1" t="str" cm="1">
        <f t="array" ref="M2">INDEX(Hotspot!$B$2:$B$21,M1)</f>
        <v>Orean Park</v>
      </c>
      <c r="N2" s="1" t="str" cm="1">
        <f t="array" ref="N2">INDEX(Hotspot!$B$2:$B$21,N1)</f>
        <v>Sai Kung</v>
      </c>
      <c r="O2" s="1" t="str" cm="1">
        <f t="array" ref="O2">INDEX(Hotspot!$B$2:$B$21,O1)</f>
        <v>Sham Tseng</v>
      </c>
      <c r="P2" s="1" t="str" cm="1">
        <f t="array" ref="P2">INDEX(Hotspot!$B$2:$B$21,P1)</f>
        <v>Shek O</v>
      </c>
      <c r="Q2" s="1" t="str" cm="1">
        <f t="array" ref="Q2">INDEX(Hotspot!$B$2:$B$21,Q1)</f>
        <v>Stanley</v>
      </c>
      <c r="R2" s="1" t="str" cm="1">
        <f t="array" ref="R2">INDEX(Hotspot!$B$2:$B$21,R1)</f>
        <v>Tai Kwun, Central</v>
      </c>
      <c r="S2" s="1" t="str" cm="1">
        <f t="array" ref="S2">INDEX(Hotspot!$B$2:$B$21,S1)</f>
        <v>Tai On Night market, Sai Wan Ho</v>
      </c>
      <c r="T2" s="1" t="str" cm="1">
        <f t="array" ref="T2">INDEX(Hotspot!$B$2:$B$21,T1)</f>
        <v>Tai Po Insect House</v>
      </c>
      <c r="U2" s="1" t="str" cm="1">
        <f t="array" ref="U2">INDEX(Hotspot!$B$2:$B$21,U1)</f>
        <v>The Mills</v>
      </c>
      <c r="V2" s="6" t="str" cm="1">
        <f t="array" ref="V2">INDEX(Hotspot!$B$2:$B$21,V1)</f>
        <v>Tian Tan Buddha</v>
      </c>
    </row>
    <row r="3" spans="1:22">
      <c r="A3" s="7">
        <v>1</v>
      </c>
      <c r="B3" t="str" cm="1">
        <f t="array" ref="B3">INDEX(Hotspot!$B$2:$B$21,ROW(A1))</f>
        <v>Airport</v>
      </c>
      <c r="C3">
        <v>10000</v>
      </c>
      <c r="D3">
        <v>60</v>
      </c>
      <c r="E3">
        <v>130</v>
      </c>
      <c r="F3">
        <v>53</v>
      </c>
      <c r="G3">
        <v>44</v>
      </c>
      <c r="H3">
        <v>65</v>
      </c>
      <c r="I3">
        <v>47</v>
      </c>
      <c r="J3">
        <v>56</v>
      </c>
      <c r="K3">
        <v>115</v>
      </c>
      <c r="L3">
        <v>57</v>
      </c>
      <c r="M3">
        <v>101</v>
      </c>
      <c r="N3">
        <v>112</v>
      </c>
      <c r="O3">
        <v>62</v>
      </c>
      <c r="P3">
        <v>98</v>
      </c>
      <c r="Q3">
        <v>107</v>
      </c>
      <c r="R3">
        <v>58</v>
      </c>
      <c r="S3">
        <v>82</v>
      </c>
      <c r="T3">
        <v>61</v>
      </c>
      <c r="U3">
        <v>49</v>
      </c>
      <c r="V3" s="8">
        <v>70</v>
      </c>
    </row>
    <row r="4" spans="1:22">
      <c r="A4" s="7">
        <v>2</v>
      </c>
      <c r="B4" t="str" cm="1">
        <f t="array" ref="B4">INDEX(Hotspot!$B$2:$B$21,ROW(A2))</f>
        <v>Causeway Bay</v>
      </c>
      <c r="C4">
        <v>62</v>
      </c>
      <c r="D4">
        <v>10000</v>
      </c>
      <c r="E4">
        <v>118</v>
      </c>
      <c r="F4">
        <v>47</v>
      </c>
      <c r="G4">
        <v>49</v>
      </c>
      <c r="H4">
        <v>27</v>
      </c>
      <c r="I4">
        <v>24</v>
      </c>
      <c r="J4">
        <v>47</v>
      </c>
      <c r="K4">
        <v>115</v>
      </c>
      <c r="L4">
        <v>28</v>
      </c>
      <c r="M4">
        <v>51</v>
      </c>
      <c r="N4">
        <v>69</v>
      </c>
      <c r="O4">
        <v>53</v>
      </c>
      <c r="P4">
        <v>49</v>
      </c>
      <c r="Q4">
        <v>45</v>
      </c>
      <c r="R4">
        <v>20</v>
      </c>
      <c r="S4">
        <v>19</v>
      </c>
      <c r="T4">
        <v>71</v>
      </c>
      <c r="U4">
        <v>56</v>
      </c>
      <c r="V4" s="8">
        <v>135</v>
      </c>
    </row>
    <row r="5" spans="1:22">
      <c r="A5" s="7">
        <v>3</v>
      </c>
      <c r="B5" t="str" cm="1">
        <f t="array" ref="B5">INDEX(Hotspot!$B$2:$B$21,ROW(A3))</f>
        <v>Cheung Chau</v>
      </c>
      <c r="C5">
        <v>133</v>
      </c>
      <c r="D5">
        <v>124</v>
      </c>
      <c r="E5">
        <v>10000</v>
      </c>
      <c r="F5">
        <v>141</v>
      </c>
      <c r="G5">
        <v>165</v>
      </c>
      <c r="H5">
        <v>136</v>
      </c>
      <c r="I5">
        <v>115</v>
      </c>
      <c r="J5">
        <v>138</v>
      </c>
      <c r="K5">
        <v>207</v>
      </c>
      <c r="L5">
        <v>139</v>
      </c>
      <c r="M5">
        <v>186</v>
      </c>
      <c r="N5">
        <v>199</v>
      </c>
      <c r="O5">
        <v>175</v>
      </c>
      <c r="P5">
        <v>162</v>
      </c>
      <c r="Q5">
        <v>158</v>
      </c>
      <c r="R5">
        <v>116</v>
      </c>
      <c r="S5">
        <v>146</v>
      </c>
      <c r="T5">
        <v>198</v>
      </c>
      <c r="U5">
        <v>153</v>
      </c>
      <c r="V5" s="8">
        <v>178</v>
      </c>
    </row>
    <row r="6" spans="1:22">
      <c r="A6" s="7">
        <v>4</v>
      </c>
      <c r="B6" t="str" cm="1">
        <f t="array" ref="B6">INDEX(Hotspot!$B$2:$B$21,ROW(A4))</f>
        <v>Chuen Lung Street</v>
      </c>
      <c r="C6">
        <v>52</v>
      </c>
      <c r="D6">
        <v>52</v>
      </c>
      <c r="E6">
        <v>141</v>
      </c>
      <c r="F6">
        <v>10000</v>
      </c>
      <c r="G6">
        <v>44</v>
      </c>
      <c r="H6">
        <v>41</v>
      </c>
      <c r="I6">
        <v>42</v>
      </c>
      <c r="J6">
        <v>50</v>
      </c>
      <c r="K6">
        <v>92</v>
      </c>
      <c r="L6">
        <v>26</v>
      </c>
      <c r="M6">
        <v>79</v>
      </c>
      <c r="N6">
        <v>84</v>
      </c>
      <c r="O6">
        <v>30</v>
      </c>
      <c r="P6">
        <v>91</v>
      </c>
      <c r="Q6">
        <v>82</v>
      </c>
      <c r="R6">
        <v>54</v>
      </c>
      <c r="S6">
        <v>66</v>
      </c>
      <c r="T6">
        <v>55</v>
      </c>
      <c r="U6">
        <v>16</v>
      </c>
      <c r="V6" s="8">
        <v>128</v>
      </c>
    </row>
    <row r="7" spans="1:22">
      <c r="A7" s="7">
        <v>5</v>
      </c>
      <c r="B7" t="str" cm="1">
        <f t="array" ref="B7">INDEX(Hotspot!$B$2:$B$21,ROW(A5))</f>
        <v>Disneyland</v>
      </c>
      <c r="C7">
        <v>58</v>
      </c>
      <c r="D7">
        <v>58</v>
      </c>
      <c r="E7">
        <v>193</v>
      </c>
      <c r="F7">
        <v>46</v>
      </c>
      <c r="G7">
        <v>10000</v>
      </c>
      <c r="H7">
        <v>64</v>
      </c>
      <c r="I7">
        <v>48</v>
      </c>
      <c r="J7">
        <v>53</v>
      </c>
      <c r="K7">
        <v>135</v>
      </c>
      <c r="L7">
        <v>48</v>
      </c>
      <c r="M7">
        <v>96</v>
      </c>
      <c r="N7">
        <v>186</v>
      </c>
      <c r="O7">
        <v>107</v>
      </c>
      <c r="P7">
        <v>140</v>
      </c>
      <c r="Q7">
        <v>148</v>
      </c>
      <c r="R7">
        <v>59</v>
      </c>
      <c r="S7">
        <v>74</v>
      </c>
      <c r="T7">
        <v>97</v>
      </c>
      <c r="U7">
        <v>51</v>
      </c>
      <c r="V7" s="8">
        <v>104</v>
      </c>
    </row>
    <row r="8" spans="1:22">
      <c r="A8" s="7">
        <v>6</v>
      </c>
      <c r="B8" t="str" cm="1">
        <f t="array" ref="B8">INDEX(Hotspot!$B$2:$B$21,ROW(A6))</f>
        <v>HKU</v>
      </c>
      <c r="C8">
        <v>51</v>
      </c>
      <c r="D8">
        <v>29</v>
      </c>
      <c r="E8">
        <v>122</v>
      </c>
      <c r="F8">
        <v>57</v>
      </c>
      <c r="G8">
        <v>58</v>
      </c>
      <c r="H8">
        <v>10000</v>
      </c>
      <c r="I8">
        <v>32</v>
      </c>
      <c r="J8">
        <v>24</v>
      </c>
      <c r="K8">
        <v>121</v>
      </c>
      <c r="L8">
        <v>28</v>
      </c>
      <c r="M8">
        <v>58</v>
      </c>
      <c r="N8">
        <v>86</v>
      </c>
      <c r="O8">
        <v>55</v>
      </c>
      <c r="P8">
        <v>66</v>
      </c>
      <c r="Q8">
        <v>64</v>
      </c>
      <c r="R8">
        <v>29</v>
      </c>
      <c r="S8">
        <v>31</v>
      </c>
      <c r="T8">
        <v>70</v>
      </c>
      <c r="U8">
        <v>57</v>
      </c>
      <c r="V8" s="8">
        <v>134</v>
      </c>
    </row>
    <row r="9" spans="1:22">
      <c r="A9" s="7">
        <v>7</v>
      </c>
      <c r="B9" t="str" cm="1">
        <f t="array" ref="B9">INDEX(Hotspot!$B$2:$B$21,ROW(A7))</f>
        <v>Hong Kong Space Museum</v>
      </c>
      <c r="C9">
        <v>57</v>
      </c>
      <c r="D9">
        <v>27</v>
      </c>
      <c r="E9">
        <v>115</v>
      </c>
      <c r="F9">
        <v>43</v>
      </c>
      <c r="G9">
        <v>42</v>
      </c>
      <c r="H9">
        <v>30</v>
      </c>
      <c r="I9">
        <v>10000</v>
      </c>
      <c r="J9">
        <v>25</v>
      </c>
      <c r="K9">
        <v>116</v>
      </c>
      <c r="L9">
        <v>17</v>
      </c>
      <c r="M9">
        <v>51</v>
      </c>
      <c r="N9">
        <v>74</v>
      </c>
      <c r="O9">
        <v>65</v>
      </c>
      <c r="P9">
        <v>66</v>
      </c>
      <c r="Q9">
        <v>56</v>
      </c>
      <c r="R9">
        <v>30</v>
      </c>
      <c r="S9">
        <v>39</v>
      </c>
      <c r="T9">
        <v>62</v>
      </c>
      <c r="U9">
        <v>50</v>
      </c>
      <c r="V9" s="8">
        <v>129</v>
      </c>
    </row>
    <row r="10" spans="1:22">
      <c r="A10" s="7">
        <v>8</v>
      </c>
      <c r="B10" t="str" cm="1">
        <f t="array" ref="B10">INDEX(Hotspot!$B$2:$B$21,ROW(A8))</f>
        <v>M+</v>
      </c>
      <c r="C10">
        <v>34</v>
      </c>
      <c r="D10">
        <v>28</v>
      </c>
      <c r="E10">
        <v>138</v>
      </c>
      <c r="F10">
        <v>41</v>
      </c>
      <c r="G10">
        <v>49</v>
      </c>
      <c r="H10">
        <v>30</v>
      </c>
      <c r="I10">
        <v>30</v>
      </c>
      <c r="J10">
        <v>10000</v>
      </c>
      <c r="K10">
        <v>113</v>
      </c>
      <c r="L10">
        <v>31</v>
      </c>
      <c r="M10">
        <v>74</v>
      </c>
      <c r="N10">
        <v>98</v>
      </c>
      <c r="O10">
        <v>40</v>
      </c>
      <c r="P10">
        <v>90</v>
      </c>
      <c r="Q10">
        <v>84</v>
      </c>
      <c r="R10">
        <v>39</v>
      </c>
      <c r="S10">
        <v>58</v>
      </c>
      <c r="T10">
        <v>94</v>
      </c>
      <c r="U10">
        <v>46</v>
      </c>
      <c r="V10" s="8">
        <v>141</v>
      </c>
    </row>
    <row r="11" spans="1:22">
      <c r="A11" s="7">
        <v>9</v>
      </c>
      <c r="B11" t="str" cm="1">
        <f t="array" ref="B11">INDEX(Hotspot!$B$2:$B$21,ROW(A9))</f>
        <v>Mai Po Nature Reserve</v>
      </c>
      <c r="C11">
        <v>96</v>
      </c>
      <c r="D11">
        <v>116</v>
      </c>
      <c r="E11">
        <v>159</v>
      </c>
      <c r="F11">
        <v>93</v>
      </c>
      <c r="G11">
        <v>131</v>
      </c>
      <c r="H11">
        <v>118</v>
      </c>
      <c r="I11">
        <v>116</v>
      </c>
      <c r="J11">
        <v>109</v>
      </c>
      <c r="K11">
        <v>10000</v>
      </c>
      <c r="L11">
        <v>101</v>
      </c>
      <c r="M11">
        <v>168</v>
      </c>
      <c r="N11">
        <v>168</v>
      </c>
      <c r="O11">
        <v>132</v>
      </c>
      <c r="P11">
        <v>188</v>
      </c>
      <c r="Q11">
        <v>175</v>
      </c>
      <c r="R11">
        <v>137</v>
      </c>
      <c r="S11">
        <v>150</v>
      </c>
      <c r="T11">
        <v>120</v>
      </c>
      <c r="U11">
        <v>167</v>
      </c>
      <c r="V11" s="8">
        <v>218</v>
      </c>
    </row>
    <row r="12" spans="1:22">
      <c r="A12" s="7">
        <v>10</v>
      </c>
      <c r="B12" t="str" cm="1">
        <f t="array" ref="B12">INDEX(Hotspot!$B$2:$B$21,ROW(A10))</f>
        <v>Mong Kok</v>
      </c>
      <c r="C12">
        <v>55</v>
      </c>
      <c r="D12">
        <v>26</v>
      </c>
      <c r="E12">
        <v>138</v>
      </c>
      <c r="F12">
        <v>35</v>
      </c>
      <c r="G12">
        <v>42</v>
      </c>
      <c r="H12">
        <v>33</v>
      </c>
      <c r="I12">
        <v>17</v>
      </c>
      <c r="J12">
        <v>32</v>
      </c>
      <c r="K12">
        <v>104</v>
      </c>
      <c r="L12">
        <v>10000</v>
      </c>
      <c r="M12">
        <v>57</v>
      </c>
      <c r="N12">
        <v>56</v>
      </c>
      <c r="O12">
        <v>41</v>
      </c>
      <c r="P12">
        <v>65</v>
      </c>
      <c r="Q12">
        <v>59</v>
      </c>
      <c r="R12">
        <v>42</v>
      </c>
      <c r="S12">
        <v>38</v>
      </c>
      <c r="T12">
        <v>46</v>
      </c>
      <c r="U12">
        <v>40</v>
      </c>
      <c r="V12" s="8">
        <v>128</v>
      </c>
    </row>
    <row r="13" spans="1:22">
      <c r="A13" s="7">
        <v>11</v>
      </c>
      <c r="B13" t="str" cm="1">
        <f t="array" ref="B13">INDEX(Hotspot!$B$2:$B$21,ROW(A11))</f>
        <v>Orean Park</v>
      </c>
      <c r="C13">
        <v>75</v>
      </c>
      <c r="D13">
        <v>20</v>
      </c>
      <c r="E13">
        <v>124</v>
      </c>
      <c r="F13">
        <v>55</v>
      </c>
      <c r="G13">
        <v>58</v>
      </c>
      <c r="H13">
        <v>33</v>
      </c>
      <c r="I13">
        <v>28</v>
      </c>
      <c r="J13">
        <v>54</v>
      </c>
      <c r="K13">
        <v>115</v>
      </c>
      <c r="L13">
        <v>31</v>
      </c>
      <c r="M13">
        <v>10000</v>
      </c>
      <c r="N13">
        <v>75</v>
      </c>
      <c r="O13">
        <v>70</v>
      </c>
      <c r="P13">
        <v>65</v>
      </c>
      <c r="Q13">
        <v>98</v>
      </c>
      <c r="R13">
        <v>40</v>
      </c>
      <c r="S13">
        <v>47</v>
      </c>
      <c r="T13">
        <v>79</v>
      </c>
      <c r="U13">
        <v>72</v>
      </c>
      <c r="V13" s="8">
        <v>155</v>
      </c>
    </row>
    <row r="14" spans="1:22">
      <c r="A14" s="7">
        <v>12</v>
      </c>
      <c r="B14" t="str" cm="1">
        <f t="array" ref="B14">INDEX(Hotspot!$B$2:$B$21,ROW(A12))</f>
        <v>Sai Kung</v>
      </c>
      <c r="C14">
        <v>101</v>
      </c>
      <c r="D14">
        <v>76</v>
      </c>
      <c r="E14">
        <v>193</v>
      </c>
      <c r="F14">
        <v>89</v>
      </c>
      <c r="G14">
        <v>91</v>
      </c>
      <c r="H14">
        <v>80</v>
      </c>
      <c r="I14">
        <v>60</v>
      </c>
      <c r="J14">
        <v>91</v>
      </c>
      <c r="K14">
        <v>157</v>
      </c>
      <c r="L14">
        <v>52</v>
      </c>
      <c r="M14">
        <v>116</v>
      </c>
      <c r="N14">
        <v>10000</v>
      </c>
      <c r="O14">
        <v>263</v>
      </c>
      <c r="P14">
        <v>100</v>
      </c>
      <c r="Q14" s="1">
        <v>104</v>
      </c>
      <c r="R14">
        <v>80</v>
      </c>
      <c r="S14">
        <v>71</v>
      </c>
      <c r="T14">
        <v>91</v>
      </c>
      <c r="U14">
        <v>188</v>
      </c>
      <c r="V14" s="8">
        <v>171</v>
      </c>
    </row>
    <row r="15" spans="1:22">
      <c r="A15" s="7">
        <v>13</v>
      </c>
      <c r="B15" t="str" cm="1">
        <f t="array" ref="B15">INDEX(Hotspot!$B$2:$B$21,ROW(A13))</f>
        <v>Sham Tseng</v>
      </c>
      <c r="C15">
        <v>61</v>
      </c>
      <c r="D15">
        <v>49</v>
      </c>
      <c r="E15">
        <v>137</v>
      </c>
      <c r="F15">
        <v>29</v>
      </c>
      <c r="G15">
        <v>51</v>
      </c>
      <c r="H15">
        <v>57</v>
      </c>
      <c r="I15">
        <v>51</v>
      </c>
      <c r="J15">
        <v>38</v>
      </c>
      <c r="K15">
        <v>104</v>
      </c>
      <c r="L15">
        <v>43</v>
      </c>
      <c r="M15">
        <v>108</v>
      </c>
      <c r="N15">
        <v>174</v>
      </c>
      <c r="O15">
        <v>10000</v>
      </c>
      <c r="P15">
        <v>104</v>
      </c>
      <c r="Q15">
        <v>98</v>
      </c>
      <c r="R15">
        <v>52</v>
      </c>
      <c r="S15">
        <v>73</v>
      </c>
      <c r="T15">
        <v>171</v>
      </c>
      <c r="U15">
        <v>29</v>
      </c>
      <c r="V15" s="8">
        <v>139</v>
      </c>
    </row>
    <row r="16" spans="1:22">
      <c r="A16" s="7">
        <v>14</v>
      </c>
      <c r="B16" t="str" cm="1">
        <f t="array" ref="B16">INDEX(Hotspot!$B$2:$B$21,ROW(A14))</f>
        <v>Shek O</v>
      </c>
      <c r="C16">
        <v>98</v>
      </c>
      <c r="D16">
        <v>49</v>
      </c>
      <c r="E16">
        <v>348</v>
      </c>
      <c r="F16">
        <v>91</v>
      </c>
      <c r="G16">
        <v>91</v>
      </c>
      <c r="H16">
        <v>65</v>
      </c>
      <c r="I16">
        <v>67</v>
      </c>
      <c r="J16">
        <v>93</v>
      </c>
      <c r="K16">
        <v>158</v>
      </c>
      <c r="L16">
        <v>64</v>
      </c>
      <c r="M16">
        <v>133</v>
      </c>
      <c r="N16">
        <v>107</v>
      </c>
      <c r="O16">
        <v>111</v>
      </c>
      <c r="P16">
        <v>10000</v>
      </c>
      <c r="Q16">
        <v>51</v>
      </c>
      <c r="R16">
        <v>65</v>
      </c>
      <c r="S16">
        <v>40</v>
      </c>
      <c r="T16">
        <v>120</v>
      </c>
      <c r="U16">
        <v>134</v>
      </c>
      <c r="V16" s="8">
        <v>187</v>
      </c>
    </row>
    <row r="17" spans="1:22">
      <c r="A17" s="7">
        <v>15</v>
      </c>
      <c r="B17" t="str" cm="1">
        <f t="array" ref="B17">INDEX(Hotspot!$B$2:$B$21,ROW(A15))</f>
        <v>Stanley</v>
      </c>
      <c r="C17">
        <v>107</v>
      </c>
      <c r="D17">
        <v>54</v>
      </c>
      <c r="E17">
        <v>143</v>
      </c>
      <c r="F17">
        <v>82</v>
      </c>
      <c r="G17">
        <v>99</v>
      </c>
      <c r="H17">
        <v>57</v>
      </c>
      <c r="I17">
        <v>54</v>
      </c>
      <c r="J17">
        <v>78</v>
      </c>
      <c r="K17">
        <v>142</v>
      </c>
      <c r="L17">
        <v>60</v>
      </c>
      <c r="M17">
        <v>80</v>
      </c>
      <c r="N17">
        <v>110</v>
      </c>
      <c r="O17">
        <v>81</v>
      </c>
      <c r="P17">
        <v>52</v>
      </c>
      <c r="Q17">
        <v>10000</v>
      </c>
      <c r="R17">
        <v>61</v>
      </c>
      <c r="S17">
        <v>43</v>
      </c>
      <c r="T17">
        <v>36</v>
      </c>
      <c r="U17">
        <v>143</v>
      </c>
      <c r="V17" s="8">
        <v>175</v>
      </c>
    </row>
    <row r="18" spans="1:22">
      <c r="A18" s="7">
        <v>16</v>
      </c>
      <c r="B18" t="str" cm="1">
        <f t="array" ref="B18">INDEX(Hotspot!$B$2:$B$21,ROW(A16))</f>
        <v>Tai Kwun, Central</v>
      </c>
      <c r="C18">
        <v>74</v>
      </c>
      <c r="D18">
        <v>27</v>
      </c>
      <c r="E18">
        <v>115</v>
      </c>
      <c r="F18">
        <v>50</v>
      </c>
      <c r="G18">
        <v>49</v>
      </c>
      <c r="H18">
        <v>25</v>
      </c>
      <c r="I18">
        <v>24</v>
      </c>
      <c r="J18">
        <v>31</v>
      </c>
      <c r="K18">
        <v>117</v>
      </c>
      <c r="L18">
        <v>28</v>
      </c>
      <c r="M18">
        <v>52</v>
      </c>
      <c r="N18">
        <v>89</v>
      </c>
      <c r="O18">
        <v>43</v>
      </c>
      <c r="P18">
        <v>65</v>
      </c>
      <c r="Q18">
        <v>62</v>
      </c>
      <c r="R18">
        <v>10000</v>
      </c>
      <c r="S18">
        <v>40</v>
      </c>
      <c r="T18">
        <v>77</v>
      </c>
      <c r="U18">
        <v>45</v>
      </c>
      <c r="V18" s="8">
        <v>140</v>
      </c>
    </row>
    <row r="19" spans="1:22">
      <c r="A19" s="7">
        <v>17</v>
      </c>
      <c r="B19" t="str" cm="1">
        <f t="array" ref="B19">INDEX(Hotspot!$B$2:$B$21,ROW(A17))</f>
        <v>Tai On Night market, Sai Wan Ho</v>
      </c>
      <c r="C19">
        <v>73</v>
      </c>
      <c r="D19">
        <v>22</v>
      </c>
      <c r="E19">
        <v>135</v>
      </c>
      <c r="F19">
        <v>66</v>
      </c>
      <c r="G19">
        <v>66</v>
      </c>
      <c r="H19">
        <v>39</v>
      </c>
      <c r="I19">
        <v>36</v>
      </c>
      <c r="J19">
        <v>61</v>
      </c>
      <c r="K19">
        <v>128</v>
      </c>
      <c r="L19">
        <v>37</v>
      </c>
      <c r="M19">
        <v>63</v>
      </c>
      <c r="N19">
        <v>77</v>
      </c>
      <c r="O19">
        <v>79</v>
      </c>
      <c r="P19">
        <v>40</v>
      </c>
      <c r="Q19">
        <v>46</v>
      </c>
      <c r="R19">
        <v>36</v>
      </c>
      <c r="S19">
        <v>10000</v>
      </c>
      <c r="T19">
        <v>77</v>
      </c>
      <c r="U19">
        <v>58</v>
      </c>
      <c r="V19" s="8">
        <v>155</v>
      </c>
    </row>
    <row r="20" spans="1:22">
      <c r="A20" s="7">
        <v>18</v>
      </c>
      <c r="B20" t="str" cm="1">
        <f t="array" ref="B20">INDEX(Hotspot!$B$2:$B$21,ROW(A18))</f>
        <v>Tai Po Insect House</v>
      </c>
      <c r="C20">
        <v>61</v>
      </c>
      <c r="D20">
        <v>61</v>
      </c>
      <c r="E20">
        <v>179</v>
      </c>
      <c r="F20">
        <v>55</v>
      </c>
      <c r="G20">
        <v>91</v>
      </c>
      <c r="H20">
        <v>83</v>
      </c>
      <c r="I20">
        <v>58</v>
      </c>
      <c r="J20">
        <v>74</v>
      </c>
      <c r="K20">
        <v>101</v>
      </c>
      <c r="L20">
        <v>46</v>
      </c>
      <c r="M20">
        <v>100</v>
      </c>
      <c r="N20">
        <v>101</v>
      </c>
      <c r="O20">
        <v>177</v>
      </c>
      <c r="P20">
        <v>102</v>
      </c>
      <c r="Q20">
        <v>106</v>
      </c>
      <c r="R20">
        <v>74</v>
      </c>
      <c r="S20">
        <v>89</v>
      </c>
      <c r="T20">
        <v>10000</v>
      </c>
      <c r="U20">
        <v>59</v>
      </c>
      <c r="V20" s="8">
        <v>142</v>
      </c>
    </row>
    <row r="21" spans="1:22">
      <c r="A21" s="7">
        <v>19</v>
      </c>
      <c r="B21" t="str" cm="1">
        <f t="array" ref="B21">INDEX(Hotspot!$B$2:$B$21,ROW(A19))</f>
        <v>The Mills</v>
      </c>
      <c r="C21">
        <v>69</v>
      </c>
      <c r="D21">
        <v>50</v>
      </c>
      <c r="E21">
        <v>154</v>
      </c>
      <c r="F21">
        <v>16</v>
      </c>
      <c r="G21">
        <v>51</v>
      </c>
      <c r="H21">
        <v>45</v>
      </c>
      <c r="I21">
        <v>35</v>
      </c>
      <c r="J21">
        <v>49</v>
      </c>
      <c r="K21">
        <v>139</v>
      </c>
      <c r="L21">
        <v>36</v>
      </c>
      <c r="M21">
        <v>81</v>
      </c>
      <c r="N21">
        <v>170</v>
      </c>
      <c r="O21">
        <v>27</v>
      </c>
      <c r="P21">
        <v>109</v>
      </c>
      <c r="Q21">
        <v>145</v>
      </c>
      <c r="R21">
        <v>42</v>
      </c>
      <c r="S21">
        <v>58</v>
      </c>
      <c r="T21">
        <v>72</v>
      </c>
      <c r="U21">
        <v>10000</v>
      </c>
      <c r="V21" s="8">
        <v>133</v>
      </c>
    </row>
    <row r="22" spans="1:22">
      <c r="A22" s="9">
        <v>20</v>
      </c>
      <c r="B22" s="10" t="str" cm="1">
        <f t="array" ref="B22">INDEX(Hotspot!$B$2:$B$21,ROW(A20))</f>
        <v>Tian Tan Buddha</v>
      </c>
      <c r="C22" s="10">
        <v>137</v>
      </c>
      <c r="D22" s="10">
        <v>174</v>
      </c>
      <c r="E22" s="10">
        <v>227</v>
      </c>
      <c r="F22" s="10">
        <v>128</v>
      </c>
      <c r="G22" s="10">
        <v>104</v>
      </c>
      <c r="H22" s="10">
        <v>153</v>
      </c>
      <c r="I22" s="10">
        <v>137</v>
      </c>
      <c r="J22" s="10">
        <v>139</v>
      </c>
      <c r="K22" s="10">
        <v>195</v>
      </c>
      <c r="L22" s="10">
        <v>137</v>
      </c>
      <c r="M22" s="10">
        <v>175</v>
      </c>
      <c r="N22" s="10">
        <v>192</v>
      </c>
      <c r="O22" s="10">
        <v>148</v>
      </c>
      <c r="P22" s="10">
        <v>192</v>
      </c>
      <c r="Q22" s="10">
        <v>180</v>
      </c>
      <c r="R22" s="10">
        <v>148</v>
      </c>
      <c r="S22" s="10">
        <v>183</v>
      </c>
      <c r="T22" s="10">
        <v>183</v>
      </c>
      <c r="U22" s="10">
        <v>133</v>
      </c>
      <c r="V22">
        <v>10000</v>
      </c>
    </row>
    <row r="24" spans="1:22">
      <c r="A24" t="s">
        <v>52</v>
      </c>
    </row>
    <row r="25" spans="1:22">
      <c r="A25" s="2"/>
      <c r="B25" s="3" t="s">
        <v>53</v>
      </c>
      <c r="C25" s="3">
        <v>1</v>
      </c>
      <c r="D25" s="3">
        <v>2</v>
      </c>
      <c r="E25" s="3">
        <v>3</v>
      </c>
      <c r="F25" s="3">
        <v>4</v>
      </c>
      <c r="G25" s="3">
        <v>5</v>
      </c>
      <c r="H25" s="3">
        <v>6</v>
      </c>
      <c r="I25" s="3">
        <v>7</v>
      </c>
      <c r="J25" s="3">
        <v>8</v>
      </c>
      <c r="K25" s="3">
        <v>9</v>
      </c>
      <c r="L25" s="3">
        <v>10</v>
      </c>
      <c r="M25" s="3">
        <v>11</v>
      </c>
      <c r="N25" s="3">
        <v>12</v>
      </c>
      <c r="O25" s="3">
        <v>13</v>
      </c>
      <c r="P25" s="3">
        <v>14</v>
      </c>
      <c r="Q25" s="3">
        <v>15</v>
      </c>
      <c r="R25" s="3">
        <v>16</v>
      </c>
      <c r="S25" s="3">
        <v>17</v>
      </c>
      <c r="T25" s="3">
        <v>18</v>
      </c>
      <c r="U25" s="3">
        <v>19</v>
      </c>
      <c r="V25" s="4">
        <v>20</v>
      </c>
    </row>
    <row r="26" spans="1:22" ht="29.25" customHeight="1">
      <c r="A26" s="5"/>
      <c r="B26" s="1" t="s">
        <v>51</v>
      </c>
      <c r="C26" s="1" t="str" cm="1">
        <f t="array" ref="C26">INDEX(Hotspot!$B$2:$B$21,C25)</f>
        <v>Airport</v>
      </c>
      <c r="D26" s="1" t="str" cm="1">
        <f t="array" ref="D26">INDEX(Hotspot!$B$2:$B$21,D25)</f>
        <v>Causeway Bay</v>
      </c>
      <c r="E26" s="1" t="str" cm="1">
        <f t="array" ref="E26">INDEX(Hotspot!$B$2:$B$21,E25)</f>
        <v>Cheung Chau</v>
      </c>
      <c r="F26" s="1" t="str" cm="1">
        <f t="array" ref="F26">INDEX(Hotspot!$B$2:$B$21,F25)</f>
        <v>Chuen Lung Street</v>
      </c>
      <c r="G26" s="1" t="str" cm="1">
        <f t="array" ref="G26">INDEX(Hotspot!$B$2:$B$21,G25)</f>
        <v>Disneyland</v>
      </c>
      <c r="H26" s="1" t="str" cm="1">
        <f t="array" ref="H26">INDEX(Hotspot!$B$2:$B$21,H25)</f>
        <v>HKU</v>
      </c>
      <c r="I26" s="1" t="str" cm="1">
        <f t="array" ref="I26">INDEX(Hotspot!$B$2:$B$21,I25)</f>
        <v>Hong Kong Space Museum</v>
      </c>
      <c r="J26" s="1" t="str" cm="1">
        <f t="array" ref="J26">INDEX(Hotspot!$B$2:$B$21,J25)</f>
        <v>M+</v>
      </c>
      <c r="K26" s="1" t="str" cm="1">
        <f t="array" ref="K26">INDEX(Hotspot!$B$2:$B$21,K25)</f>
        <v>Mai Po Nature Reserve</v>
      </c>
      <c r="L26" s="1" t="str" cm="1">
        <f t="array" ref="L26">INDEX(Hotspot!$B$2:$B$21,L25)</f>
        <v>Mong Kok</v>
      </c>
      <c r="M26" s="1" t="str" cm="1">
        <f t="array" ref="M26">INDEX(Hotspot!$B$2:$B$21,M25)</f>
        <v>Orean Park</v>
      </c>
      <c r="N26" s="1" t="str" cm="1">
        <f t="array" ref="N26">INDEX(Hotspot!$B$2:$B$21,N25)</f>
        <v>Sai Kung</v>
      </c>
      <c r="O26" s="1" t="str" cm="1">
        <f t="array" ref="O26">INDEX(Hotspot!$B$2:$B$21,O25)</f>
        <v>Sham Tseng</v>
      </c>
      <c r="P26" s="1" t="str" cm="1">
        <f t="array" ref="P26">INDEX(Hotspot!$B$2:$B$21,P25)</f>
        <v>Shek O</v>
      </c>
      <c r="Q26" s="1" t="str" cm="1">
        <f t="array" ref="Q26">INDEX(Hotspot!$B$2:$B$21,Q25)</f>
        <v>Stanley</v>
      </c>
      <c r="R26" s="1" t="str" cm="1">
        <f t="array" ref="R26">INDEX(Hotspot!$B$2:$B$21,R25)</f>
        <v>Tai Kwun, Central</v>
      </c>
      <c r="S26" s="1" t="str" cm="1">
        <f t="array" ref="S26">INDEX(Hotspot!$B$2:$B$21,S25)</f>
        <v>Tai On Night market, Sai Wan Ho</v>
      </c>
      <c r="T26" s="1" t="str" cm="1">
        <f t="array" ref="T26">INDEX(Hotspot!$B$2:$B$21,T25)</f>
        <v>Tai Po Insect House</v>
      </c>
      <c r="U26" s="1" t="str" cm="1">
        <f t="array" ref="U26">INDEX(Hotspot!$B$2:$B$21,U25)</f>
        <v>The Mills</v>
      </c>
      <c r="V26" s="6" t="str" cm="1">
        <f t="array" ref="V26">INDEX(Hotspot!$B$2:$B$21,V25)</f>
        <v>Tian Tan Buddha</v>
      </c>
    </row>
    <row r="27" spans="1:22">
      <c r="A27" s="7">
        <v>1</v>
      </c>
      <c r="B27" t="s">
        <v>8</v>
      </c>
      <c r="C27">
        <v>10000</v>
      </c>
      <c r="D27">
        <v>110</v>
      </c>
      <c r="E27">
        <v>123.6</v>
      </c>
      <c r="F27">
        <v>10.8</v>
      </c>
      <c r="G27">
        <v>65</v>
      </c>
      <c r="H27">
        <v>45</v>
      </c>
      <c r="I27">
        <v>65</v>
      </c>
      <c r="J27">
        <v>45</v>
      </c>
      <c r="K27">
        <v>19.5</v>
      </c>
      <c r="L27">
        <v>37</v>
      </c>
      <c r="M27">
        <v>65</v>
      </c>
      <c r="N27">
        <v>33.200000000000003</v>
      </c>
      <c r="O27">
        <v>18.899999999999999</v>
      </c>
      <c r="P27">
        <v>120</v>
      </c>
      <c r="Q27">
        <v>117</v>
      </c>
      <c r="R27">
        <v>65</v>
      </c>
      <c r="S27">
        <v>45</v>
      </c>
      <c r="T27">
        <v>27.7</v>
      </c>
      <c r="U27">
        <v>76.8</v>
      </c>
      <c r="V27" s="8">
        <v>173.9</v>
      </c>
    </row>
    <row r="28" spans="1:22">
      <c r="A28" s="7">
        <v>2</v>
      </c>
      <c r="B28" t="s">
        <v>12</v>
      </c>
      <c r="C28">
        <v>65</v>
      </c>
      <c r="D28">
        <v>10000</v>
      </c>
      <c r="E28">
        <v>22.5</v>
      </c>
      <c r="F28">
        <v>14.9</v>
      </c>
      <c r="G28">
        <v>26.5</v>
      </c>
      <c r="H28">
        <v>7</v>
      </c>
      <c r="I28">
        <v>12.5</v>
      </c>
      <c r="J28">
        <v>10.9</v>
      </c>
      <c r="K28">
        <v>33.4</v>
      </c>
      <c r="L28">
        <v>12.5</v>
      </c>
      <c r="M28">
        <v>5.6</v>
      </c>
      <c r="N28">
        <v>25.3</v>
      </c>
      <c r="O28">
        <v>21.8</v>
      </c>
      <c r="P28">
        <v>18.7</v>
      </c>
      <c r="Q28">
        <v>10.8</v>
      </c>
      <c r="R28">
        <v>5.6</v>
      </c>
      <c r="S28">
        <v>7</v>
      </c>
      <c r="T28">
        <v>24.7</v>
      </c>
      <c r="U28">
        <v>23</v>
      </c>
      <c r="V28" s="8">
        <v>50.1</v>
      </c>
    </row>
    <row r="29" spans="1:22">
      <c r="A29" s="7">
        <v>3</v>
      </c>
      <c r="B29" t="s">
        <v>16</v>
      </c>
      <c r="C29">
        <v>130.80000000000001</v>
      </c>
      <c r="D29">
        <v>22.5</v>
      </c>
      <c r="E29">
        <v>10000</v>
      </c>
      <c r="F29">
        <v>28.5</v>
      </c>
      <c r="G29">
        <v>47.9</v>
      </c>
      <c r="H29">
        <v>19.2</v>
      </c>
      <c r="I29">
        <v>16.3</v>
      </c>
      <c r="J29">
        <v>23.7</v>
      </c>
      <c r="K29">
        <v>47</v>
      </c>
      <c r="L29">
        <v>26.1</v>
      </c>
      <c r="M29">
        <v>28</v>
      </c>
      <c r="N29">
        <v>38.200000000000003</v>
      </c>
      <c r="O29">
        <v>36.9</v>
      </c>
      <c r="P29">
        <v>29.5</v>
      </c>
      <c r="Q29" s="1">
        <v>26.4</v>
      </c>
      <c r="R29">
        <v>19.899999999999999</v>
      </c>
      <c r="S29">
        <v>22.3</v>
      </c>
      <c r="T29">
        <v>39.200000000000003</v>
      </c>
      <c r="U29">
        <v>31.6</v>
      </c>
      <c r="V29" s="8">
        <v>40.4</v>
      </c>
    </row>
    <row r="30" spans="1:22">
      <c r="A30" s="7">
        <v>4</v>
      </c>
      <c r="B30" t="s">
        <v>20</v>
      </c>
      <c r="C30">
        <v>18.899999999999999</v>
      </c>
      <c r="D30">
        <v>14.9</v>
      </c>
      <c r="E30">
        <v>28.5</v>
      </c>
      <c r="F30">
        <v>10000</v>
      </c>
      <c r="G30">
        <v>17.7</v>
      </c>
      <c r="H30">
        <v>14.9</v>
      </c>
      <c r="I30">
        <v>10.5</v>
      </c>
      <c r="J30">
        <v>10.5</v>
      </c>
      <c r="K30">
        <v>19.8</v>
      </c>
      <c r="L30">
        <v>13</v>
      </c>
      <c r="M30">
        <v>14.9</v>
      </c>
      <c r="N30">
        <v>20.2</v>
      </c>
      <c r="O30">
        <v>6.5</v>
      </c>
      <c r="P30">
        <v>24.9</v>
      </c>
      <c r="Q30">
        <v>27.7</v>
      </c>
      <c r="R30">
        <v>14.9</v>
      </c>
      <c r="S30">
        <v>14.9</v>
      </c>
      <c r="T30">
        <v>10.7</v>
      </c>
      <c r="U30">
        <v>3.8</v>
      </c>
      <c r="V30" s="8">
        <v>42</v>
      </c>
    </row>
    <row r="31" spans="1:22">
      <c r="A31" s="7">
        <v>5</v>
      </c>
      <c r="B31" t="s">
        <v>24</v>
      </c>
      <c r="C31">
        <v>65</v>
      </c>
      <c r="D31">
        <v>15.2</v>
      </c>
      <c r="E31">
        <v>34.6</v>
      </c>
      <c r="F31">
        <v>17.7</v>
      </c>
      <c r="G31">
        <v>10000</v>
      </c>
      <c r="H31">
        <v>26.5</v>
      </c>
      <c r="I31">
        <v>21</v>
      </c>
      <c r="J31">
        <v>21</v>
      </c>
      <c r="K31">
        <v>42.5</v>
      </c>
      <c r="L31">
        <v>21</v>
      </c>
      <c r="M31">
        <v>26.5</v>
      </c>
      <c r="N31">
        <v>29.9</v>
      </c>
      <c r="O31">
        <v>7</v>
      </c>
      <c r="P31">
        <v>26.5</v>
      </c>
      <c r="Q31">
        <v>26.5</v>
      </c>
      <c r="R31">
        <v>26.5</v>
      </c>
      <c r="S31">
        <v>26.5</v>
      </c>
      <c r="T31">
        <v>28.8</v>
      </c>
      <c r="U31">
        <v>17.7</v>
      </c>
      <c r="V31" s="8">
        <v>42</v>
      </c>
    </row>
    <row r="32" spans="1:22">
      <c r="A32" s="7">
        <v>6</v>
      </c>
      <c r="B32" t="s">
        <v>28</v>
      </c>
      <c r="C32">
        <v>110</v>
      </c>
      <c r="D32">
        <v>7</v>
      </c>
      <c r="E32">
        <v>19.2</v>
      </c>
      <c r="F32">
        <v>14.9</v>
      </c>
      <c r="G32">
        <v>26.5</v>
      </c>
      <c r="H32">
        <v>10000</v>
      </c>
      <c r="I32">
        <v>12.5</v>
      </c>
      <c r="J32">
        <v>11.6</v>
      </c>
      <c r="K32">
        <v>33.4</v>
      </c>
      <c r="L32">
        <v>11.6</v>
      </c>
      <c r="M32">
        <v>7</v>
      </c>
      <c r="N32">
        <v>25.3</v>
      </c>
      <c r="O32">
        <v>26.5</v>
      </c>
      <c r="P32">
        <v>18.7</v>
      </c>
      <c r="Q32">
        <v>7.3</v>
      </c>
      <c r="R32">
        <v>5.6</v>
      </c>
      <c r="S32">
        <v>8.6999999999999993</v>
      </c>
      <c r="T32">
        <v>21.8</v>
      </c>
      <c r="U32">
        <v>18.7</v>
      </c>
      <c r="V32" s="8">
        <v>50.1</v>
      </c>
    </row>
    <row r="33" spans="1:22">
      <c r="A33" s="7">
        <v>7</v>
      </c>
      <c r="B33" t="s">
        <v>54</v>
      </c>
      <c r="C33">
        <v>65</v>
      </c>
      <c r="D33">
        <v>12.5</v>
      </c>
      <c r="E33">
        <v>16.3</v>
      </c>
      <c r="F33">
        <v>10.5</v>
      </c>
      <c r="G33">
        <v>21</v>
      </c>
      <c r="H33">
        <v>12.5</v>
      </c>
      <c r="I33">
        <v>10000</v>
      </c>
      <c r="J33">
        <v>6.8</v>
      </c>
      <c r="K33">
        <v>42.2</v>
      </c>
      <c r="L33">
        <v>5.6</v>
      </c>
      <c r="M33">
        <v>12.5</v>
      </c>
      <c r="N33">
        <v>14.4</v>
      </c>
      <c r="O33">
        <v>18.8</v>
      </c>
      <c r="P33">
        <v>24.9</v>
      </c>
      <c r="Q33">
        <v>22.9</v>
      </c>
      <c r="R33">
        <v>10.1</v>
      </c>
      <c r="S33">
        <v>14.9</v>
      </c>
      <c r="T33">
        <v>11.7</v>
      </c>
      <c r="U33">
        <v>10.5</v>
      </c>
      <c r="V33" s="8">
        <v>44.7</v>
      </c>
    </row>
    <row r="34" spans="1:22">
      <c r="A34" s="7">
        <v>8</v>
      </c>
      <c r="B34" t="s">
        <v>55</v>
      </c>
      <c r="C34">
        <v>65</v>
      </c>
      <c r="D34">
        <v>10.9</v>
      </c>
      <c r="E34">
        <v>23.7</v>
      </c>
      <c r="F34">
        <v>18.8</v>
      </c>
      <c r="G34">
        <v>21</v>
      </c>
      <c r="H34">
        <v>13</v>
      </c>
      <c r="I34">
        <v>0</v>
      </c>
      <c r="J34">
        <v>10000</v>
      </c>
      <c r="K34">
        <v>26.2</v>
      </c>
      <c r="L34">
        <v>6.2</v>
      </c>
      <c r="M34">
        <v>12.5</v>
      </c>
      <c r="N34">
        <v>18.399999999999999</v>
      </c>
      <c r="O34">
        <v>16</v>
      </c>
      <c r="P34">
        <v>23.1</v>
      </c>
      <c r="Q34">
        <v>16.2</v>
      </c>
      <c r="R34">
        <v>10.4</v>
      </c>
      <c r="S34">
        <v>19</v>
      </c>
      <c r="T34">
        <v>12.7</v>
      </c>
      <c r="U34">
        <v>10.199999999999999</v>
      </c>
      <c r="V34" s="8">
        <v>17.7</v>
      </c>
    </row>
    <row r="35" spans="1:22">
      <c r="A35" s="7">
        <v>9</v>
      </c>
      <c r="B35" t="s">
        <v>37</v>
      </c>
      <c r="C35">
        <v>39.9</v>
      </c>
      <c r="D35">
        <v>33.4</v>
      </c>
      <c r="E35">
        <v>58.1</v>
      </c>
      <c r="F35">
        <v>19.8</v>
      </c>
      <c r="G35">
        <v>42.5</v>
      </c>
      <c r="H35">
        <v>40.299999999999997</v>
      </c>
      <c r="I35">
        <v>42.2</v>
      </c>
      <c r="J35">
        <v>33.1</v>
      </c>
      <c r="K35">
        <v>10000</v>
      </c>
      <c r="L35">
        <v>32.1</v>
      </c>
      <c r="M35">
        <v>51.8</v>
      </c>
      <c r="N35">
        <v>26.2</v>
      </c>
      <c r="O35">
        <v>32.9</v>
      </c>
      <c r="P35">
        <v>39.5</v>
      </c>
      <c r="Q35">
        <v>41.8</v>
      </c>
      <c r="R35">
        <v>40.299999999999997</v>
      </c>
      <c r="S35">
        <v>41.2</v>
      </c>
      <c r="T35">
        <v>27.3</v>
      </c>
      <c r="U35">
        <v>45.9</v>
      </c>
      <c r="V35" s="8">
        <v>69.099999999999994</v>
      </c>
    </row>
    <row r="36" spans="1:22">
      <c r="A36" s="7">
        <v>10</v>
      </c>
      <c r="B36" t="s">
        <v>39</v>
      </c>
      <c r="C36">
        <v>33</v>
      </c>
      <c r="D36">
        <v>12.5</v>
      </c>
      <c r="E36">
        <v>26.1</v>
      </c>
      <c r="F36">
        <v>8.6999999999999993</v>
      </c>
      <c r="G36">
        <v>21</v>
      </c>
      <c r="H36">
        <v>13</v>
      </c>
      <c r="I36">
        <v>5.6</v>
      </c>
      <c r="J36">
        <v>5.4</v>
      </c>
      <c r="K36">
        <v>25.3</v>
      </c>
      <c r="L36">
        <v>10000</v>
      </c>
      <c r="M36">
        <v>12.5</v>
      </c>
      <c r="N36">
        <v>18</v>
      </c>
      <c r="O36">
        <v>23</v>
      </c>
      <c r="P36">
        <v>19.2</v>
      </c>
      <c r="Q36">
        <v>25.3</v>
      </c>
      <c r="R36">
        <v>14.9</v>
      </c>
      <c r="S36">
        <v>12.5</v>
      </c>
      <c r="T36">
        <v>14</v>
      </c>
      <c r="U36">
        <v>12</v>
      </c>
      <c r="V36" s="8">
        <v>44.7</v>
      </c>
    </row>
    <row r="37" spans="1:22">
      <c r="A37" s="7">
        <v>11</v>
      </c>
      <c r="B37" t="s">
        <v>40</v>
      </c>
      <c r="C37">
        <v>65</v>
      </c>
      <c r="D37">
        <v>5.8</v>
      </c>
      <c r="E37">
        <v>19.399999999999999</v>
      </c>
      <c r="F37">
        <v>14.9</v>
      </c>
      <c r="G37">
        <v>26.5</v>
      </c>
      <c r="H37">
        <v>7</v>
      </c>
      <c r="I37">
        <v>12.5</v>
      </c>
      <c r="J37">
        <v>12.5</v>
      </c>
      <c r="K37">
        <v>34.299999999999997</v>
      </c>
      <c r="L37">
        <v>12.5</v>
      </c>
      <c r="M37">
        <v>10000</v>
      </c>
      <c r="N37">
        <v>30.5</v>
      </c>
      <c r="O37">
        <v>27</v>
      </c>
      <c r="P37">
        <v>18.7</v>
      </c>
      <c r="Q37">
        <v>19.8</v>
      </c>
      <c r="R37">
        <v>5.6</v>
      </c>
      <c r="S37">
        <v>8.6999999999999993</v>
      </c>
      <c r="T37">
        <v>21.8</v>
      </c>
      <c r="U37">
        <v>14.9</v>
      </c>
      <c r="V37" s="8">
        <v>53.5</v>
      </c>
    </row>
    <row r="38" spans="1:22">
      <c r="A38" s="7">
        <v>12</v>
      </c>
      <c r="B38" t="s">
        <v>41</v>
      </c>
      <c r="C38">
        <v>33.200000000000003</v>
      </c>
      <c r="D38">
        <v>20.7</v>
      </c>
      <c r="E38">
        <v>44.8</v>
      </c>
      <c r="F38">
        <v>17.7</v>
      </c>
      <c r="G38">
        <v>32.799999999999997</v>
      </c>
      <c r="H38">
        <v>21.9</v>
      </c>
      <c r="I38">
        <v>15.7</v>
      </c>
      <c r="J38">
        <v>15.7</v>
      </c>
      <c r="K38">
        <v>26</v>
      </c>
      <c r="L38">
        <v>18</v>
      </c>
      <c r="M38">
        <v>25.8</v>
      </c>
      <c r="N38">
        <v>10000</v>
      </c>
      <c r="O38">
        <v>22.7</v>
      </c>
      <c r="P38">
        <v>33.5</v>
      </c>
      <c r="Q38">
        <v>33.5</v>
      </c>
      <c r="R38">
        <v>21.9</v>
      </c>
      <c r="S38">
        <v>19.5</v>
      </c>
      <c r="T38">
        <v>17.899999999999999</v>
      </c>
      <c r="U38">
        <v>13.6</v>
      </c>
      <c r="V38" s="8">
        <v>55</v>
      </c>
    </row>
    <row r="39" spans="1:22">
      <c r="A39" s="7">
        <v>13</v>
      </c>
      <c r="B39" t="s">
        <v>42</v>
      </c>
      <c r="C39">
        <v>18.899999999999999</v>
      </c>
      <c r="D39">
        <v>21.8</v>
      </c>
      <c r="E39">
        <v>35.4</v>
      </c>
      <c r="F39">
        <v>6.5</v>
      </c>
      <c r="G39">
        <v>24</v>
      </c>
      <c r="H39">
        <v>26.5</v>
      </c>
      <c r="I39">
        <v>16.899999999999999</v>
      </c>
      <c r="J39">
        <v>21.8</v>
      </c>
      <c r="K39">
        <v>26.2</v>
      </c>
      <c r="L39">
        <v>22</v>
      </c>
      <c r="M39">
        <v>28.8</v>
      </c>
      <c r="N39">
        <v>22.7</v>
      </c>
      <c r="O39">
        <v>10000</v>
      </c>
      <c r="P39">
        <v>38.700000000000003</v>
      </c>
      <c r="Q39">
        <v>35.5</v>
      </c>
      <c r="R39">
        <v>21.8</v>
      </c>
      <c r="S39">
        <v>25.1</v>
      </c>
      <c r="T39">
        <v>22.8</v>
      </c>
      <c r="U39">
        <v>6.5</v>
      </c>
      <c r="V39" s="8">
        <v>50.4</v>
      </c>
    </row>
    <row r="40" spans="1:22">
      <c r="A40" s="7">
        <v>14</v>
      </c>
      <c r="B40" t="s">
        <v>43</v>
      </c>
      <c r="C40">
        <v>120</v>
      </c>
      <c r="D40">
        <v>18.7</v>
      </c>
      <c r="E40">
        <v>26.5</v>
      </c>
      <c r="F40">
        <v>24.9</v>
      </c>
      <c r="G40">
        <v>36.5</v>
      </c>
      <c r="H40">
        <v>18.7</v>
      </c>
      <c r="I40">
        <v>24.9</v>
      </c>
      <c r="J40">
        <v>23.1</v>
      </c>
      <c r="K40">
        <v>42.5</v>
      </c>
      <c r="L40">
        <v>19.8</v>
      </c>
      <c r="M40">
        <v>10.5</v>
      </c>
      <c r="N40">
        <v>33.5</v>
      </c>
      <c r="O40">
        <v>35.200000000000003</v>
      </c>
      <c r="P40">
        <v>10000</v>
      </c>
      <c r="Q40">
        <v>18.8</v>
      </c>
      <c r="R40">
        <v>18.7</v>
      </c>
      <c r="S40">
        <v>14.7</v>
      </c>
      <c r="T40">
        <v>33.799999999999997</v>
      </c>
      <c r="U40">
        <v>14.1</v>
      </c>
      <c r="V40" s="8">
        <v>61.7</v>
      </c>
    </row>
    <row r="41" spans="1:22">
      <c r="A41" s="7">
        <v>15</v>
      </c>
      <c r="B41" t="s">
        <v>44</v>
      </c>
      <c r="C41">
        <v>117</v>
      </c>
      <c r="D41">
        <v>17.5</v>
      </c>
      <c r="E41">
        <v>2.64</v>
      </c>
      <c r="F41">
        <v>27.7</v>
      </c>
      <c r="G41">
        <v>39.299999999999997</v>
      </c>
      <c r="H41">
        <v>16.2</v>
      </c>
      <c r="I41">
        <v>22.9</v>
      </c>
      <c r="J41">
        <v>16.2</v>
      </c>
      <c r="K41">
        <v>46.2</v>
      </c>
      <c r="L41">
        <v>19.5</v>
      </c>
      <c r="M41">
        <v>10.7</v>
      </c>
      <c r="N41">
        <v>33.5</v>
      </c>
      <c r="O41">
        <v>32.1</v>
      </c>
      <c r="P41">
        <v>18.8</v>
      </c>
      <c r="Q41">
        <v>10000</v>
      </c>
      <c r="R41">
        <v>9.8000000000000007</v>
      </c>
      <c r="S41">
        <v>10.6</v>
      </c>
      <c r="T41">
        <v>113</v>
      </c>
      <c r="U41">
        <v>14.1</v>
      </c>
      <c r="V41" s="8">
        <v>62.9</v>
      </c>
    </row>
    <row r="42" spans="1:22">
      <c r="A42" s="7">
        <v>16</v>
      </c>
      <c r="B42" t="s">
        <v>56</v>
      </c>
      <c r="C42">
        <v>40</v>
      </c>
      <c r="D42">
        <v>5.6</v>
      </c>
      <c r="E42">
        <v>21.8</v>
      </c>
      <c r="F42">
        <v>14.9</v>
      </c>
      <c r="G42">
        <v>26.5</v>
      </c>
      <c r="H42">
        <v>5.6</v>
      </c>
      <c r="I42">
        <v>10.1</v>
      </c>
      <c r="J42">
        <v>21.9</v>
      </c>
      <c r="K42">
        <v>33.4</v>
      </c>
      <c r="L42">
        <v>12.5</v>
      </c>
      <c r="M42">
        <v>5.6</v>
      </c>
      <c r="N42">
        <v>22.1</v>
      </c>
      <c r="O42">
        <v>21.8</v>
      </c>
      <c r="P42">
        <v>18.7</v>
      </c>
      <c r="Q42">
        <v>17.5</v>
      </c>
      <c r="R42">
        <v>10000</v>
      </c>
      <c r="S42">
        <v>7.7</v>
      </c>
      <c r="T42">
        <v>18.899999999999999</v>
      </c>
      <c r="U42">
        <v>18.8</v>
      </c>
      <c r="V42" s="8">
        <v>50.1</v>
      </c>
    </row>
    <row r="43" spans="1:22">
      <c r="A43" s="7">
        <v>17</v>
      </c>
      <c r="B43" t="s">
        <v>57</v>
      </c>
      <c r="C43">
        <v>110</v>
      </c>
      <c r="D43">
        <v>6.7</v>
      </c>
      <c r="E43">
        <v>18.3</v>
      </c>
      <c r="F43">
        <v>14.9</v>
      </c>
      <c r="G43">
        <v>26.5</v>
      </c>
      <c r="H43">
        <v>8.6999999999999993</v>
      </c>
      <c r="I43">
        <v>14.9</v>
      </c>
      <c r="J43">
        <v>14.9</v>
      </c>
      <c r="K43">
        <v>34.299999999999997</v>
      </c>
      <c r="L43">
        <v>13</v>
      </c>
      <c r="M43">
        <v>8.6999999999999993</v>
      </c>
      <c r="N43">
        <v>20.7</v>
      </c>
      <c r="O43">
        <v>27</v>
      </c>
      <c r="P43">
        <v>10</v>
      </c>
      <c r="Q43">
        <v>10.5</v>
      </c>
      <c r="R43">
        <v>7.7</v>
      </c>
      <c r="S43">
        <v>10000</v>
      </c>
      <c r="T43">
        <v>21.8</v>
      </c>
      <c r="U43">
        <v>14.1</v>
      </c>
      <c r="V43" s="8">
        <v>53.5</v>
      </c>
    </row>
    <row r="44" spans="1:22">
      <c r="A44" s="7">
        <v>18</v>
      </c>
      <c r="B44" t="s">
        <v>58</v>
      </c>
      <c r="C44">
        <v>27.7</v>
      </c>
      <c r="D44">
        <v>24.7</v>
      </c>
      <c r="E44">
        <v>43.3</v>
      </c>
      <c r="F44">
        <v>10.7</v>
      </c>
      <c r="G44">
        <v>28.8</v>
      </c>
      <c r="H44">
        <v>21.8</v>
      </c>
      <c r="I44">
        <v>11.7</v>
      </c>
      <c r="J44">
        <v>11.7</v>
      </c>
      <c r="K44">
        <v>27.3</v>
      </c>
      <c r="L44">
        <v>10.7</v>
      </c>
      <c r="M44">
        <v>21.8</v>
      </c>
      <c r="N44">
        <v>17.100000000000001</v>
      </c>
      <c r="O44">
        <v>22.8</v>
      </c>
      <c r="P44">
        <v>37.700000000000003</v>
      </c>
      <c r="Q44">
        <v>31.7</v>
      </c>
      <c r="R44">
        <v>24.7</v>
      </c>
      <c r="S44">
        <v>21.8</v>
      </c>
      <c r="T44">
        <v>10000</v>
      </c>
      <c r="U44">
        <v>16.899999999999999</v>
      </c>
      <c r="V44" s="8">
        <v>40.9</v>
      </c>
    </row>
    <row r="45" spans="1:22">
      <c r="A45" s="7">
        <v>19</v>
      </c>
      <c r="B45" t="s">
        <v>59</v>
      </c>
      <c r="C45">
        <v>68.8</v>
      </c>
      <c r="D45">
        <v>23</v>
      </c>
      <c r="E45">
        <v>31.6</v>
      </c>
      <c r="F45">
        <v>3.8</v>
      </c>
      <c r="G45">
        <v>17.7</v>
      </c>
      <c r="H45">
        <v>19</v>
      </c>
      <c r="I45">
        <v>10.5</v>
      </c>
      <c r="J45">
        <v>10.5</v>
      </c>
      <c r="K45">
        <v>45.9</v>
      </c>
      <c r="L45">
        <v>8.6999999999999993</v>
      </c>
      <c r="M45">
        <v>14.9</v>
      </c>
      <c r="N45">
        <v>13.6</v>
      </c>
      <c r="O45">
        <v>6.5</v>
      </c>
      <c r="P45">
        <v>28.6</v>
      </c>
      <c r="Q45">
        <v>14.1</v>
      </c>
      <c r="R45">
        <v>16</v>
      </c>
      <c r="S45">
        <v>17.899999999999999</v>
      </c>
      <c r="T45">
        <v>10.7</v>
      </c>
      <c r="U45">
        <v>10000</v>
      </c>
      <c r="V45" s="8">
        <v>14.2</v>
      </c>
    </row>
    <row r="46" spans="1:22">
      <c r="A46" s="9">
        <v>20</v>
      </c>
      <c r="B46" s="10" t="s">
        <v>49</v>
      </c>
      <c r="C46" s="10">
        <v>92</v>
      </c>
      <c r="D46" s="10">
        <v>15.2</v>
      </c>
      <c r="E46" s="10">
        <v>31.1</v>
      </c>
      <c r="F46" s="10">
        <v>42</v>
      </c>
      <c r="G46" s="10">
        <v>42</v>
      </c>
      <c r="H46" s="10">
        <v>50.1</v>
      </c>
      <c r="I46" s="10">
        <v>44.7</v>
      </c>
      <c r="J46" s="10">
        <v>17.7</v>
      </c>
      <c r="K46" s="10">
        <v>46.5</v>
      </c>
      <c r="L46" s="10">
        <v>44.7</v>
      </c>
      <c r="M46" s="10">
        <v>26.5</v>
      </c>
      <c r="N46" s="10">
        <v>57.7</v>
      </c>
      <c r="O46" s="10">
        <v>50.4</v>
      </c>
      <c r="P46" s="10">
        <v>61.7</v>
      </c>
      <c r="Q46" s="10">
        <v>62.9</v>
      </c>
      <c r="R46" s="10">
        <v>50.1</v>
      </c>
      <c r="S46" s="10">
        <v>53.5</v>
      </c>
      <c r="T46" s="10">
        <v>25.8</v>
      </c>
      <c r="U46" s="10">
        <v>14.2</v>
      </c>
      <c r="V46">
        <v>10000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3983-6832-5445-9B9E-8866FB460A66}">
  <dimension ref="A1:AD32"/>
  <sheetViews>
    <sheetView zoomScale="140" zoomScaleNormal="100" workbookViewId="0">
      <selection activeCell="V17" sqref="V17"/>
    </sheetView>
  </sheetViews>
  <sheetFormatPr baseColWidth="10" defaultColWidth="10.83203125" defaultRowHeight="16.5" customHeight="1"/>
  <cols>
    <col min="1" max="3" width="10.83203125" style="27"/>
    <col min="4" max="4" width="28.5" style="28" customWidth="1"/>
    <col min="5" max="5" width="10.83203125" style="27"/>
    <col min="6" max="6" width="8.83203125" style="27" customWidth="1"/>
    <col min="7" max="7" width="12.6640625" style="27" customWidth="1"/>
    <col min="8" max="8" width="7.33203125" style="27" customWidth="1"/>
    <col min="9" max="9" width="24.33203125" style="27" customWidth="1"/>
    <col min="10" max="10" width="10.83203125" style="27"/>
    <col min="11" max="19" width="0" style="27" hidden="1" customWidth="1"/>
    <col min="20" max="16384" width="10.83203125" style="27"/>
  </cols>
  <sheetData>
    <row r="1" spans="1:30" ht="18">
      <c r="A1" s="139" t="s">
        <v>60</v>
      </c>
      <c r="B1" s="140"/>
      <c r="C1" s="140"/>
      <c r="D1" s="140"/>
      <c r="E1" s="140"/>
      <c r="G1" s="136" t="s">
        <v>61</v>
      </c>
      <c r="H1" s="137"/>
      <c r="I1" s="138"/>
      <c r="K1" s="27" t="s">
        <v>62</v>
      </c>
    </row>
    <row r="2" spans="1:30" ht="18" hidden="1">
      <c r="A2" s="26"/>
      <c r="G2" s="133" t="s">
        <v>63</v>
      </c>
      <c r="H2" s="134"/>
      <c r="I2" s="135"/>
    </row>
    <row r="3" spans="1:30" ht="16" hidden="1">
      <c r="F3" s="28"/>
      <c r="G3" s="47" t="s">
        <v>64</v>
      </c>
      <c r="H3" s="48">
        <v>6</v>
      </c>
      <c r="I3" s="43"/>
      <c r="K3" s="27">
        <v>3</v>
      </c>
    </row>
    <row r="4" spans="1:30" ht="16" hidden="1">
      <c r="G4" s="33"/>
      <c r="I4" s="34"/>
      <c r="K4" s="27">
        <v>3</v>
      </c>
      <c r="N4" s="27">
        <v>4</v>
      </c>
      <c r="Q4" s="27">
        <v>7</v>
      </c>
    </row>
    <row r="5" spans="1:30" ht="16" hidden="1">
      <c r="G5" s="35"/>
      <c r="I5" s="34"/>
      <c r="K5" s="27" t="s">
        <v>65</v>
      </c>
      <c r="N5" s="27" t="s">
        <v>66</v>
      </c>
      <c r="Q5" s="27" t="s">
        <v>67</v>
      </c>
    </row>
    <row r="6" spans="1:30" ht="16">
      <c r="A6" s="44" t="s">
        <v>68</v>
      </c>
      <c r="B6" s="45" t="s">
        <v>69</v>
      </c>
      <c r="C6" s="46" t="s">
        <v>70</v>
      </c>
      <c r="D6" s="44" t="s">
        <v>71</v>
      </c>
      <c r="E6" s="46" t="s">
        <v>72</v>
      </c>
      <c r="G6" s="35" t="s">
        <v>73</v>
      </c>
      <c r="H6" s="27" t="s">
        <v>70</v>
      </c>
      <c r="I6" s="34" t="s">
        <v>71</v>
      </c>
      <c r="K6" s="27" t="s">
        <v>73</v>
      </c>
      <c r="L6" s="27" t="s">
        <v>70</v>
      </c>
      <c r="M6" s="27" t="s">
        <v>71</v>
      </c>
      <c r="N6" s="27" t="s">
        <v>73</v>
      </c>
      <c r="O6" s="27" t="s">
        <v>70</v>
      </c>
      <c r="P6" s="27" t="s">
        <v>71</v>
      </c>
      <c r="Q6" s="27" t="s">
        <v>73</v>
      </c>
      <c r="R6" s="27" t="s">
        <v>70</v>
      </c>
      <c r="S6" s="27" t="s">
        <v>71</v>
      </c>
      <c r="T6" s="29" t="s">
        <v>74</v>
      </c>
      <c r="U6" s="29" t="s">
        <v>75</v>
      </c>
      <c r="V6" s="29" t="s">
        <v>76</v>
      </c>
      <c r="W6" s="29" t="s">
        <v>77</v>
      </c>
      <c r="X6" s="29" t="s">
        <v>3</v>
      </c>
    </row>
    <row r="7" spans="1:30" ht="16">
      <c r="A7" s="35"/>
      <c r="C7" s="34">
        <v>1</v>
      </c>
      <c r="D7" s="33" t="str" cm="1">
        <f t="array" ref="D7:D26">hs_name</f>
        <v>Airport</v>
      </c>
      <c r="E7" s="34" t="str" cm="1">
        <f t="array" ref="E7:E26">hs_category</f>
        <v>Travel</v>
      </c>
      <c r="G7" s="35">
        <f t="shared" ref="G7:G28" si="0">IF(AND(H$3&lt;&gt;"",ROW(G1)&lt;=H$3+1,ROW(G1)&lt;=MAX(hs_ref)),ROW(G1),"")</f>
        <v>1</v>
      </c>
      <c r="H7" s="27">
        <v>1</v>
      </c>
      <c r="I7" s="36" t="str">
        <f t="shared" ref="I7:I26" si="1">IFERROR(INDEX(hs_name,MATCH($H7,hs_ref,0)),"")</f>
        <v>Airport</v>
      </c>
      <c r="K7" s="27">
        <f t="shared" ref="K7:K12" si="2">IF(AND(K$4&gt;1,ROW(K1)&lt;=K$4+1,ROW(K1)&lt;=MAX(hs_ref)),ROW(K1),"")</f>
        <v>1</v>
      </c>
      <c r="L7" s="27">
        <f>IFERROR(IF(K7=1,1,INDEX($C$8:$C$26,MATCH(K7,$B$8:$B$26,0))),"")</f>
        <v>1</v>
      </c>
      <c r="M7" s="28" t="str">
        <f t="shared" ref="M7:M26" si="3">IFERROR(INDEX(hs_name,MATCH(L7,hs_ref,0)),"")</f>
        <v>Airport</v>
      </c>
      <c r="N7" s="27">
        <f t="shared" ref="N7:N26" si="4">IF(AND(N$4&lt;&gt;"",ROW(N1)&lt;=N$4+1,ROW(K1)&lt;=MAX(hs_ref)),IF(ROW(N1)=1,1,ROW(N1)+MAX(K$7:K$26)-1),"")</f>
        <v>1</v>
      </c>
      <c r="O7" s="27">
        <f>IFERROR(IF(N7=1,1,INDEX($C$8:$C$26,MATCH(N7,$B$8:$B$26,0))),"")</f>
        <v>1</v>
      </c>
      <c r="P7" s="28" t="str">
        <f t="shared" ref="P7:P26" si="5">IFERROR(INDEX(hs_name,MATCH(O7,hs_ref,0)),"")</f>
        <v>Airport</v>
      </c>
      <c r="Q7" s="27">
        <f t="shared" ref="Q7:Q26" si="6">IF(AND(Q$4&lt;&gt;"",ROW(Q1)&lt;=Q$4+1,ROW(N1)&lt;=MAX(hs_ref)),IF(ROW(Q1)=1,1,ROW(Q1)+MAX(N$7:N$26)-1),"")</f>
        <v>1</v>
      </c>
      <c r="R7" s="27">
        <f>IFERROR(IF(Q7=1,1,INDEX($C$8:$C$26,MATCH(Q7,$B$8:$B$26,0))),"")</f>
        <v>1</v>
      </c>
      <c r="S7" s="28" t="str">
        <f t="shared" ref="S7:S26" si="7">IFERROR(INDEX(hs_name,MATCH(R7,hs_ref,0)),"")</f>
        <v>Airport</v>
      </c>
      <c r="T7" s="29"/>
      <c r="U7" s="29"/>
      <c r="V7" s="29">
        <f>COUNTIF(X$7:X7,X7)</f>
        <v>1</v>
      </c>
      <c r="W7" s="29">
        <v>1</v>
      </c>
      <c r="X7" s="29" t="s">
        <v>9</v>
      </c>
      <c r="Y7" s="28"/>
      <c r="AB7" s="30"/>
    </row>
    <row r="8" spans="1:30" ht="16">
      <c r="A8" s="35"/>
      <c r="C8" s="34">
        <v>2</v>
      </c>
      <c r="D8" s="33" t="str">
        <v>Causeway Bay</v>
      </c>
      <c r="E8" s="34" t="str">
        <v>Retail</v>
      </c>
      <c r="G8" s="35">
        <f t="shared" si="0"/>
        <v>2</v>
      </c>
      <c r="H8" s="27">
        <f t="shared" ref="H8:H26" si="8">IFERROR(INDEX($C$8:$C$26,MATCH($G8,$B$8:$B$26,0)),"")</f>
        <v>9</v>
      </c>
      <c r="I8" s="36" t="str">
        <f t="shared" si="1"/>
        <v>Mai Po Nature Reserve</v>
      </c>
      <c r="K8" s="27">
        <f t="shared" si="2"/>
        <v>2</v>
      </c>
      <c r="L8" s="27">
        <f t="shared" ref="L8:L26" si="9">IFERROR(IF(K8=1,1,INDEX($C$8:$C$26,MATCH(K8,$B$8:$B$26,0))),"")</f>
        <v>9</v>
      </c>
      <c r="M8" s="28" t="str">
        <f t="shared" si="3"/>
        <v>Mai Po Nature Reserve</v>
      </c>
      <c r="N8" s="27">
        <f t="shared" si="4"/>
        <v>5</v>
      </c>
      <c r="O8" s="27">
        <f t="shared" ref="O8:O26" si="10">IFERROR(IF(N8=1,1,INDEX($C$8:$C$26,MATCH(N8,$B$8:$B$26,0))),"")</f>
        <v>16</v>
      </c>
      <c r="P8" s="28" t="str">
        <f t="shared" si="5"/>
        <v>Tai Kwun, Central</v>
      </c>
      <c r="Q8" s="27">
        <f t="shared" si="6"/>
        <v>9</v>
      </c>
      <c r="R8" s="27" t="str">
        <f t="shared" ref="R8:R26" si="11">IFERROR(IF(Q8=1,1,INDEX($C$8:$C$26,MATCH(Q8,$B$8:$B$26,0))),"")</f>
        <v/>
      </c>
      <c r="S8" s="28" t="str">
        <f t="shared" si="7"/>
        <v/>
      </c>
      <c r="T8" s="29">
        <v>0.10262235</v>
      </c>
      <c r="U8" s="29">
        <v>15</v>
      </c>
      <c r="V8" s="29">
        <f>COUNTIF(X$7:X8,X8)</f>
        <v>1</v>
      </c>
      <c r="W8" s="29">
        <v>4</v>
      </c>
      <c r="X8" s="29" t="s">
        <v>21</v>
      </c>
      <c r="Y8" s="28"/>
    </row>
    <row r="9" spans="1:30" ht="16">
      <c r="A9" s="35"/>
      <c r="C9" s="34">
        <v>3</v>
      </c>
      <c r="D9" s="33" t="str">
        <v>Cheung Chau</v>
      </c>
      <c r="E9" s="34" t="str">
        <v>Recreation</v>
      </c>
      <c r="G9" s="35">
        <f t="shared" si="0"/>
        <v>3</v>
      </c>
      <c r="H9" s="27">
        <f t="shared" si="8"/>
        <v>10</v>
      </c>
      <c r="I9" s="36" t="str">
        <f t="shared" si="1"/>
        <v>Mong Kok</v>
      </c>
      <c r="K9" s="27">
        <f t="shared" si="2"/>
        <v>3</v>
      </c>
      <c r="L9" s="27">
        <f t="shared" si="9"/>
        <v>10</v>
      </c>
      <c r="M9" s="28" t="str">
        <f t="shared" si="3"/>
        <v>Mong Kok</v>
      </c>
      <c r="N9" s="27">
        <f t="shared" si="4"/>
        <v>6</v>
      </c>
      <c r="O9" s="27">
        <f t="shared" si="10"/>
        <v>6</v>
      </c>
      <c r="P9" s="28" t="str">
        <f t="shared" si="5"/>
        <v>HKU</v>
      </c>
      <c r="Q9" s="27">
        <f t="shared" si="6"/>
        <v>10</v>
      </c>
      <c r="R9" s="27" t="str">
        <f t="shared" si="11"/>
        <v/>
      </c>
      <c r="S9" s="28" t="str">
        <f t="shared" si="7"/>
        <v/>
      </c>
      <c r="T9" s="29">
        <v>0.45885633999999997</v>
      </c>
      <c r="U9" s="29">
        <v>8</v>
      </c>
      <c r="W9" s="29">
        <v>13</v>
      </c>
      <c r="X9" s="29" t="s">
        <v>21</v>
      </c>
      <c r="Y9" s="28"/>
    </row>
    <row r="10" spans="1:30" ht="16">
      <c r="A10" s="35"/>
      <c r="C10" s="34">
        <v>4</v>
      </c>
      <c r="D10" s="33" t="str">
        <v>Chuen Lung Street</v>
      </c>
      <c r="E10" s="34" t="str">
        <v>Food</v>
      </c>
      <c r="G10" s="35">
        <f t="shared" si="0"/>
        <v>4</v>
      </c>
      <c r="H10" s="27">
        <f t="shared" si="8"/>
        <v>14</v>
      </c>
      <c r="I10" s="36" t="str">
        <f t="shared" si="1"/>
        <v>Shek O</v>
      </c>
      <c r="K10" s="27">
        <f t="shared" si="2"/>
        <v>4</v>
      </c>
      <c r="L10" s="27">
        <f t="shared" si="9"/>
        <v>14</v>
      </c>
      <c r="M10" s="28" t="str">
        <f t="shared" si="3"/>
        <v>Shek O</v>
      </c>
      <c r="N10" s="27">
        <f t="shared" si="4"/>
        <v>7</v>
      </c>
      <c r="O10" s="27" t="str">
        <f t="shared" si="10"/>
        <v/>
      </c>
      <c r="P10" s="28" t="str">
        <f t="shared" si="5"/>
        <v/>
      </c>
      <c r="Q10" s="27">
        <f t="shared" si="6"/>
        <v>11</v>
      </c>
      <c r="R10" s="27" t="str">
        <f t="shared" si="11"/>
        <v/>
      </c>
      <c r="S10" s="28" t="str">
        <f t="shared" si="7"/>
        <v/>
      </c>
      <c r="T10" s="29">
        <v>0.44571263999999999</v>
      </c>
      <c r="U10" s="29">
        <v>9</v>
      </c>
      <c r="V10" s="29">
        <f>COUNTIF(X$7:X10,X10)</f>
        <v>3</v>
      </c>
      <c r="W10" s="29">
        <v>17</v>
      </c>
      <c r="X10" s="29" t="s">
        <v>21</v>
      </c>
      <c r="Y10" s="28"/>
      <c r="AD10" s="29"/>
    </row>
    <row r="11" spans="1:30" ht="16">
      <c r="A11" s="35"/>
      <c r="C11" s="34">
        <v>5</v>
      </c>
      <c r="D11" s="33" t="str">
        <v>Disneyland</v>
      </c>
      <c r="E11" s="34" t="str">
        <v>Theme park</v>
      </c>
      <c r="G11" s="35">
        <f t="shared" si="0"/>
        <v>5</v>
      </c>
      <c r="H11" s="27">
        <f t="shared" si="8"/>
        <v>16</v>
      </c>
      <c r="I11" s="36" t="str">
        <f t="shared" si="1"/>
        <v>Tai Kwun, Central</v>
      </c>
      <c r="K11" s="27" t="str">
        <f t="shared" si="2"/>
        <v/>
      </c>
      <c r="L11" s="27" t="str">
        <f t="shared" si="9"/>
        <v/>
      </c>
      <c r="M11" s="28" t="str">
        <f t="shared" si="3"/>
        <v/>
      </c>
      <c r="N11" s="27">
        <f t="shared" si="4"/>
        <v>8</v>
      </c>
      <c r="O11" s="27" t="str">
        <f t="shared" si="10"/>
        <v/>
      </c>
      <c r="P11" s="28" t="str">
        <f t="shared" si="5"/>
        <v/>
      </c>
      <c r="Q11" s="27">
        <f t="shared" si="6"/>
        <v>12</v>
      </c>
      <c r="R11" s="27" t="str">
        <f t="shared" si="11"/>
        <v/>
      </c>
      <c r="S11" s="28" t="str">
        <f t="shared" si="7"/>
        <v/>
      </c>
      <c r="T11" s="29">
        <v>1.64774E-2</v>
      </c>
      <c r="U11" s="29">
        <v>19</v>
      </c>
      <c r="V11" s="29">
        <f>COUNTIF(X$7:X11,X11)</f>
        <v>1</v>
      </c>
      <c r="W11" s="29">
        <v>7</v>
      </c>
      <c r="X11" s="29" t="s">
        <v>33</v>
      </c>
      <c r="Y11" s="28"/>
    </row>
    <row r="12" spans="1:30" ht="16">
      <c r="A12" s="35">
        <f t="shared" ref="A12" ca="1" si="12">RAND()</f>
        <v>0.64953950504482727</v>
      </c>
      <c r="B12" s="27">
        <v>6</v>
      </c>
      <c r="C12" s="34">
        <v>6</v>
      </c>
      <c r="D12" s="33" t="str">
        <v>HKU</v>
      </c>
      <c r="E12" s="34" t="str">
        <v>Tourism</v>
      </c>
      <c r="G12" s="37">
        <f t="shared" si="0"/>
        <v>6</v>
      </c>
      <c r="H12" s="38">
        <f t="shared" si="8"/>
        <v>6</v>
      </c>
      <c r="I12" s="39" t="str">
        <f t="shared" si="1"/>
        <v>HKU</v>
      </c>
      <c r="K12" s="27" t="str">
        <f t="shared" si="2"/>
        <v/>
      </c>
      <c r="L12" s="27" t="str">
        <f t="shared" si="9"/>
        <v/>
      </c>
      <c r="M12" s="28" t="str">
        <f t="shared" si="3"/>
        <v/>
      </c>
      <c r="N12" s="27" t="str">
        <f t="shared" si="4"/>
        <v/>
      </c>
      <c r="O12" s="27" t="str">
        <f t="shared" si="10"/>
        <v/>
      </c>
      <c r="P12" s="28" t="str">
        <f t="shared" si="5"/>
        <v/>
      </c>
      <c r="Q12" s="27">
        <f t="shared" si="6"/>
        <v>13</v>
      </c>
      <c r="R12" s="27" t="str">
        <f t="shared" si="11"/>
        <v/>
      </c>
      <c r="S12" s="28" t="str">
        <f t="shared" si="7"/>
        <v/>
      </c>
      <c r="T12" s="29">
        <v>0.70182597000000002</v>
      </c>
      <c r="U12" s="29">
        <v>5</v>
      </c>
      <c r="V12" s="29">
        <f>COUNTIF(X$7:X12,X12)</f>
        <v>2</v>
      </c>
      <c r="W12" s="29">
        <v>8</v>
      </c>
      <c r="X12" s="29" t="s">
        <v>33</v>
      </c>
      <c r="Y12" s="28"/>
    </row>
    <row r="13" spans="1:30" ht="16">
      <c r="A13" s="35"/>
      <c r="C13" s="34">
        <v>7</v>
      </c>
      <c r="D13" s="33" t="str">
        <v>Hong Kong Space Museum</v>
      </c>
      <c r="E13" s="34" t="str">
        <v>Museum</v>
      </c>
      <c r="G13" s="37">
        <f t="shared" ref="G13" si="13">IF(AND(H$3&lt;&gt;"",ROW(G7)&lt;=H$3+1,ROW(G7)&lt;=MAX(hs_ref)),ROW(G7),"")</f>
        <v>7</v>
      </c>
      <c r="H13" s="38" t="str">
        <f t="shared" si="8"/>
        <v/>
      </c>
      <c r="I13" s="39" t="str">
        <f t="shared" si="1"/>
        <v/>
      </c>
      <c r="K13" s="27" t="str">
        <f t="shared" ref="K13:K26" si="14">IF(AND(K$4&gt;1,ROW(K7)&lt;=K$4+1,ROW(K7)&lt;=MAX(hs_ref)),ROW(K7),"")</f>
        <v/>
      </c>
      <c r="L13" s="27" t="str">
        <f t="shared" si="9"/>
        <v/>
      </c>
      <c r="M13" s="28" t="str">
        <f t="shared" si="3"/>
        <v/>
      </c>
      <c r="N13" s="27" t="str">
        <f t="shared" si="4"/>
        <v/>
      </c>
      <c r="O13" s="27" t="str">
        <f t="shared" si="10"/>
        <v/>
      </c>
      <c r="P13" s="28" t="str">
        <f t="shared" si="5"/>
        <v/>
      </c>
      <c r="Q13" s="27">
        <f t="shared" si="6"/>
        <v>14</v>
      </c>
      <c r="R13" s="27" t="str">
        <f t="shared" si="11"/>
        <v/>
      </c>
      <c r="S13" s="28" t="str">
        <f t="shared" si="7"/>
        <v/>
      </c>
      <c r="T13" s="29">
        <v>0.42428713000000001</v>
      </c>
      <c r="U13" s="29">
        <v>10</v>
      </c>
      <c r="V13" s="29">
        <f>COUNTIF(X$7:X13,X13)</f>
        <v>3</v>
      </c>
      <c r="W13" s="29">
        <v>16</v>
      </c>
      <c r="X13" s="29" t="s">
        <v>33</v>
      </c>
      <c r="Y13" s="28"/>
    </row>
    <row r="14" spans="1:30" ht="16">
      <c r="A14" s="35"/>
      <c r="C14" s="34">
        <v>8</v>
      </c>
      <c r="D14" s="33" t="str">
        <v>M+</v>
      </c>
      <c r="E14" s="34" t="str">
        <v>Museum</v>
      </c>
      <c r="G14" s="27" t="str">
        <f t="shared" si="0"/>
        <v/>
      </c>
      <c r="H14" s="27" t="str">
        <f t="shared" si="8"/>
        <v/>
      </c>
      <c r="I14" s="28" t="str">
        <f t="shared" si="1"/>
        <v/>
      </c>
      <c r="K14" s="27" t="str">
        <f t="shared" si="14"/>
        <v/>
      </c>
      <c r="L14" s="27" t="str">
        <f t="shared" si="9"/>
        <v/>
      </c>
      <c r="M14" s="28" t="str">
        <f t="shared" si="3"/>
        <v/>
      </c>
      <c r="N14" s="27" t="str">
        <f t="shared" si="4"/>
        <v/>
      </c>
      <c r="O14" s="27" t="str">
        <f t="shared" si="10"/>
        <v/>
      </c>
      <c r="P14" s="28" t="str">
        <f t="shared" si="5"/>
        <v/>
      </c>
      <c r="Q14" s="27">
        <f t="shared" si="6"/>
        <v>15</v>
      </c>
      <c r="R14" s="27" t="str">
        <f t="shared" si="11"/>
        <v/>
      </c>
      <c r="S14" s="28" t="str">
        <f t="shared" si="7"/>
        <v/>
      </c>
      <c r="T14" s="29">
        <v>8.2058160000000005E-2</v>
      </c>
      <c r="U14" s="29">
        <v>16</v>
      </c>
      <c r="V14" s="29">
        <f>COUNTIF(X$7:X14,X14)</f>
        <v>4</v>
      </c>
      <c r="W14" s="29">
        <v>18</v>
      </c>
      <c r="X14" s="29" t="s">
        <v>33</v>
      </c>
      <c r="Y14" s="28"/>
    </row>
    <row r="15" spans="1:30" ht="16">
      <c r="A15" s="35"/>
      <c r="B15" s="27">
        <v>2</v>
      </c>
      <c r="C15" s="34">
        <v>9</v>
      </c>
      <c r="D15" s="33" t="str">
        <v>Mai Po Nature Reserve</v>
      </c>
      <c r="E15" s="34" t="str">
        <v>Nature</v>
      </c>
      <c r="G15" s="27" t="str">
        <f t="shared" si="0"/>
        <v/>
      </c>
      <c r="H15" s="27" t="str">
        <f t="shared" si="8"/>
        <v/>
      </c>
      <c r="I15" s="28" t="str">
        <f t="shared" si="1"/>
        <v/>
      </c>
      <c r="K15" s="27" t="str">
        <f t="shared" si="14"/>
        <v/>
      </c>
      <c r="L15" s="27" t="str">
        <f t="shared" si="9"/>
        <v/>
      </c>
      <c r="M15" s="28" t="str">
        <f t="shared" si="3"/>
        <v/>
      </c>
      <c r="N15" s="27" t="str">
        <f t="shared" si="4"/>
        <v/>
      </c>
      <c r="O15" s="27" t="str">
        <f t="shared" si="10"/>
        <v/>
      </c>
      <c r="P15" s="28" t="str">
        <f t="shared" si="5"/>
        <v/>
      </c>
      <c r="Q15" s="27" t="str">
        <f t="shared" si="6"/>
        <v/>
      </c>
      <c r="R15" s="27" t="str">
        <f t="shared" si="11"/>
        <v/>
      </c>
      <c r="S15" s="28" t="str">
        <f t="shared" si="7"/>
        <v/>
      </c>
      <c r="T15" s="29">
        <v>0.87856637999999998</v>
      </c>
      <c r="U15" s="29">
        <v>2</v>
      </c>
      <c r="V15" s="29">
        <f>COUNTIF(X$7:X15,X15)</f>
        <v>1</v>
      </c>
      <c r="W15" s="29">
        <v>9</v>
      </c>
      <c r="X15" s="29" t="s">
        <v>38</v>
      </c>
      <c r="Y15" s="28"/>
    </row>
    <row r="16" spans="1:30" ht="16">
      <c r="A16" s="35"/>
      <c r="B16" s="27">
        <v>3</v>
      </c>
      <c r="C16" s="34">
        <v>10</v>
      </c>
      <c r="D16" s="33" t="str">
        <v>Mong Kok</v>
      </c>
      <c r="E16" s="34" t="str">
        <v>Retail</v>
      </c>
      <c r="G16" s="27" t="str">
        <f t="shared" si="0"/>
        <v/>
      </c>
      <c r="H16" s="27" t="str">
        <f t="shared" si="8"/>
        <v/>
      </c>
      <c r="I16" s="28" t="str">
        <f t="shared" si="1"/>
        <v/>
      </c>
      <c r="K16" s="27" t="str">
        <f t="shared" si="14"/>
        <v/>
      </c>
      <c r="L16" s="27" t="str">
        <f t="shared" si="9"/>
        <v/>
      </c>
      <c r="M16" s="28" t="str">
        <f t="shared" si="3"/>
        <v/>
      </c>
      <c r="N16" s="27" t="str">
        <f t="shared" si="4"/>
        <v/>
      </c>
      <c r="O16" s="27" t="str">
        <f t="shared" si="10"/>
        <v/>
      </c>
      <c r="P16" s="28" t="str">
        <f t="shared" si="5"/>
        <v/>
      </c>
      <c r="Q16" s="27" t="str">
        <f t="shared" si="6"/>
        <v/>
      </c>
      <c r="R16" s="27" t="str">
        <f t="shared" si="11"/>
        <v/>
      </c>
      <c r="S16" s="28" t="str">
        <f t="shared" si="7"/>
        <v/>
      </c>
      <c r="T16" s="29">
        <v>0.69176428999999995</v>
      </c>
      <c r="U16" s="29">
        <v>6</v>
      </c>
      <c r="V16" s="29">
        <f>COUNTIF(X$7:X16,X16)</f>
        <v>2</v>
      </c>
      <c r="W16" s="29">
        <v>14</v>
      </c>
      <c r="X16" s="29" t="s">
        <v>38</v>
      </c>
      <c r="Y16" s="28"/>
    </row>
    <row r="17" spans="1:25" ht="16">
      <c r="A17" s="35"/>
      <c r="C17" s="34">
        <v>11</v>
      </c>
      <c r="D17" s="33" t="str">
        <v>Orean Park</v>
      </c>
      <c r="E17" s="34" t="str">
        <v>Theme park</v>
      </c>
      <c r="G17" s="27" t="str">
        <f t="shared" si="0"/>
        <v/>
      </c>
      <c r="H17" s="27" t="str">
        <f t="shared" si="8"/>
        <v/>
      </c>
      <c r="I17" s="28" t="str">
        <f t="shared" si="1"/>
        <v/>
      </c>
      <c r="K17" s="27" t="str">
        <f t="shared" si="14"/>
        <v/>
      </c>
      <c r="L17" s="27" t="str">
        <f t="shared" si="9"/>
        <v/>
      </c>
      <c r="M17" s="28" t="str">
        <f t="shared" si="3"/>
        <v/>
      </c>
      <c r="N17" s="27" t="str">
        <f t="shared" si="4"/>
        <v/>
      </c>
      <c r="O17" s="27" t="str">
        <f t="shared" si="10"/>
        <v/>
      </c>
      <c r="P17" s="28" t="str">
        <f t="shared" si="5"/>
        <v/>
      </c>
      <c r="Q17" s="27" t="str">
        <f t="shared" si="6"/>
        <v/>
      </c>
      <c r="R17" s="27" t="str">
        <f t="shared" si="11"/>
        <v/>
      </c>
      <c r="S17" s="28" t="str">
        <f t="shared" si="7"/>
        <v/>
      </c>
      <c r="T17" s="29">
        <v>0.12526655</v>
      </c>
      <c r="U17" s="29">
        <v>13</v>
      </c>
      <c r="V17" s="29">
        <f>COUNTIF(X$7:X17,X17)</f>
        <v>3</v>
      </c>
      <c r="W17" s="29">
        <v>15</v>
      </c>
      <c r="X17" s="29" t="s">
        <v>38</v>
      </c>
      <c r="Y17" s="28"/>
    </row>
    <row r="18" spans="1:25" ht="16">
      <c r="A18" s="35"/>
      <c r="C18" s="34">
        <v>12</v>
      </c>
      <c r="D18" s="33" t="str">
        <v>Sai Kung</v>
      </c>
      <c r="E18" s="34" t="str">
        <v>Recreation</v>
      </c>
      <c r="G18" s="27" t="str">
        <f t="shared" si="0"/>
        <v/>
      </c>
      <c r="H18" s="27" t="str">
        <f t="shared" si="8"/>
        <v/>
      </c>
      <c r="I18" s="28" t="str">
        <f t="shared" si="1"/>
        <v/>
      </c>
      <c r="K18" s="27" t="str">
        <f t="shared" si="14"/>
        <v/>
      </c>
      <c r="L18" s="27" t="str">
        <f t="shared" si="9"/>
        <v/>
      </c>
      <c r="M18" s="28" t="str">
        <f t="shared" si="3"/>
        <v/>
      </c>
      <c r="N18" s="27" t="str">
        <f t="shared" si="4"/>
        <v/>
      </c>
      <c r="O18" s="27" t="str">
        <f t="shared" si="10"/>
        <v/>
      </c>
      <c r="P18" s="28" t="str">
        <f t="shared" si="5"/>
        <v/>
      </c>
      <c r="Q18" s="27" t="str">
        <f t="shared" si="6"/>
        <v/>
      </c>
      <c r="R18" s="27" t="str">
        <f t="shared" si="11"/>
        <v/>
      </c>
      <c r="S18" s="28" t="str">
        <f t="shared" si="7"/>
        <v/>
      </c>
      <c r="T18" s="29">
        <v>1.5649989999999999E-2</v>
      </c>
      <c r="U18" s="29">
        <v>20</v>
      </c>
      <c r="V18" s="29">
        <f>COUNTIF(X$7:X18,X18)</f>
        <v>1</v>
      </c>
      <c r="W18" s="29">
        <v>3</v>
      </c>
      <c r="X18" s="29" t="s">
        <v>17</v>
      </c>
      <c r="Y18" s="28"/>
    </row>
    <row r="19" spans="1:25" ht="16">
      <c r="A19" s="35"/>
      <c r="C19" s="34">
        <v>13</v>
      </c>
      <c r="D19" s="33" t="str">
        <v>Sham Tseng</v>
      </c>
      <c r="E19" s="34" t="str">
        <v>Food</v>
      </c>
      <c r="G19" s="27" t="str">
        <f t="shared" si="0"/>
        <v/>
      </c>
      <c r="H19" s="27" t="str">
        <f t="shared" si="8"/>
        <v/>
      </c>
      <c r="I19" s="28" t="str">
        <f t="shared" si="1"/>
        <v/>
      </c>
      <c r="K19" s="27" t="str">
        <f t="shared" si="14"/>
        <v/>
      </c>
      <c r="L19" s="27" t="str">
        <f t="shared" si="9"/>
        <v/>
      </c>
      <c r="M19" s="28" t="str">
        <f t="shared" si="3"/>
        <v/>
      </c>
      <c r="N19" s="27" t="str">
        <f t="shared" si="4"/>
        <v/>
      </c>
      <c r="O19" s="27" t="str">
        <f t="shared" si="10"/>
        <v/>
      </c>
      <c r="P19" s="28" t="str">
        <f t="shared" si="5"/>
        <v/>
      </c>
      <c r="Q19" s="27" t="str">
        <f t="shared" si="6"/>
        <v/>
      </c>
      <c r="R19" s="27" t="str">
        <f t="shared" si="11"/>
        <v/>
      </c>
      <c r="S19" s="28" t="str">
        <f t="shared" si="7"/>
        <v/>
      </c>
      <c r="T19" s="29">
        <v>0.19383529999999999</v>
      </c>
      <c r="U19" s="29">
        <v>12</v>
      </c>
      <c r="V19" s="29">
        <f>COUNTIF(X$7:X19,X19)</f>
        <v>2</v>
      </c>
      <c r="W19" s="29">
        <v>12</v>
      </c>
      <c r="X19" s="29" t="s">
        <v>17</v>
      </c>
      <c r="Y19" s="28"/>
    </row>
    <row r="20" spans="1:25" ht="16">
      <c r="A20" s="35"/>
      <c r="B20" s="27">
        <v>4</v>
      </c>
      <c r="C20" s="34">
        <v>14</v>
      </c>
      <c r="D20" s="33" t="str">
        <v>Shek O</v>
      </c>
      <c r="E20" s="34" t="str">
        <v>Nature</v>
      </c>
      <c r="I20" s="28"/>
      <c r="K20" s="27" t="str">
        <f t="shared" si="14"/>
        <v/>
      </c>
      <c r="L20" s="27" t="str">
        <f t="shared" si="9"/>
        <v/>
      </c>
      <c r="M20" s="28" t="str">
        <f t="shared" si="3"/>
        <v/>
      </c>
      <c r="N20" s="27" t="str">
        <f t="shared" si="4"/>
        <v/>
      </c>
      <c r="O20" s="27" t="str">
        <f t="shared" si="10"/>
        <v/>
      </c>
      <c r="P20" s="28" t="str">
        <f t="shared" si="5"/>
        <v/>
      </c>
      <c r="Q20" s="27" t="str">
        <f t="shared" si="6"/>
        <v/>
      </c>
      <c r="R20" s="27" t="str">
        <f t="shared" si="11"/>
        <v/>
      </c>
      <c r="S20" s="28" t="str">
        <f t="shared" si="7"/>
        <v/>
      </c>
      <c r="T20" s="29">
        <v>0.86385666999999999</v>
      </c>
      <c r="U20" s="29">
        <v>4</v>
      </c>
      <c r="V20" s="29">
        <f>COUNTIF(X$7:X20,X20)</f>
        <v>1</v>
      </c>
      <c r="W20" s="29">
        <v>2</v>
      </c>
      <c r="X20" s="29" t="s">
        <v>13</v>
      </c>
      <c r="Y20" s="28"/>
    </row>
    <row r="21" spans="1:25" ht="16">
      <c r="A21" s="35"/>
      <c r="C21" s="34">
        <v>15</v>
      </c>
      <c r="D21" s="33" t="str">
        <v>Stanley</v>
      </c>
      <c r="E21" s="34" t="str">
        <v>Nature</v>
      </c>
      <c r="I21" s="28"/>
      <c r="K21" s="27" t="str">
        <f t="shared" si="14"/>
        <v/>
      </c>
      <c r="L21" s="27" t="str">
        <f t="shared" si="9"/>
        <v/>
      </c>
      <c r="M21" s="28" t="str">
        <f t="shared" si="3"/>
        <v/>
      </c>
      <c r="N21" s="27" t="str">
        <f t="shared" si="4"/>
        <v/>
      </c>
      <c r="O21" s="27" t="str">
        <f t="shared" si="10"/>
        <v/>
      </c>
      <c r="P21" s="28" t="str">
        <f t="shared" si="5"/>
        <v/>
      </c>
      <c r="Q21" s="27" t="str">
        <f t="shared" si="6"/>
        <v/>
      </c>
      <c r="R21" s="27" t="str">
        <f t="shared" si="11"/>
        <v/>
      </c>
      <c r="S21" s="28" t="str">
        <f t="shared" si="7"/>
        <v/>
      </c>
      <c r="T21" s="29">
        <v>0.10734106</v>
      </c>
      <c r="U21" s="29">
        <v>14</v>
      </c>
      <c r="V21" s="29">
        <f>COUNTIF(X$7:X21,X21)</f>
        <v>2</v>
      </c>
      <c r="W21" s="29">
        <v>10</v>
      </c>
      <c r="X21" s="29" t="s">
        <v>13</v>
      </c>
      <c r="Y21" s="28"/>
    </row>
    <row r="22" spans="1:25" ht="16">
      <c r="A22" s="35"/>
      <c r="B22" s="27">
        <v>5</v>
      </c>
      <c r="C22" s="34">
        <v>16</v>
      </c>
      <c r="D22" s="33" t="str">
        <v>Tai Kwun, Central</v>
      </c>
      <c r="E22" s="34" t="str">
        <v>Museum</v>
      </c>
      <c r="G22" s="27" t="str">
        <f t="shared" si="0"/>
        <v/>
      </c>
      <c r="H22" s="27" t="str">
        <f t="shared" si="8"/>
        <v/>
      </c>
      <c r="I22" s="28" t="str">
        <f t="shared" si="1"/>
        <v/>
      </c>
      <c r="K22" s="27" t="str">
        <f t="shared" si="14"/>
        <v/>
      </c>
      <c r="L22" s="27" t="str">
        <f t="shared" si="9"/>
        <v/>
      </c>
      <c r="M22" s="28" t="str">
        <f t="shared" si="3"/>
        <v/>
      </c>
      <c r="N22" s="27" t="str">
        <f t="shared" si="4"/>
        <v/>
      </c>
      <c r="O22" s="27" t="str">
        <f t="shared" si="10"/>
        <v/>
      </c>
      <c r="P22" s="28" t="str">
        <f t="shared" si="5"/>
        <v/>
      </c>
      <c r="Q22" s="27" t="str">
        <f t="shared" si="6"/>
        <v/>
      </c>
      <c r="R22" s="27" t="str">
        <f t="shared" si="11"/>
        <v/>
      </c>
      <c r="S22" s="28" t="str">
        <f t="shared" si="7"/>
        <v/>
      </c>
      <c r="T22" s="29">
        <v>0.87677475000000005</v>
      </c>
      <c r="U22" s="29">
        <v>3</v>
      </c>
      <c r="V22" s="29">
        <f>COUNTIF(X$7:X22,X22)</f>
        <v>3</v>
      </c>
      <c r="W22" s="29">
        <v>19</v>
      </c>
      <c r="X22" s="29" t="s">
        <v>13</v>
      </c>
      <c r="Y22" s="28"/>
    </row>
    <row r="23" spans="1:25" ht="16">
      <c r="A23" s="35"/>
      <c r="C23" s="34">
        <v>17</v>
      </c>
      <c r="D23" s="33" t="str">
        <v>Tai On Night market, Sai Wan Ho</v>
      </c>
      <c r="E23" s="34" t="str">
        <v>Food</v>
      </c>
      <c r="G23" s="27" t="str">
        <f t="shared" si="0"/>
        <v/>
      </c>
      <c r="H23" s="27" t="str">
        <f t="shared" si="8"/>
        <v/>
      </c>
      <c r="I23" s="28" t="str">
        <f t="shared" si="1"/>
        <v/>
      </c>
      <c r="K23" s="27" t="str">
        <f t="shared" si="14"/>
        <v/>
      </c>
      <c r="L23" s="27" t="str">
        <f t="shared" si="9"/>
        <v/>
      </c>
      <c r="M23" s="28" t="str">
        <f t="shared" si="3"/>
        <v/>
      </c>
      <c r="N23" s="27" t="str">
        <f t="shared" si="4"/>
        <v/>
      </c>
      <c r="O23" s="27" t="str">
        <f t="shared" si="10"/>
        <v/>
      </c>
      <c r="P23" s="28" t="str">
        <f t="shared" si="5"/>
        <v/>
      </c>
      <c r="Q23" s="27" t="str">
        <f t="shared" si="6"/>
        <v/>
      </c>
      <c r="R23" s="27" t="str">
        <f t="shared" si="11"/>
        <v/>
      </c>
      <c r="S23" s="28" t="str">
        <f t="shared" si="7"/>
        <v/>
      </c>
      <c r="T23" s="29">
        <v>0.41822050999999999</v>
      </c>
      <c r="U23" s="29">
        <v>11</v>
      </c>
      <c r="V23" s="29">
        <f>COUNTIF(X$7:X23,X23)</f>
        <v>1</v>
      </c>
      <c r="W23" s="29">
        <v>5</v>
      </c>
      <c r="X23" s="29" t="s">
        <v>25</v>
      </c>
      <c r="Y23" s="28"/>
    </row>
    <row r="24" spans="1:25" ht="16">
      <c r="A24" s="35"/>
      <c r="C24" s="34">
        <v>18</v>
      </c>
      <c r="D24" s="33" t="str">
        <v>Tai Po Insect House</v>
      </c>
      <c r="E24" s="34" t="str">
        <v>Museum</v>
      </c>
      <c r="G24" s="27" t="str">
        <f t="shared" si="0"/>
        <v/>
      </c>
      <c r="H24" s="27" t="str">
        <f t="shared" si="8"/>
        <v/>
      </c>
      <c r="I24" s="28" t="str">
        <f t="shared" si="1"/>
        <v/>
      </c>
      <c r="K24" s="27" t="str">
        <f t="shared" si="14"/>
        <v/>
      </c>
      <c r="L24" s="27" t="str">
        <f t="shared" si="9"/>
        <v/>
      </c>
      <c r="M24" s="28" t="str">
        <f t="shared" si="3"/>
        <v/>
      </c>
      <c r="N24" s="27" t="str">
        <f t="shared" si="4"/>
        <v/>
      </c>
      <c r="O24" s="27" t="str">
        <f t="shared" si="10"/>
        <v/>
      </c>
      <c r="P24" s="28" t="str">
        <f t="shared" si="5"/>
        <v/>
      </c>
      <c r="Q24" s="27" t="str">
        <f t="shared" si="6"/>
        <v/>
      </c>
      <c r="R24" s="27" t="str">
        <f t="shared" si="11"/>
        <v/>
      </c>
      <c r="S24" s="28" t="str">
        <f t="shared" si="7"/>
        <v/>
      </c>
      <c r="T24" s="29">
        <v>6.9391090000000002E-2</v>
      </c>
      <c r="U24" s="29">
        <v>17</v>
      </c>
      <c r="V24" s="29">
        <f>COUNTIF(X$7:X24,X24)</f>
        <v>2</v>
      </c>
      <c r="W24" s="29">
        <v>11</v>
      </c>
      <c r="X24" s="29" t="s">
        <v>25</v>
      </c>
      <c r="Y24" s="28"/>
    </row>
    <row r="25" spans="1:25" ht="16">
      <c r="A25" s="35"/>
      <c r="C25" s="34">
        <v>19</v>
      </c>
      <c r="D25" s="33" t="str">
        <v>The Mills</v>
      </c>
      <c r="E25" s="34" t="str">
        <v>Retail</v>
      </c>
      <c r="G25" s="27" t="str">
        <f t="shared" si="0"/>
        <v/>
      </c>
      <c r="H25" s="27" t="str">
        <f t="shared" si="8"/>
        <v/>
      </c>
      <c r="I25" s="28" t="str">
        <f t="shared" si="1"/>
        <v/>
      </c>
      <c r="K25" s="27" t="str">
        <f t="shared" si="14"/>
        <v/>
      </c>
      <c r="L25" s="27" t="str">
        <f t="shared" si="9"/>
        <v/>
      </c>
      <c r="M25" s="28" t="str">
        <f t="shared" si="3"/>
        <v/>
      </c>
      <c r="N25" s="27" t="str">
        <f t="shared" si="4"/>
        <v/>
      </c>
      <c r="O25" s="27" t="str">
        <f t="shared" si="10"/>
        <v/>
      </c>
      <c r="P25" s="28" t="str">
        <f t="shared" si="5"/>
        <v/>
      </c>
      <c r="Q25" s="27" t="str">
        <f t="shared" si="6"/>
        <v/>
      </c>
      <c r="R25" s="27" t="str">
        <f t="shared" si="11"/>
        <v/>
      </c>
      <c r="S25" s="28" t="str">
        <f t="shared" si="7"/>
        <v/>
      </c>
      <c r="T25" s="29">
        <v>2.500308E-2</v>
      </c>
      <c r="U25" s="29">
        <v>18</v>
      </c>
      <c r="V25" s="29">
        <f>COUNTIF(X$7:X25,X25)</f>
        <v>1</v>
      </c>
      <c r="W25" s="29">
        <v>6</v>
      </c>
      <c r="X25" s="29" t="s">
        <v>29</v>
      </c>
      <c r="Y25" s="28"/>
    </row>
    <row r="26" spans="1:25" ht="16">
      <c r="A26" s="37"/>
      <c r="B26" s="38"/>
      <c r="C26" s="43">
        <v>20</v>
      </c>
      <c r="D26" s="47" t="str">
        <v>Tian Tan Buddha</v>
      </c>
      <c r="E26" s="43" t="str">
        <v>Tourism</v>
      </c>
      <c r="G26" s="27" t="str">
        <f t="shared" si="0"/>
        <v/>
      </c>
      <c r="H26" s="27" t="str">
        <f t="shared" si="8"/>
        <v/>
      </c>
      <c r="I26" s="28" t="str">
        <f t="shared" si="1"/>
        <v/>
      </c>
      <c r="K26" s="27" t="str">
        <f t="shared" si="14"/>
        <v/>
      </c>
      <c r="L26" s="27" t="str">
        <f t="shared" si="9"/>
        <v/>
      </c>
      <c r="M26" s="28" t="str">
        <f t="shared" si="3"/>
        <v/>
      </c>
      <c r="N26" s="27" t="str">
        <f t="shared" si="4"/>
        <v/>
      </c>
      <c r="O26" s="27" t="str">
        <f t="shared" si="10"/>
        <v/>
      </c>
      <c r="P26" s="28" t="str">
        <f t="shared" si="5"/>
        <v/>
      </c>
      <c r="Q26" s="27" t="str">
        <f t="shared" si="6"/>
        <v/>
      </c>
      <c r="R26" s="27" t="str">
        <f t="shared" si="11"/>
        <v/>
      </c>
      <c r="S26" s="28" t="str">
        <f t="shared" si="7"/>
        <v/>
      </c>
      <c r="T26" s="29">
        <v>0.51198343999999996</v>
      </c>
      <c r="U26" s="29">
        <v>7</v>
      </c>
      <c r="V26" s="29">
        <f>COUNTIF(X$7:X26,X26)</f>
        <v>2</v>
      </c>
      <c r="W26" s="29">
        <v>20</v>
      </c>
      <c r="X26" s="29" t="s">
        <v>29</v>
      </c>
      <c r="Y26" s="28"/>
    </row>
    <row r="27" spans="1:25" ht="16">
      <c r="G27" s="27" t="str">
        <f t="shared" si="0"/>
        <v/>
      </c>
    </row>
    <row r="28" spans="1:25" ht="16">
      <c r="G28" s="27" t="str">
        <f t="shared" si="0"/>
        <v/>
      </c>
    </row>
    <row r="30" spans="1:25" ht="16"/>
    <row r="31" spans="1:25" ht="16">
      <c r="A31" s="28"/>
    </row>
    <row r="32" spans="1:25" ht="16">
      <c r="A32" s="28"/>
    </row>
  </sheetData>
  <sortState xmlns:xlrd2="http://schemas.microsoft.com/office/spreadsheetml/2017/richdata2" ref="W8:X26">
    <sortCondition ref="X8:X26"/>
  </sortState>
  <mergeCells count="3">
    <mergeCell ref="G2:I2"/>
    <mergeCell ref="G1:I1"/>
    <mergeCell ref="A1:E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F9E10-B969-4B35-8216-C74E27CCC250}">
  <dimension ref="A1:AK59"/>
  <sheetViews>
    <sheetView zoomScaleNormal="100" workbookViewId="0">
      <pane xSplit="2" ySplit="4" topLeftCell="C5" activePane="bottomRight" state="frozen"/>
      <selection pane="topRight"/>
      <selection pane="bottomLeft"/>
      <selection pane="bottomRight" activeCell="N17" sqref="N17"/>
    </sheetView>
  </sheetViews>
  <sheetFormatPr baseColWidth="10" defaultColWidth="8.83203125" defaultRowHeight="16"/>
  <cols>
    <col min="1" max="1" width="12.83203125" style="32" customWidth="1"/>
    <col min="2" max="2" width="20" style="51" customWidth="1"/>
    <col min="3" max="8" width="10.83203125" style="50" customWidth="1"/>
    <col min="9" max="13" width="5.6640625" style="51" customWidth="1"/>
    <col min="14" max="15" width="8.83203125" style="51"/>
    <col min="16" max="18" width="10" style="51" customWidth="1"/>
    <col min="19" max="19" width="8.83203125" style="51"/>
    <col min="20" max="20" width="10.6640625" style="51" customWidth="1"/>
    <col min="21" max="16384" width="8.83203125" style="51"/>
  </cols>
  <sheetData>
    <row r="1" spans="1:37" ht="37.5" customHeight="1">
      <c r="A1" s="100" t="s">
        <v>78</v>
      </c>
      <c r="R1" s="51" t="s">
        <v>79</v>
      </c>
      <c r="T1" s="52" t="s">
        <v>80</v>
      </c>
      <c r="U1" s="103"/>
      <c r="V1" s="53"/>
      <c r="W1" s="54"/>
      <c r="X1" s="54"/>
      <c r="Y1" s="54"/>
      <c r="Z1" s="55"/>
      <c r="AB1" s="51" t="s">
        <v>81</v>
      </c>
      <c r="AD1" s="64" t="s">
        <v>82</v>
      </c>
      <c r="AE1" s="28"/>
      <c r="AJ1" s="65"/>
      <c r="AK1" s="56"/>
    </row>
    <row r="2" spans="1:37" ht="34" customHeight="1">
      <c r="A2" s="49"/>
      <c r="B2" s="50"/>
      <c r="R2" s="51" t="s">
        <v>83</v>
      </c>
      <c r="S2" s="50"/>
      <c r="T2" s="110">
        <f>SUMPRODUCT(df_v1sol,df_v1time)+SUMPRODUCT(P5:P15,Q5:Q15)</f>
        <v>698</v>
      </c>
      <c r="U2" s="59" t="s">
        <v>84</v>
      </c>
      <c r="V2" s="59" t="str">
        <f>IF(QUOTIENT(T2,60)&lt;10,"0"&amp;QUOTIENT(T2,60),QUOTIENT(T2,60))&amp;":"&amp;IF(MOD(T2,60)&lt;10,"0"&amp;MOD(T2,60),MOD(T2,60))</f>
        <v>11:38</v>
      </c>
      <c r="W2" s="59" t="s">
        <v>85</v>
      </c>
      <c r="X2" s="59"/>
      <c r="Y2" s="60"/>
      <c r="Z2" s="61"/>
      <c r="AB2" s="50" t="s">
        <v>83</v>
      </c>
      <c r="AC2" s="50"/>
      <c r="AD2" s="57">
        <f>SUMPRODUCT(df_v1sol,df_v1fee)</f>
        <v>174.3</v>
      </c>
      <c r="AE2" s="59"/>
      <c r="AF2" s="59"/>
      <c r="AG2" s="60"/>
      <c r="AH2" s="60"/>
      <c r="AI2" s="60"/>
      <c r="AJ2" s="61"/>
    </row>
    <row r="3" spans="1:37" ht="22" customHeight="1">
      <c r="A3" s="141"/>
      <c r="B3" s="142"/>
      <c r="C3" s="62" cm="1">
        <f t="array" ref="C3:M3">TRANSPOSE(v1ref_sort)</f>
        <v>1</v>
      </c>
      <c r="D3" s="62">
        <v>6</v>
      </c>
      <c r="E3" s="62">
        <v>9</v>
      </c>
      <c r="F3" s="62">
        <v>10</v>
      </c>
      <c r="G3" s="62">
        <v>14</v>
      </c>
      <c r="H3" s="63">
        <v>16</v>
      </c>
      <c r="I3" s="51" t="str">
        <v/>
      </c>
      <c r="J3" s="51" t="str">
        <v/>
      </c>
      <c r="K3" s="51" t="str">
        <v/>
      </c>
      <c r="L3" s="51" t="str">
        <v/>
      </c>
      <c r="M3" s="51" t="str">
        <v/>
      </c>
    </row>
    <row r="4" spans="1:37" ht="43" customHeight="1">
      <c r="A4" s="66" t="s">
        <v>86</v>
      </c>
      <c r="B4" s="61" t="s">
        <v>51</v>
      </c>
      <c r="C4" s="67" t="str" cm="1">
        <f t="array" ref="C4:M4">TRANSPOSE(v1name_sort)</f>
        <v>Airport</v>
      </c>
      <c r="D4" s="67" t="str">
        <v>HKU</v>
      </c>
      <c r="E4" s="67" t="str">
        <v>Mai Po Nature Reserve</v>
      </c>
      <c r="F4" s="67" t="str">
        <v>Mong Kok</v>
      </c>
      <c r="G4" s="67" t="str">
        <v>Shek O</v>
      </c>
      <c r="H4" s="67" t="str">
        <v>Tai Kwun, Central</v>
      </c>
      <c r="I4" s="68" t="str">
        <v/>
      </c>
      <c r="J4" s="68" t="str">
        <v/>
      </c>
      <c r="K4" s="68" t="str">
        <v/>
      </c>
      <c r="L4" s="68" t="str">
        <v/>
      </c>
      <c r="M4" s="68" t="str">
        <v/>
      </c>
      <c r="N4" s="104" t="s">
        <v>87</v>
      </c>
      <c r="O4" s="62" t="s">
        <v>88</v>
      </c>
      <c r="P4" s="63" t="s">
        <v>89</v>
      </c>
      <c r="Q4" s="105" t="s">
        <v>90</v>
      </c>
    </row>
    <row r="5" spans="1:37">
      <c r="A5" s="70" cm="1">
        <f t="array" ref="A5:A15">_xlfn._xlws.SORT(v1ref)</f>
        <v>1</v>
      </c>
      <c r="B5" s="71" t="str" cm="1">
        <f t="array" ref="B5">IFERROR(INDEX(hs_name,A5),"")</f>
        <v>Airport</v>
      </c>
      <c r="C5" s="69">
        <v>0</v>
      </c>
      <c r="D5" s="69">
        <v>0</v>
      </c>
      <c r="E5" s="69">
        <v>0</v>
      </c>
      <c r="F5" s="69">
        <v>0</v>
      </c>
      <c r="G5" s="69">
        <v>0</v>
      </c>
      <c r="H5" s="69">
        <v>1</v>
      </c>
      <c r="I5" s="72">
        <v>0</v>
      </c>
      <c r="J5" s="72">
        <v>0</v>
      </c>
      <c r="K5" s="72">
        <v>0</v>
      </c>
      <c r="L5" s="72">
        <v>0</v>
      </c>
      <c r="M5" s="72">
        <v>0</v>
      </c>
      <c r="N5" s="77">
        <f t="shared" ref="N5" si="0">SUM(C5:M5)</f>
        <v>1</v>
      </c>
      <c r="O5" s="50" t="s">
        <v>91</v>
      </c>
      <c r="P5" s="78">
        <f>IF(A5&lt;&gt;"",1,0)</f>
        <v>1</v>
      </c>
      <c r="Q5" s="64">
        <f t="shared" ref="Q5:Q15" si="1">IFERROR(INDEX(hs_stay,MATCH(A5,hs_ref,0)),"")</f>
        <v>15</v>
      </c>
      <c r="R5" s="50"/>
      <c r="S5" s="50"/>
      <c r="T5" s="50"/>
      <c r="U5" s="50"/>
      <c r="V5" s="50"/>
      <c r="W5" s="50"/>
    </row>
    <row r="6" spans="1:37">
      <c r="A6" s="76">
        <v>6</v>
      </c>
      <c r="B6" s="65" t="str" cm="1">
        <f t="array" ref="B6">IFERROR(INDEX(hs_name,A6),"")</f>
        <v>HKU</v>
      </c>
      <c r="C6" s="50">
        <v>0</v>
      </c>
      <c r="D6" s="50">
        <v>0</v>
      </c>
      <c r="E6" s="50">
        <v>0</v>
      </c>
      <c r="F6" s="50">
        <v>0</v>
      </c>
      <c r="G6" s="50">
        <v>1</v>
      </c>
      <c r="H6" s="50">
        <v>0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77">
        <f>SUM(C6:M6)</f>
        <v>1</v>
      </c>
      <c r="O6" s="50" t="s">
        <v>91</v>
      </c>
      <c r="P6" s="78">
        <f t="shared" ref="P6:P15" si="2">IF(A6&lt;&gt;"",1,0)</f>
        <v>1</v>
      </c>
      <c r="Q6" s="64">
        <f t="shared" si="1"/>
        <v>30</v>
      </c>
      <c r="R6" s="50"/>
      <c r="S6" s="50"/>
      <c r="T6" s="50"/>
      <c r="U6" s="50"/>
      <c r="V6" s="50"/>
      <c r="W6" s="50"/>
    </row>
    <row r="7" spans="1:37">
      <c r="A7" s="76">
        <v>9</v>
      </c>
      <c r="B7" s="65" t="str" cm="1">
        <f t="array" ref="B7">IFERROR(INDEX(hs_name,A7),"")</f>
        <v>Mai Po Nature Reserve</v>
      </c>
      <c r="C7" s="50">
        <v>1</v>
      </c>
      <c r="D7" s="50">
        <v>0</v>
      </c>
      <c r="E7" s="50">
        <v>0</v>
      </c>
      <c r="F7" s="50">
        <v>0</v>
      </c>
      <c r="G7" s="50">
        <v>0</v>
      </c>
      <c r="H7" s="50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77">
        <f t="shared" ref="N7:N15" si="3">SUM(C7:M7)</f>
        <v>1</v>
      </c>
      <c r="O7" s="50" t="s">
        <v>91</v>
      </c>
      <c r="P7" s="78">
        <f t="shared" si="2"/>
        <v>1</v>
      </c>
      <c r="Q7" s="64">
        <f t="shared" si="1"/>
        <v>90</v>
      </c>
      <c r="R7" s="50"/>
      <c r="S7" s="50"/>
      <c r="T7" s="50"/>
      <c r="U7" s="50"/>
      <c r="V7" s="50"/>
      <c r="W7" s="50"/>
    </row>
    <row r="8" spans="1:37">
      <c r="A8" s="76">
        <v>10</v>
      </c>
      <c r="B8" s="65" t="str" cm="1">
        <f t="array" ref="B8">IFERROR(INDEX(hs_name,A8),"")</f>
        <v>Mong Kok</v>
      </c>
      <c r="C8" s="50">
        <v>0</v>
      </c>
      <c r="D8" s="50">
        <v>0</v>
      </c>
      <c r="E8" s="50">
        <v>1</v>
      </c>
      <c r="F8" s="50">
        <v>0</v>
      </c>
      <c r="G8" s="50">
        <v>0</v>
      </c>
      <c r="H8" s="50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77">
        <f t="shared" si="3"/>
        <v>1</v>
      </c>
      <c r="O8" s="50" t="s">
        <v>91</v>
      </c>
      <c r="P8" s="78">
        <f t="shared" si="2"/>
        <v>1</v>
      </c>
      <c r="Q8" s="64">
        <f t="shared" si="1"/>
        <v>45</v>
      </c>
      <c r="R8" s="50"/>
      <c r="S8" s="50"/>
      <c r="T8" s="50"/>
      <c r="U8" s="50"/>
      <c r="V8" s="50"/>
      <c r="W8" s="50"/>
    </row>
    <row r="9" spans="1:37">
      <c r="A9" s="76">
        <v>14</v>
      </c>
      <c r="B9" s="65" t="str" cm="1">
        <f t="array" ref="B9">IFERROR(INDEX(hs_name,A9),"")</f>
        <v>Shek O</v>
      </c>
      <c r="C9" s="50">
        <v>0</v>
      </c>
      <c r="D9" s="50">
        <v>0</v>
      </c>
      <c r="E9" s="50">
        <v>0</v>
      </c>
      <c r="F9" s="50">
        <v>1</v>
      </c>
      <c r="G9" s="50">
        <v>0</v>
      </c>
      <c r="H9" s="50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77">
        <f t="shared" si="3"/>
        <v>1</v>
      </c>
      <c r="O9" s="50" t="s">
        <v>91</v>
      </c>
      <c r="P9" s="78">
        <f t="shared" si="2"/>
        <v>1</v>
      </c>
      <c r="Q9" s="64">
        <f t="shared" si="1"/>
        <v>60</v>
      </c>
      <c r="R9" s="50"/>
      <c r="S9" s="50"/>
      <c r="T9" s="50"/>
      <c r="U9" s="50"/>
      <c r="V9" s="50"/>
      <c r="W9" s="50"/>
    </row>
    <row r="10" spans="1:37">
      <c r="A10" s="79">
        <v>16</v>
      </c>
      <c r="B10" s="61" t="str" cm="1">
        <f t="array" ref="B10">IFERROR(INDEX(hs_name,A10),"")</f>
        <v>Tai Kwun, Central</v>
      </c>
      <c r="C10" s="50">
        <v>0</v>
      </c>
      <c r="D10" s="50">
        <v>1</v>
      </c>
      <c r="E10" s="50">
        <v>0</v>
      </c>
      <c r="F10" s="50">
        <v>0</v>
      </c>
      <c r="G10" s="50">
        <v>0</v>
      </c>
      <c r="H10" s="50">
        <v>0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80">
        <f t="shared" si="3"/>
        <v>1</v>
      </c>
      <c r="O10" s="59" t="s">
        <v>91</v>
      </c>
      <c r="P10" s="81">
        <f t="shared" si="2"/>
        <v>1</v>
      </c>
      <c r="Q10" s="57">
        <f t="shared" si="1"/>
        <v>45</v>
      </c>
      <c r="R10" s="50"/>
      <c r="S10" s="50"/>
      <c r="T10" s="50"/>
      <c r="U10" s="50"/>
      <c r="V10" s="50"/>
      <c r="W10" s="50"/>
    </row>
    <row r="11" spans="1:37" s="53" customFormat="1" ht="17">
      <c r="A11" s="70" t="str">
        <v/>
      </c>
      <c r="B11" s="53" t="str" cm="1">
        <f t="array" ref="B11">IFERROR(INDEX(hs_name,A11),"")</f>
        <v/>
      </c>
      <c r="C11" s="82">
        <v>0</v>
      </c>
      <c r="D11" s="74">
        <v>0</v>
      </c>
      <c r="E11" s="74">
        <v>0</v>
      </c>
      <c r="F11" s="74">
        <v>0</v>
      </c>
      <c r="G11" s="74">
        <v>0</v>
      </c>
      <c r="H11" s="74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73">
        <f t="shared" si="3"/>
        <v>0</v>
      </c>
      <c r="O11" s="74" t="s">
        <v>91</v>
      </c>
      <c r="P11" s="75">
        <f t="shared" si="2"/>
        <v>0</v>
      </c>
      <c r="Q11" s="74" t="str">
        <f t="shared" si="1"/>
        <v/>
      </c>
      <c r="R11" s="50"/>
      <c r="S11" s="50"/>
      <c r="T11" s="50"/>
      <c r="U11" s="50"/>
      <c r="V11" s="50"/>
      <c r="W11" s="50"/>
      <c r="X11" s="51"/>
      <c r="Y11" s="51"/>
      <c r="Z11" s="51"/>
      <c r="AA11" s="51"/>
      <c r="AB11" s="51"/>
    </row>
    <row r="12" spans="1:37" ht="17">
      <c r="A12" s="76" t="str">
        <v/>
      </c>
      <c r="B12" s="51" t="str" cm="1">
        <f t="array" ref="B12">IFERROR(INDEX(hs_name,A12),"")</f>
        <v/>
      </c>
      <c r="C12" s="83">
        <v>0</v>
      </c>
      <c r="D12" s="50">
        <v>0</v>
      </c>
      <c r="E12" s="50">
        <v>0</v>
      </c>
      <c r="F12" s="50">
        <v>0</v>
      </c>
      <c r="G12" s="50">
        <v>0</v>
      </c>
      <c r="H12" s="50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77">
        <f t="shared" si="3"/>
        <v>0</v>
      </c>
      <c r="O12" s="50" t="s">
        <v>91</v>
      </c>
      <c r="P12" s="78">
        <f t="shared" si="2"/>
        <v>0</v>
      </c>
      <c r="Q12" s="50" t="str">
        <f t="shared" si="1"/>
        <v/>
      </c>
      <c r="R12" s="50"/>
      <c r="S12" s="50"/>
      <c r="T12" s="50"/>
      <c r="U12" s="50"/>
      <c r="V12" s="50"/>
      <c r="W12" s="50"/>
    </row>
    <row r="13" spans="1:37" ht="17">
      <c r="A13" s="76" t="str">
        <v/>
      </c>
      <c r="B13" s="51" t="str" cm="1">
        <f t="array" ref="B13">IFERROR(INDEX(hs_name,A13),"")</f>
        <v/>
      </c>
      <c r="C13" s="83">
        <v>0</v>
      </c>
      <c r="D13" s="50">
        <v>0</v>
      </c>
      <c r="E13" s="50">
        <v>0</v>
      </c>
      <c r="F13" s="50">
        <v>0</v>
      </c>
      <c r="G13" s="50">
        <v>0</v>
      </c>
      <c r="H13" s="50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77">
        <f t="shared" si="3"/>
        <v>0</v>
      </c>
      <c r="O13" s="50" t="s">
        <v>91</v>
      </c>
      <c r="P13" s="78">
        <f t="shared" si="2"/>
        <v>0</v>
      </c>
      <c r="Q13" s="50" t="str">
        <f t="shared" si="1"/>
        <v/>
      </c>
      <c r="R13" s="50"/>
      <c r="S13" s="50"/>
      <c r="T13" s="50"/>
      <c r="U13" s="50"/>
      <c r="V13" s="50"/>
      <c r="W13" s="50"/>
    </row>
    <row r="14" spans="1:37" ht="17">
      <c r="A14" s="76" t="str">
        <v/>
      </c>
      <c r="B14" s="51" t="str" cm="1">
        <f t="array" ref="B14">IFERROR(INDEX(hs_name,A14),"")</f>
        <v/>
      </c>
      <c r="C14" s="83">
        <v>0</v>
      </c>
      <c r="D14" s="50">
        <v>0</v>
      </c>
      <c r="E14" s="50">
        <v>0</v>
      </c>
      <c r="F14" s="50">
        <v>0</v>
      </c>
      <c r="G14" s="50">
        <v>0</v>
      </c>
      <c r="H14" s="50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77">
        <f t="shared" si="3"/>
        <v>0</v>
      </c>
      <c r="O14" s="50" t="s">
        <v>91</v>
      </c>
      <c r="P14" s="78">
        <f t="shared" si="2"/>
        <v>0</v>
      </c>
      <c r="Q14" s="50" t="str">
        <f t="shared" si="1"/>
        <v/>
      </c>
      <c r="R14" s="50"/>
      <c r="S14" s="50"/>
      <c r="T14" s="50"/>
      <c r="U14" s="50"/>
      <c r="V14" s="50"/>
      <c r="W14" s="50"/>
    </row>
    <row r="15" spans="1:37" s="60" customFormat="1" ht="17">
      <c r="A15" s="79" t="str">
        <v/>
      </c>
      <c r="B15" s="60" t="str" cm="1">
        <f t="array" ref="B15">IFERROR(INDEX(hs_name,A15),"")</f>
        <v/>
      </c>
      <c r="C15" s="84">
        <v>0</v>
      </c>
      <c r="D15" s="59">
        <v>0</v>
      </c>
      <c r="E15" s="59">
        <v>0</v>
      </c>
      <c r="F15" s="59">
        <v>0</v>
      </c>
      <c r="G15" s="59">
        <v>0</v>
      </c>
      <c r="H15" s="59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80">
        <f t="shared" si="3"/>
        <v>0</v>
      </c>
      <c r="O15" s="59" t="s">
        <v>91</v>
      </c>
      <c r="P15" s="81">
        <f t="shared" si="2"/>
        <v>0</v>
      </c>
      <c r="Q15" s="50" t="str">
        <f t="shared" si="1"/>
        <v/>
      </c>
      <c r="R15" s="50"/>
      <c r="S15" s="50"/>
      <c r="T15" s="50"/>
      <c r="U15" s="50"/>
      <c r="V15" s="50"/>
      <c r="W15" s="50"/>
      <c r="X15" s="51"/>
      <c r="Y15" s="51"/>
      <c r="Z15" s="51"/>
      <c r="AA15" s="51"/>
      <c r="AB15" s="51"/>
    </row>
    <row r="16" spans="1:37">
      <c r="B16" s="40" t="s">
        <v>87</v>
      </c>
      <c r="C16" s="73">
        <f t="shared" ref="C16:G16" si="4">SUM(C5:C15)</f>
        <v>1</v>
      </c>
      <c r="D16" s="74">
        <f t="shared" si="4"/>
        <v>1</v>
      </c>
      <c r="E16" s="74">
        <f t="shared" si="4"/>
        <v>1</v>
      </c>
      <c r="F16" s="74">
        <f t="shared" si="4"/>
        <v>1</v>
      </c>
      <c r="G16" s="74">
        <f t="shared" si="4"/>
        <v>1</v>
      </c>
      <c r="H16" s="75">
        <f>SUM(H5:H15)</f>
        <v>1</v>
      </c>
      <c r="I16" s="41">
        <f t="shared" ref="I16:M16" si="5">SUM(I5:I15)</f>
        <v>0</v>
      </c>
      <c r="J16" s="41">
        <f t="shared" si="5"/>
        <v>0</v>
      </c>
      <c r="K16" s="41">
        <f t="shared" si="5"/>
        <v>0</v>
      </c>
      <c r="L16" s="41">
        <f t="shared" si="5"/>
        <v>0</v>
      </c>
      <c r="M16" s="42">
        <f t="shared" si="5"/>
        <v>0</v>
      </c>
      <c r="N16" s="112" t="s">
        <v>92</v>
      </c>
      <c r="O16" s="51" t="s">
        <v>93</v>
      </c>
      <c r="P16" s="65"/>
    </row>
    <row r="17" spans="1:18">
      <c r="B17" s="77" t="s">
        <v>88</v>
      </c>
      <c r="C17" s="77" t="s">
        <v>94</v>
      </c>
      <c r="D17" s="50" t="s">
        <v>91</v>
      </c>
      <c r="E17" s="50" t="s">
        <v>91</v>
      </c>
      <c r="F17" s="50" t="s">
        <v>91</v>
      </c>
      <c r="G17" s="50" t="s">
        <v>91</v>
      </c>
      <c r="H17" s="78" t="s">
        <v>91</v>
      </c>
      <c r="I17" s="27" t="s">
        <v>91</v>
      </c>
      <c r="J17" s="27" t="s">
        <v>91</v>
      </c>
      <c r="K17" s="27" t="s">
        <v>91</v>
      </c>
      <c r="L17" s="27" t="s">
        <v>91</v>
      </c>
      <c r="M17" s="34" t="s">
        <v>91</v>
      </c>
      <c r="N17" s="112">
        <f>E5+C7</f>
        <v>1</v>
      </c>
      <c r="O17" s="27" t="s">
        <v>95</v>
      </c>
      <c r="P17" s="34">
        <v>1</v>
      </c>
    </row>
    <row r="18" spans="1:18">
      <c r="B18" s="37" t="s">
        <v>89</v>
      </c>
      <c r="C18" s="80">
        <f t="shared" ref="C18:H18" si="6">IF(C3&lt;&gt;"",1,0)</f>
        <v>1</v>
      </c>
      <c r="D18" s="59">
        <f t="shared" si="6"/>
        <v>1</v>
      </c>
      <c r="E18" s="59">
        <f t="shared" si="6"/>
        <v>1</v>
      </c>
      <c r="F18" s="59">
        <f t="shared" si="6"/>
        <v>1</v>
      </c>
      <c r="G18" s="59">
        <f t="shared" si="6"/>
        <v>1</v>
      </c>
      <c r="H18" s="81">
        <f t="shared" si="6"/>
        <v>1</v>
      </c>
      <c r="I18" s="38">
        <f>IF(I3&lt;&gt;"",1,0)</f>
        <v>0</v>
      </c>
      <c r="J18" s="38">
        <f t="shared" ref="J18:M18" si="7">IF(J3&lt;&gt;"",1,0)</f>
        <v>0</v>
      </c>
      <c r="K18" s="38">
        <f t="shared" si="7"/>
        <v>0</v>
      </c>
      <c r="L18" s="38">
        <f t="shared" si="7"/>
        <v>0</v>
      </c>
      <c r="M18" s="43">
        <f t="shared" si="7"/>
        <v>0</v>
      </c>
      <c r="N18" s="37"/>
      <c r="O18" s="38"/>
      <c r="P18" s="43"/>
      <c r="Q18" s="27"/>
      <c r="R18" s="27"/>
    </row>
    <row r="20" spans="1:18">
      <c r="A20" s="85" t="s">
        <v>96</v>
      </c>
      <c r="B20" s="86"/>
      <c r="C20" s="87"/>
      <c r="D20" s="87"/>
      <c r="E20" s="87"/>
      <c r="F20" s="87"/>
      <c r="G20" s="87"/>
      <c r="H20" s="87"/>
    </row>
    <row r="21" spans="1:18">
      <c r="A21" s="89"/>
      <c r="B21" s="53"/>
      <c r="C21" s="73" cm="1">
        <f t="array" ref="C21:M21">TRANSPOSE(v1ref_sort)</f>
        <v>1</v>
      </c>
      <c r="D21" s="74">
        <v>6</v>
      </c>
      <c r="E21" s="74">
        <v>9</v>
      </c>
      <c r="F21" s="74">
        <v>10</v>
      </c>
      <c r="G21" s="74">
        <v>14</v>
      </c>
      <c r="H21" s="75">
        <v>16</v>
      </c>
      <c r="I21" s="53" t="str">
        <v/>
      </c>
      <c r="J21" s="53" t="str">
        <v/>
      </c>
      <c r="K21" s="53" t="str">
        <v/>
      </c>
      <c r="L21" s="53" t="str">
        <v/>
      </c>
      <c r="M21" s="71" t="str">
        <v/>
      </c>
    </row>
    <row r="22" spans="1:18" ht="30" customHeight="1">
      <c r="A22" s="91"/>
      <c r="B22" s="92"/>
      <c r="C22" s="93" t="str" cm="1">
        <f t="array" ref="C22:M22">TRANSPOSE(v1name_sort)</f>
        <v>Airport</v>
      </c>
      <c r="D22" s="94" t="str">
        <v>HKU</v>
      </c>
      <c r="E22" s="94" t="str">
        <v>Mai Po Nature Reserve</v>
      </c>
      <c r="F22" s="94" t="str">
        <v>Mong Kok</v>
      </c>
      <c r="G22" s="94" t="str">
        <v>Shek O</v>
      </c>
      <c r="H22" s="95" t="str">
        <v>Tai Kwun, Central</v>
      </c>
      <c r="I22" s="92" t="str">
        <v/>
      </c>
      <c r="J22" s="92" t="str">
        <v/>
      </c>
      <c r="K22" s="92" t="str">
        <v/>
      </c>
      <c r="L22" s="92" t="str">
        <v/>
      </c>
      <c r="M22" s="96" t="str">
        <v/>
      </c>
    </row>
    <row r="23" spans="1:18">
      <c r="A23" s="97" cm="1">
        <f t="array" ref="A23:A33">_xlfn._xlws.SORT(v1ref_sort)</f>
        <v>1</v>
      </c>
      <c r="B23" s="51" t="str" cm="1">
        <f t="array" ref="B23:B33">v1name_sort</f>
        <v>Airport</v>
      </c>
      <c r="C23" s="77">
        <f t="shared" ref="C23:L32" si="8">IFERROR(INDEX(time_matrix,MATCH($A23,hs_ref,0),MATCH(C$21,hs_ref,0)),"")</f>
        <v>10000</v>
      </c>
      <c r="D23" s="50">
        <f t="shared" si="8"/>
        <v>65</v>
      </c>
      <c r="E23" s="50">
        <f t="shared" si="8"/>
        <v>115</v>
      </c>
      <c r="F23" s="50">
        <f t="shared" si="8"/>
        <v>57</v>
      </c>
      <c r="G23" s="50">
        <f t="shared" si="8"/>
        <v>98</v>
      </c>
      <c r="H23" s="78">
        <f t="shared" si="8"/>
        <v>58</v>
      </c>
      <c r="I23" s="51" t="str">
        <f t="shared" si="8"/>
        <v/>
      </c>
      <c r="J23" s="51" t="str">
        <f t="shared" si="8"/>
        <v/>
      </c>
      <c r="K23" s="51" t="str">
        <f t="shared" si="8"/>
        <v/>
      </c>
      <c r="L23" s="51" t="str">
        <f t="shared" si="8"/>
        <v/>
      </c>
      <c r="M23" s="65" t="str">
        <f t="shared" ref="M23:M35" si="9">IFERROR(INDEX(time_matrix,MATCH($A23,hs_ref,0),MATCH(M$21,hs_ref,0)),"")</f>
        <v/>
      </c>
    </row>
    <row r="24" spans="1:18">
      <c r="A24" s="97">
        <v>6</v>
      </c>
      <c r="B24" s="51" t="str">
        <v>HKU</v>
      </c>
      <c r="C24" s="77">
        <f t="shared" si="8"/>
        <v>51</v>
      </c>
      <c r="D24" s="50">
        <f t="shared" si="8"/>
        <v>10000</v>
      </c>
      <c r="E24" s="50">
        <f t="shared" si="8"/>
        <v>121</v>
      </c>
      <c r="F24" s="50">
        <f t="shared" si="8"/>
        <v>28</v>
      </c>
      <c r="G24" s="50">
        <f t="shared" si="8"/>
        <v>66</v>
      </c>
      <c r="H24" s="78">
        <f t="shared" si="8"/>
        <v>29</v>
      </c>
      <c r="I24" s="51" t="str">
        <f t="shared" si="8"/>
        <v/>
      </c>
      <c r="J24" s="51" t="str">
        <f t="shared" si="8"/>
        <v/>
      </c>
      <c r="K24" s="51" t="str">
        <f t="shared" si="8"/>
        <v/>
      </c>
      <c r="L24" s="51" t="str">
        <f t="shared" si="8"/>
        <v/>
      </c>
      <c r="M24" s="65" t="str">
        <f t="shared" si="9"/>
        <v/>
      </c>
    </row>
    <row r="25" spans="1:18">
      <c r="A25" s="97">
        <v>9</v>
      </c>
      <c r="B25" s="51" t="str">
        <v>Mai Po Nature Reserve</v>
      </c>
      <c r="C25" s="77">
        <f t="shared" si="8"/>
        <v>96</v>
      </c>
      <c r="D25" s="50">
        <f t="shared" si="8"/>
        <v>118</v>
      </c>
      <c r="E25" s="50">
        <f t="shared" si="8"/>
        <v>10000</v>
      </c>
      <c r="F25" s="50">
        <f t="shared" si="8"/>
        <v>101</v>
      </c>
      <c r="G25" s="50">
        <f t="shared" si="8"/>
        <v>188</v>
      </c>
      <c r="H25" s="78">
        <f t="shared" si="8"/>
        <v>137</v>
      </c>
      <c r="I25" s="51" t="str">
        <f t="shared" si="8"/>
        <v/>
      </c>
      <c r="J25" s="51" t="str">
        <f t="shared" si="8"/>
        <v/>
      </c>
      <c r="K25" s="51" t="str">
        <f t="shared" si="8"/>
        <v/>
      </c>
      <c r="L25" s="51" t="str">
        <f t="shared" si="8"/>
        <v/>
      </c>
      <c r="M25" s="65" t="str">
        <f t="shared" si="9"/>
        <v/>
      </c>
    </row>
    <row r="26" spans="1:18">
      <c r="A26" s="97">
        <v>10</v>
      </c>
      <c r="B26" s="51" t="str">
        <v>Mong Kok</v>
      </c>
      <c r="C26" s="77">
        <f t="shared" si="8"/>
        <v>55</v>
      </c>
      <c r="D26" s="50">
        <f t="shared" si="8"/>
        <v>33</v>
      </c>
      <c r="E26" s="50">
        <f t="shared" si="8"/>
        <v>104</v>
      </c>
      <c r="F26" s="50">
        <f t="shared" si="8"/>
        <v>10000</v>
      </c>
      <c r="G26" s="50">
        <f t="shared" si="8"/>
        <v>65</v>
      </c>
      <c r="H26" s="78">
        <f t="shared" si="8"/>
        <v>42</v>
      </c>
      <c r="I26" s="51" t="str">
        <f t="shared" si="8"/>
        <v/>
      </c>
      <c r="J26" s="51" t="str">
        <f t="shared" si="8"/>
        <v/>
      </c>
      <c r="K26" s="51" t="str">
        <f t="shared" si="8"/>
        <v/>
      </c>
      <c r="L26" s="51" t="str">
        <f t="shared" si="8"/>
        <v/>
      </c>
      <c r="M26" s="65" t="str">
        <f t="shared" si="9"/>
        <v/>
      </c>
    </row>
    <row r="27" spans="1:18">
      <c r="A27" s="97">
        <v>14</v>
      </c>
      <c r="B27" s="51" t="str">
        <v>Shek O</v>
      </c>
      <c r="C27" s="77">
        <f t="shared" si="8"/>
        <v>98</v>
      </c>
      <c r="D27" s="50">
        <f t="shared" si="8"/>
        <v>65</v>
      </c>
      <c r="E27" s="50">
        <f t="shared" si="8"/>
        <v>158</v>
      </c>
      <c r="F27" s="50">
        <f t="shared" si="8"/>
        <v>64</v>
      </c>
      <c r="G27" s="50">
        <f t="shared" si="8"/>
        <v>10000</v>
      </c>
      <c r="H27" s="78">
        <f t="shared" si="8"/>
        <v>65</v>
      </c>
      <c r="I27" s="51" t="str">
        <f t="shared" si="8"/>
        <v/>
      </c>
      <c r="J27" s="51" t="str">
        <f t="shared" si="8"/>
        <v/>
      </c>
      <c r="K27" s="51" t="str">
        <f t="shared" si="8"/>
        <v/>
      </c>
      <c r="L27" s="51" t="str">
        <f t="shared" si="8"/>
        <v/>
      </c>
      <c r="M27" s="65" t="str">
        <f t="shared" si="9"/>
        <v/>
      </c>
    </row>
    <row r="28" spans="1:18">
      <c r="A28" s="97">
        <v>16</v>
      </c>
      <c r="B28" s="51" t="str">
        <v>Tai Kwun, Central</v>
      </c>
      <c r="C28" s="77">
        <f t="shared" si="8"/>
        <v>74</v>
      </c>
      <c r="D28" s="50">
        <f t="shared" si="8"/>
        <v>25</v>
      </c>
      <c r="E28" s="50">
        <f t="shared" si="8"/>
        <v>117</v>
      </c>
      <c r="F28" s="50">
        <f t="shared" si="8"/>
        <v>28</v>
      </c>
      <c r="G28" s="50">
        <f t="shared" si="8"/>
        <v>65</v>
      </c>
      <c r="H28" s="78">
        <f t="shared" si="8"/>
        <v>10000</v>
      </c>
      <c r="I28" s="51" t="str">
        <f t="shared" si="8"/>
        <v/>
      </c>
      <c r="J28" s="51" t="str">
        <f t="shared" si="8"/>
        <v/>
      </c>
      <c r="K28" s="51" t="str">
        <f t="shared" si="8"/>
        <v/>
      </c>
      <c r="L28" s="51" t="str">
        <f t="shared" si="8"/>
        <v/>
      </c>
      <c r="M28" s="65" t="str">
        <f t="shared" si="9"/>
        <v/>
      </c>
    </row>
    <row r="29" spans="1:18" ht="17" hidden="1">
      <c r="A29" s="97" t="str">
        <v/>
      </c>
      <c r="B29" s="51" t="str">
        <v/>
      </c>
      <c r="C29" s="77" t="str">
        <f t="shared" si="8"/>
        <v/>
      </c>
      <c r="D29" s="50" t="str">
        <f t="shared" si="8"/>
        <v/>
      </c>
      <c r="E29" s="50" t="str">
        <f t="shared" si="8"/>
        <v/>
      </c>
      <c r="F29" s="50" t="str">
        <f t="shared" si="8"/>
        <v/>
      </c>
      <c r="G29" s="50" t="str">
        <f t="shared" si="8"/>
        <v/>
      </c>
      <c r="H29" s="78" t="str">
        <f t="shared" si="8"/>
        <v/>
      </c>
      <c r="I29" s="51" t="str">
        <f t="shared" si="8"/>
        <v/>
      </c>
      <c r="J29" s="51" t="str">
        <f t="shared" si="8"/>
        <v/>
      </c>
      <c r="K29" s="51" t="str">
        <f t="shared" si="8"/>
        <v/>
      </c>
      <c r="L29" s="51" t="str">
        <f t="shared" si="8"/>
        <v/>
      </c>
      <c r="M29" s="65" t="str">
        <f t="shared" si="9"/>
        <v/>
      </c>
    </row>
    <row r="30" spans="1:18" ht="17" hidden="1">
      <c r="A30" s="97" t="str">
        <v/>
      </c>
      <c r="B30" s="51" t="str">
        <v/>
      </c>
      <c r="C30" s="77" t="str">
        <f t="shared" si="8"/>
        <v/>
      </c>
      <c r="D30" s="50" t="str">
        <f t="shared" si="8"/>
        <v/>
      </c>
      <c r="E30" s="50" t="str">
        <f t="shared" si="8"/>
        <v/>
      </c>
      <c r="F30" s="50" t="str">
        <f t="shared" si="8"/>
        <v/>
      </c>
      <c r="G30" s="50" t="str">
        <f t="shared" si="8"/>
        <v/>
      </c>
      <c r="H30" s="78" t="str">
        <f t="shared" si="8"/>
        <v/>
      </c>
      <c r="I30" s="51" t="str">
        <f t="shared" si="8"/>
        <v/>
      </c>
      <c r="J30" s="51" t="str">
        <f t="shared" si="8"/>
        <v/>
      </c>
      <c r="K30" s="51" t="str">
        <f t="shared" si="8"/>
        <v/>
      </c>
      <c r="L30" s="51" t="str">
        <f t="shared" si="8"/>
        <v/>
      </c>
      <c r="M30" s="65" t="str">
        <f t="shared" si="9"/>
        <v/>
      </c>
    </row>
    <row r="31" spans="1:18" ht="17" hidden="1">
      <c r="A31" s="97" t="str">
        <v/>
      </c>
      <c r="B31" s="51" t="str">
        <v/>
      </c>
      <c r="C31" s="77" t="str">
        <f t="shared" si="8"/>
        <v/>
      </c>
      <c r="D31" s="50" t="str">
        <f t="shared" si="8"/>
        <v/>
      </c>
      <c r="E31" s="50" t="str">
        <f t="shared" si="8"/>
        <v/>
      </c>
      <c r="F31" s="50" t="str">
        <f t="shared" si="8"/>
        <v/>
      </c>
      <c r="G31" s="50" t="str">
        <f t="shared" si="8"/>
        <v/>
      </c>
      <c r="H31" s="78" t="str">
        <f t="shared" si="8"/>
        <v/>
      </c>
      <c r="I31" s="51" t="str">
        <f t="shared" si="8"/>
        <v/>
      </c>
      <c r="J31" s="51" t="str">
        <f t="shared" si="8"/>
        <v/>
      </c>
      <c r="K31" s="51" t="str">
        <f t="shared" si="8"/>
        <v/>
      </c>
      <c r="L31" s="51" t="str">
        <f t="shared" si="8"/>
        <v/>
      </c>
      <c r="M31" s="65" t="str">
        <f t="shared" si="9"/>
        <v/>
      </c>
    </row>
    <row r="32" spans="1:18" ht="17" hidden="1">
      <c r="A32" s="97" t="str">
        <v/>
      </c>
      <c r="B32" s="51" t="str">
        <v/>
      </c>
      <c r="C32" s="77" t="str">
        <f t="shared" si="8"/>
        <v/>
      </c>
      <c r="D32" s="50" t="str">
        <f t="shared" si="8"/>
        <v/>
      </c>
      <c r="E32" s="50" t="str">
        <f t="shared" si="8"/>
        <v/>
      </c>
      <c r="F32" s="50" t="str">
        <f t="shared" si="8"/>
        <v/>
      </c>
      <c r="G32" s="50" t="str">
        <f t="shared" si="8"/>
        <v/>
      </c>
      <c r="H32" s="78" t="str">
        <f t="shared" si="8"/>
        <v/>
      </c>
      <c r="I32" s="51" t="str">
        <f t="shared" si="8"/>
        <v/>
      </c>
      <c r="J32" s="51" t="str">
        <f t="shared" si="8"/>
        <v/>
      </c>
      <c r="K32" s="51" t="str">
        <f t="shared" si="8"/>
        <v/>
      </c>
      <c r="L32" s="51" t="str">
        <f t="shared" si="8"/>
        <v/>
      </c>
      <c r="M32" s="65" t="str">
        <f t="shared" si="9"/>
        <v/>
      </c>
    </row>
    <row r="33" spans="1:13" ht="17" hidden="1">
      <c r="A33" s="97" t="str">
        <v/>
      </c>
      <c r="B33" s="51" t="str">
        <v/>
      </c>
      <c r="C33" s="80" t="str">
        <f t="shared" ref="C33:L35" si="10">IFERROR(INDEX(time_matrix,MATCH($A33,hs_ref,0),MATCH(C$21,hs_ref,0)),"")</f>
        <v/>
      </c>
      <c r="D33" s="59" t="str">
        <f t="shared" si="10"/>
        <v/>
      </c>
      <c r="E33" s="59" t="str">
        <f t="shared" si="10"/>
        <v/>
      </c>
      <c r="F33" s="59" t="str">
        <f t="shared" si="10"/>
        <v/>
      </c>
      <c r="G33" s="59" t="str">
        <f t="shared" si="10"/>
        <v/>
      </c>
      <c r="H33" s="81" t="str">
        <f t="shared" si="10"/>
        <v/>
      </c>
      <c r="I33" s="60" t="str">
        <f t="shared" si="10"/>
        <v/>
      </c>
      <c r="J33" s="60" t="str">
        <f t="shared" si="10"/>
        <v/>
      </c>
      <c r="K33" s="60" t="str">
        <f t="shared" si="10"/>
        <v/>
      </c>
      <c r="L33" s="60" t="str">
        <f t="shared" si="10"/>
        <v/>
      </c>
      <c r="M33" s="61" t="str">
        <f t="shared" si="9"/>
        <v/>
      </c>
    </row>
    <row r="34" spans="1:13">
      <c r="A34" s="98"/>
      <c r="B34" s="53"/>
      <c r="C34" s="74" t="str">
        <f t="shared" si="10"/>
        <v/>
      </c>
      <c r="D34" s="74" t="str">
        <f t="shared" si="10"/>
        <v/>
      </c>
      <c r="E34" s="74" t="str">
        <f t="shared" si="10"/>
        <v/>
      </c>
      <c r="F34" s="74" t="str">
        <f t="shared" si="10"/>
        <v/>
      </c>
      <c r="G34" s="74" t="str">
        <f t="shared" si="10"/>
        <v/>
      </c>
      <c r="H34" s="74" t="str">
        <f t="shared" si="10"/>
        <v/>
      </c>
      <c r="I34" s="51" t="str">
        <f t="shared" si="10"/>
        <v/>
      </c>
      <c r="J34" s="51" t="str">
        <f t="shared" si="10"/>
        <v/>
      </c>
      <c r="K34" s="51" t="str">
        <f t="shared" si="10"/>
        <v/>
      </c>
      <c r="L34" s="51" t="str">
        <f t="shared" si="10"/>
        <v/>
      </c>
      <c r="M34" s="51" t="str">
        <f t="shared" si="9"/>
        <v/>
      </c>
    </row>
    <row r="35" spans="1:13">
      <c r="A35" s="88"/>
      <c r="B35" s="86"/>
      <c r="C35" s="87" t="str">
        <f t="shared" si="10"/>
        <v/>
      </c>
      <c r="D35" s="87" t="str">
        <f t="shared" si="10"/>
        <v/>
      </c>
      <c r="E35" s="87" t="str">
        <f t="shared" si="10"/>
        <v/>
      </c>
      <c r="F35" s="87" t="str">
        <f t="shared" si="10"/>
        <v/>
      </c>
      <c r="G35" s="87" t="str">
        <f t="shared" si="10"/>
        <v/>
      </c>
      <c r="H35" s="87" t="str">
        <f t="shared" si="10"/>
        <v/>
      </c>
      <c r="I35" s="51" t="str">
        <f t="shared" si="10"/>
        <v/>
      </c>
      <c r="J35" s="51" t="str">
        <f t="shared" si="10"/>
        <v/>
      </c>
      <c r="K35" s="51" t="str">
        <f t="shared" si="10"/>
        <v/>
      </c>
      <c r="L35" s="51" t="str">
        <f t="shared" si="10"/>
        <v/>
      </c>
      <c r="M35" s="51" t="str">
        <f t="shared" si="9"/>
        <v/>
      </c>
    </row>
    <row r="36" spans="1:13">
      <c r="A36" s="90"/>
      <c r="B36" s="68"/>
      <c r="C36" s="73"/>
      <c r="D36" s="74"/>
      <c r="E36" s="74"/>
      <c r="F36" s="74"/>
      <c r="G36" s="74"/>
      <c r="H36" s="75"/>
      <c r="I36" s="53"/>
      <c r="J36" s="53"/>
      <c r="K36" s="53"/>
      <c r="L36" s="53"/>
      <c r="M36" s="71"/>
    </row>
    <row r="37" spans="1:13" ht="30" customHeight="1">
      <c r="A37" s="97" t="s">
        <v>97</v>
      </c>
      <c r="C37" s="106"/>
      <c r="D37" s="67"/>
      <c r="E37" s="67"/>
      <c r="F37" s="67"/>
      <c r="G37" s="67"/>
      <c r="H37" s="107"/>
      <c r="M37" s="65"/>
    </row>
    <row r="38" spans="1:13">
      <c r="A38" s="89"/>
      <c r="B38" s="53"/>
      <c r="C38" s="73" cm="1">
        <f t="array" ref="C38:M38">TRANSPOSE(v1ref_sort)</f>
        <v>1</v>
      </c>
      <c r="D38" s="74">
        <v>6</v>
      </c>
      <c r="E38" s="74">
        <v>9</v>
      </c>
      <c r="F38" s="74">
        <v>10</v>
      </c>
      <c r="G38" s="74">
        <v>14</v>
      </c>
      <c r="H38" s="75">
        <v>16</v>
      </c>
      <c r="I38" s="68" t="str">
        <v/>
      </c>
      <c r="J38" s="68" t="str">
        <v/>
      </c>
      <c r="K38" s="68" t="str">
        <v/>
      </c>
      <c r="L38" s="68" t="str">
        <v/>
      </c>
      <c r="M38" s="99" t="str">
        <v/>
      </c>
    </row>
    <row r="39" spans="1:13" ht="33" customHeight="1">
      <c r="A39" s="97"/>
      <c r="C39" s="77" t="str" cm="1">
        <f t="array" ref="C39:M39">TRANSPOSE(v1name_sort)</f>
        <v>Airport</v>
      </c>
      <c r="D39" s="50" t="str">
        <v>HKU</v>
      </c>
      <c r="E39" s="50" t="str">
        <v>Mai Po Nature Reserve</v>
      </c>
      <c r="F39" s="50" t="str">
        <v>Mong Kok</v>
      </c>
      <c r="G39" s="50" t="str">
        <v>Shek O</v>
      </c>
      <c r="H39" s="78" t="str">
        <v>Tai Kwun, Central</v>
      </c>
      <c r="I39" s="92" t="str">
        <v/>
      </c>
      <c r="J39" s="92" t="str">
        <v/>
      </c>
      <c r="K39" s="92" t="str">
        <v/>
      </c>
      <c r="L39" s="92" t="str">
        <v/>
      </c>
      <c r="M39" s="96" t="str">
        <v/>
      </c>
    </row>
    <row r="40" spans="1:13">
      <c r="A40" s="97" cm="1">
        <f t="array" ref="A40:A50">_xlfn._xlws.SORT(v1ref_sort)</f>
        <v>1</v>
      </c>
      <c r="B40" s="51" t="str" cm="1">
        <f t="array" ref="B40:B50">v1name_sort</f>
        <v>Airport</v>
      </c>
      <c r="C40" s="77">
        <f t="shared" ref="C40:L49" si="11">IFERROR(INDEX(fee_matrix,MATCH($A40,hs_ref,0),MATCH(C$21,hs_ref,0)),"")</f>
        <v>10000</v>
      </c>
      <c r="D40" s="50">
        <f t="shared" si="11"/>
        <v>45</v>
      </c>
      <c r="E40" s="50">
        <f t="shared" si="11"/>
        <v>19.5</v>
      </c>
      <c r="F40" s="50">
        <f t="shared" si="11"/>
        <v>37</v>
      </c>
      <c r="G40" s="50">
        <f t="shared" si="11"/>
        <v>120</v>
      </c>
      <c r="H40" s="78">
        <f t="shared" si="11"/>
        <v>65</v>
      </c>
      <c r="I40" s="51" t="str">
        <f t="shared" si="11"/>
        <v/>
      </c>
      <c r="J40" s="51" t="str">
        <f t="shared" si="11"/>
        <v/>
      </c>
      <c r="K40" s="51" t="str">
        <f t="shared" si="11"/>
        <v/>
      </c>
      <c r="L40" s="51" t="str">
        <f t="shared" si="11"/>
        <v/>
      </c>
      <c r="M40" s="65" t="str">
        <f t="shared" ref="M40:M59" si="12">IFERROR(INDEX(fee_matrix,MATCH($A40,hs_ref,0),MATCH(M$21,hs_ref,0)),"")</f>
        <v/>
      </c>
    </row>
    <row r="41" spans="1:13">
      <c r="A41" s="97">
        <v>6</v>
      </c>
      <c r="B41" s="51" t="str">
        <v>HKU</v>
      </c>
      <c r="C41" s="77">
        <f t="shared" si="11"/>
        <v>110</v>
      </c>
      <c r="D41" s="50">
        <f t="shared" si="11"/>
        <v>10000</v>
      </c>
      <c r="E41" s="50">
        <f t="shared" si="11"/>
        <v>33.4</v>
      </c>
      <c r="F41" s="50">
        <f t="shared" si="11"/>
        <v>11.6</v>
      </c>
      <c r="G41" s="50">
        <f t="shared" si="11"/>
        <v>18.7</v>
      </c>
      <c r="H41" s="78">
        <f t="shared" si="11"/>
        <v>5.6</v>
      </c>
      <c r="I41" s="51" t="str">
        <f t="shared" si="11"/>
        <v/>
      </c>
      <c r="J41" s="51" t="str">
        <f t="shared" si="11"/>
        <v/>
      </c>
      <c r="K41" s="51" t="str">
        <f t="shared" si="11"/>
        <v/>
      </c>
      <c r="L41" s="51" t="str">
        <f t="shared" si="11"/>
        <v/>
      </c>
      <c r="M41" s="65" t="str">
        <f t="shared" si="12"/>
        <v/>
      </c>
    </row>
    <row r="42" spans="1:13">
      <c r="A42" s="97">
        <v>9</v>
      </c>
      <c r="B42" s="51" t="str">
        <v>Mai Po Nature Reserve</v>
      </c>
      <c r="C42" s="77">
        <f t="shared" si="11"/>
        <v>39.9</v>
      </c>
      <c r="D42" s="50">
        <f t="shared" si="11"/>
        <v>40.299999999999997</v>
      </c>
      <c r="E42" s="50">
        <f t="shared" si="11"/>
        <v>10000</v>
      </c>
      <c r="F42" s="50">
        <f t="shared" si="11"/>
        <v>32.1</v>
      </c>
      <c r="G42" s="50">
        <f t="shared" si="11"/>
        <v>39.5</v>
      </c>
      <c r="H42" s="78">
        <f t="shared" si="11"/>
        <v>40.299999999999997</v>
      </c>
      <c r="I42" s="51" t="str">
        <f t="shared" si="11"/>
        <v/>
      </c>
      <c r="J42" s="51" t="str">
        <f t="shared" si="11"/>
        <v/>
      </c>
      <c r="K42" s="51" t="str">
        <f t="shared" si="11"/>
        <v/>
      </c>
      <c r="L42" s="51" t="str">
        <f t="shared" si="11"/>
        <v/>
      </c>
      <c r="M42" s="65" t="str">
        <f t="shared" si="12"/>
        <v/>
      </c>
    </row>
    <row r="43" spans="1:13">
      <c r="A43" s="66">
        <v>10</v>
      </c>
      <c r="B43" s="60" t="str">
        <v>Mong Kok</v>
      </c>
      <c r="C43" s="80">
        <f t="shared" si="11"/>
        <v>33</v>
      </c>
      <c r="D43" s="59">
        <f t="shared" si="11"/>
        <v>13</v>
      </c>
      <c r="E43" s="59">
        <f t="shared" si="11"/>
        <v>25.3</v>
      </c>
      <c r="F43" s="59">
        <f t="shared" si="11"/>
        <v>10000</v>
      </c>
      <c r="G43" s="59">
        <f t="shared" si="11"/>
        <v>19.2</v>
      </c>
      <c r="H43" s="81">
        <f t="shared" si="11"/>
        <v>14.9</v>
      </c>
      <c r="I43" s="51" t="str">
        <f t="shared" si="11"/>
        <v/>
      </c>
      <c r="J43" s="51" t="str">
        <f t="shared" si="11"/>
        <v/>
      </c>
      <c r="K43" s="51" t="str">
        <f t="shared" si="11"/>
        <v/>
      </c>
      <c r="L43" s="51" t="str">
        <f t="shared" si="11"/>
        <v/>
      </c>
      <c r="M43" s="65" t="str">
        <f t="shared" si="12"/>
        <v/>
      </c>
    </row>
    <row r="44" spans="1:13" hidden="1">
      <c r="A44" s="97">
        <v>14</v>
      </c>
      <c r="B44" s="51" t="str">
        <v>Shek O</v>
      </c>
      <c r="C44" s="77">
        <f t="shared" si="11"/>
        <v>120</v>
      </c>
      <c r="D44" s="50">
        <f t="shared" si="11"/>
        <v>18.7</v>
      </c>
      <c r="E44" s="50">
        <f t="shared" si="11"/>
        <v>42.5</v>
      </c>
      <c r="F44" s="50">
        <f t="shared" si="11"/>
        <v>19.8</v>
      </c>
      <c r="G44" s="50">
        <f t="shared" si="11"/>
        <v>10000</v>
      </c>
      <c r="H44" s="78">
        <f t="shared" si="11"/>
        <v>18.7</v>
      </c>
      <c r="I44" s="51" t="str">
        <f t="shared" si="11"/>
        <v/>
      </c>
      <c r="J44" s="51" t="str">
        <f t="shared" si="11"/>
        <v/>
      </c>
      <c r="K44" s="51" t="str">
        <f t="shared" si="11"/>
        <v/>
      </c>
      <c r="L44" s="51" t="str">
        <f t="shared" si="11"/>
        <v/>
      </c>
      <c r="M44" s="65" t="str">
        <f t="shared" si="12"/>
        <v/>
      </c>
    </row>
    <row r="45" spans="1:13" hidden="1">
      <c r="A45" s="97">
        <v>16</v>
      </c>
      <c r="B45" s="51" t="str">
        <v>Tai Kwun, Central</v>
      </c>
      <c r="C45" s="77">
        <f t="shared" si="11"/>
        <v>40</v>
      </c>
      <c r="D45" s="50">
        <f t="shared" si="11"/>
        <v>5.6</v>
      </c>
      <c r="E45" s="50">
        <f t="shared" si="11"/>
        <v>33.4</v>
      </c>
      <c r="F45" s="50">
        <f t="shared" si="11"/>
        <v>12.5</v>
      </c>
      <c r="G45" s="50">
        <f t="shared" si="11"/>
        <v>18.7</v>
      </c>
      <c r="H45" s="78">
        <f t="shared" si="11"/>
        <v>10000</v>
      </c>
      <c r="I45" s="51" t="str">
        <f t="shared" si="11"/>
        <v/>
      </c>
      <c r="J45" s="51" t="str">
        <f t="shared" si="11"/>
        <v/>
      </c>
      <c r="K45" s="51" t="str">
        <f t="shared" si="11"/>
        <v/>
      </c>
      <c r="L45" s="51" t="str">
        <f t="shared" si="11"/>
        <v/>
      </c>
      <c r="M45" s="65" t="str">
        <f t="shared" si="12"/>
        <v/>
      </c>
    </row>
    <row r="46" spans="1:13" ht="17" hidden="1">
      <c r="A46" s="97" t="str">
        <v/>
      </c>
      <c r="B46" s="51" t="str">
        <v/>
      </c>
      <c r="C46" s="77" t="str">
        <f t="shared" si="11"/>
        <v/>
      </c>
      <c r="D46" s="50" t="str">
        <f t="shared" si="11"/>
        <v/>
      </c>
      <c r="E46" s="50" t="str">
        <f t="shared" si="11"/>
        <v/>
      </c>
      <c r="F46" s="50" t="str">
        <f t="shared" si="11"/>
        <v/>
      </c>
      <c r="G46" s="50" t="str">
        <f t="shared" si="11"/>
        <v/>
      </c>
      <c r="H46" s="78" t="str">
        <f t="shared" si="11"/>
        <v/>
      </c>
      <c r="I46" s="51" t="str">
        <f t="shared" si="11"/>
        <v/>
      </c>
      <c r="J46" s="51" t="str">
        <f t="shared" si="11"/>
        <v/>
      </c>
      <c r="K46" s="51" t="str">
        <f t="shared" si="11"/>
        <v/>
      </c>
      <c r="L46" s="51" t="str">
        <f t="shared" si="11"/>
        <v/>
      </c>
      <c r="M46" s="65" t="str">
        <f t="shared" si="12"/>
        <v/>
      </c>
    </row>
    <row r="47" spans="1:13" ht="17" hidden="1">
      <c r="A47" s="97" t="str">
        <v/>
      </c>
      <c r="B47" s="51" t="str">
        <v/>
      </c>
      <c r="C47" s="77" t="str">
        <f t="shared" si="11"/>
        <v/>
      </c>
      <c r="D47" s="50" t="str">
        <f t="shared" si="11"/>
        <v/>
      </c>
      <c r="E47" s="50" t="str">
        <f t="shared" si="11"/>
        <v/>
      </c>
      <c r="F47" s="50" t="str">
        <f t="shared" si="11"/>
        <v/>
      </c>
      <c r="G47" s="50" t="str">
        <f t="shared" si="11"/>
        <v/>
      </c>
      <c r="H47" s="78" t="str">
        <f t="shared" si="11"/>
        <v/>
      </c>
      <c r="I47" s="51" t="str">
        <f t="shared" si="11"/>
        <v/>
      </c>
      <c r="J47" s="51" t="str">
        <f t="shared" si="11"/>
        <v/>
      </c>
      <c r="K47" s="51" t="str">
        <f t="shared" si="11"/>
        <v/>
      </c>
      <c r="L47" s="51" t="str">
        <f t="shared" si="11"/>
        <v/>
      </c>
      <c r="M47" s="65" t="str">
        <f t="shared" si="12"/>
        <v/>
      </c>
    </row>
    <row r="48" spans="1:13" ht="17" hidden="1">
      <c r="A48" s="66" t="str">
        <v/>
      </c>
      <c r="B48" s="60" t="str">
        <v/>
      </c>
      <c r="C48" s="80" t="str">
        <f t="shared" si="11"/>
        <v/>
      </c>
      <c r="D48" s="59" t="str">
        <f t="shared" si="11"/>
        <v/>
      </c>
      <c r="E48" s="59" t="str">
        <f t="shared" si="11"/>
        <v/>
      </c>
      <c r="F48" s="59" t="str">
        <f t="shared" si="11"/>
        <v/>
      </c>
      <c r="G48" s="59" t="str">
        <f t="shared" si="11"/>
        <v/>
      </c>
      <c r="H48" s="81" t="str">
        <f t="shared" si="11"/>
        <v/>
      </c>
      <c r="I48" s="51" t="str">
        <f t="shared" si="11"/>
        <v/>
      </c>
      <c r="J48" s="51" t="str">
        <f t="shared" si="11"/>
        <v/>
      </c>
      <c r="K48" s="51" t="str">
        <f t="shared" si="11"/>
        <v/>
      </c>
      <c r="L48" s="51" t="str">
        <f t="shared" si="11"/>
        <v/>
      </c>
      <c r="M48" s="65" t="str">
        <f t="shared" si="12"/>
        <v/>
      </c>
    </row>
    <row r="49" spans="1:13" ht="17">
      <c r="A49" s="32" t="str">
        <v/>
      </c>
      <c r="B49" s="51" t="str">
        <v/>
      </c>
      <c r="C49" s="50" t="str">
        <f t="shared" si="11"/>
        <v/>
      </c>
      <c r="D49" s="50" t="str">
        <f t="shared" si="11"/>
        <v/>
      </c>
      <c r="E49" s="50" t="str">
        <f t="shared" si="11"/>
        <v/>
      </c>
      <c r="F49" s="50" t="str">
        <f t="shared" si="11"/>
        <v/>
      </c>
      <c r="G49" s="50" t="str">
        <f t="shared" si="11"/>
        <v/>
      </c>
      <c r="H49" s="50" t="str">
        <f t="shared" si="11"/>
        <v/>
      </c>
      <c r="I49" s="51" t="str">
        <f t="shared" si="11"/>
        <v/>
      </c>
      <c r="J49" s="51" t="str">
        <f t="shared" si="11"/>
        <v/>
      </c>
      <c r="K49" s="51" t="str">
        <f t="shared" si="11"/>
        <v/>
      </c>
      <c r="L49" s="51" t="str">
        <f t="shared" si="11"/>
        <v/>
      </c>
      <c r="M49" s="65" t="str">
        <f t="shared" si="12"/>
        <v/>
      </c>
    </row>
    <row r="50" spans="1:13" ht="17">
      <c r="A50" s="32" t="str">
        <v/>
      </c>
      <c r="B50" s="51" t="str">
        <v/>
      </c>
      <c r="C50" s="50" t="str">
        <f t="shared" ref="C50:L59" si="13">IFERROR(INDEX(fee_matrix,MATCH($A50,hs_ref,0),MATCH(C$21,hs_ref,0)),"")</f>
        <v/>
      </c>
      <c r="D50" s="50" t="str">
        <f t="shared" si="13"/>
        <v/>
      </c>
      <c r="E50" s="50" t="str">
        <f t="shared" si="13"/>
        <v/>
      </c>
      <c r="F50" s="50" t="str">
        <f t="shared" si="13"/>
        <v/>
      </c>
      <c r="G50" s="50" t="str">
        <f t="shared" si="13"/>
        <v/>
      </c>
      <c r="H50" s="50" t="str">
        <f t="shared" si="13"/>
        <v/>
      </c>
      <c r="I50" s="60" t="str">
        <f t="shared" si="13"/>
        <v/>
      </c>
      <c r="J50" s="60" t="str">
        <f t="shared" si="13"/>
        <v/>
      </c>
      <c r="K50" s="60" t="str">
        <f t="shared" si="13"/>
        <v/>
      </c>
      <c r="L50" s="60" t="str">
        <f t="shared" si="13"/>
        <v/>
      </c>
      <c r="M50" s="61" t="str">
        <f t="shared" si="12"/>
        <v/>
      </c>
    </row>
    <row r="51" spans="1:13">
      <c r="C51" s="50" t="str">
        <f t="shared" si="13"/>
        <v/>
      </c>
      <c r="D51" s="50" t="str">
        <f t="shared" si="13"/>
        <v/>
      </c>
      <c r="E51" s="50" t="str">
        <f t="shared" si="13"/>
        <v/>
      </c>
      <c r="F51" s="50" t="str">
        <f t="shared" si="13"/>
        <v/>
      </c>
      <c r="G51" s="50" t="str">
        <f t="shared" si="13"/>
        <v/>
      </c>
      <c r="H51" s="50" t="str">
        <f t="shared" si="13"/>
        <v/>
      </c>
      <c r="I51" s="51" t="str">
        <f t="shared" si="13"/>
        <v/>
      </c>
      <c r="J51" s="51" t="str">
        <f t="shared" si="13"/>
        <v/>
      </c>
      <c r="K51" s="51" t="str">
        <f t="shared" si="13"/>
        <v/>
      </c>
      <c r="L51" s="51" t="str">
        <f t="shared" si="13"/>
        <v/>
      </c>
      <c r="M51" s="51" t="str">
        <f t="shared" si="12"/>
        <v/>
      </c>
    </row>
    <row r="52" spans="1:13">
      <c r="C52" s="50" t="str">
        <f t="shared" si="13"/>
        <v/>
      </c>
      <c r="D52" s="50" t="str">
        <f t="shared" si="13"/>
        <v/>
      </c>
      <c r="E52" s="50" t="str">
        <f t="shared" si="13"/>
        <v/>
      </c>
      <c r="F52" s="50" t="str">
        <f t="shared" si="13"/>
        <v/>
      </c>
      <c r="G52" s="50" t="str">
        <f t="shared" si="13"/>
        <v/>
      </c>
      <c r="H52" s="50" t="str">
        <f t="shared" si="13"/>
        <v/>
      </c>
      <c r="I52" s="51" t="str">
        <f t="shared" si="13"/>
        <v/>
      </c>
      <c r="J52" s="51" t="str">
        <f t="shared" si="13"/>
        <v/>
      </c>
      <c r="K52" s="51" t="str">
        <f t="shared" si="13"/>
        <v/>
      </c>
      <c r="L52" s="51" t="str">
        <f t="shared" si="13"/>
        <v/>
      </c>
      <c r="M52" s="51" t="str">
        <f t="shared" si="12"/>
        <v/>
      </c>
    </row>
    <row r="53" spans="1:13">
      <c r="C53" s="50" t="str">
        <f t="shared" si="13"/>
        <v/>
      </c>
      <c r="D53" s="50" t="str">
        <f t="shared" si="13"/>
        <v/>
      </c>
      <c r="E53" s="50" t="str">
        <f t="shared" si="13"/>
        <v/>
      </c>
      <c r="F53" s="50" t="str">
        <f t="shared" si="13"/>
        <v/>
      </c>
      <c r="G53" s="50" t="str">
        <f t="shared" si="13"/>
        <v/>
      </c>
      <c r="H53" s="50" t="str">
        <f t="shared" si="13"/>
        <v/>
      </c>
      <c r="I53" s="51" t="str">
        <f t="shared" si="13"/>
        <v/>
      </c>
      <c r="J53" s="51" t="str">
        <f t="shared" si="13"/>
        <v/>
      </c>
      <c r="K53" s="51" t="str">
        <f t="shared" si="13"/>
        <v/>
      </c>
      <c r="L53" s="51" t="str">
        <f t="shared" si="13"/>
        <v/>
      </c>
      <c r="M53" s="51" t="str">
        <f t="shared" si="12"/>
        <v/>
      </c>
    </row>
    <row r="54" spans="1:13">
      <c r="C54" s="50" t="str">
        <f t="shared" si="13"/>
        <v/>
      </c>
      <c r="D54" s="50" t="str">
        <f t="shared" si="13"/>
        <v/>
      </c>
      <c r="E54" s="50" t="str">
        <f t="shared" si="13"/>
        <v/>
      </c>
      <c r="F54" s="50" t="str">
        <f t="shared" si="13"/>
        <v/>
      </c>
      <c r="G54" s="50" t="str">
        <f t="shared" si="13"/>
        <v/>
      </c>
      <c r="H54" s="50" t="str">
        <f t="shared" si="13"/>
        <v/>
      </c>
      <c r="I54" s="51" t="str">
        <f t="shared" si="13"/>
        <v/>
      </c>
      <c r="J54" s="51" t="str">
        <f t="shared" si="13"/>
        <v/>
      </c>
      <c r="K54" s="51" t="str">
        <f t="shared" si="13"/>
        <v/>
      </c>
      <c r="L54" s="51" t="str">
        <f t="shared" si="13"/>
        <v/>
      </c>
      <c r="M54" s="51" t="str">
        <f t="shared" si="12"/>
        <v/>
      </c>
    </row>
    <row r="55" spans="1:13">
      <c r="C55" s="50" t="str">
        <f t="shared" si="13"/>
        <v/>
      </c>
      <c r="D55" s="50" t="str">
        <f t="shared" si="13"/>
        <v/>
      </c>
      <c r="E55" s="50" t="str">
        <f t="shared" si="13"/>
        <v/>
      </c>
      <c r="F55" s="50" t="str">
        <f t="shared" si="13"/>
        <v/>
      </c>
      <c r="G55" s="50" t="str">
        <f t="shared" si="13"/>
        <v/>
      </c>
      <c r="H55" s="50" t="str">
        <f t="shared" si="13"/>
        <v/>
      </c>
      <c r="I55" s="51" t="str">
        <f t="shared" si="13"/>
        <v/>
      </c>
      <c r="J55" s="51" t="str">
        <f t="shared" si="13"/>
        <v/>
      </c>
      <c r="K55" s="51" t="str">
        <f t="shared" si="13"/>
        <v/>
      </c>
      <c r="L55" s="51" t="str">
        <f t="shared" si="13"/>
        <v/>
      </c>
      <c r="M55" s="51" t="str">
        <f t="shared" si="12"/>
        <v/>
      </c>
    </row>
    <row r="56" spans="1:13">
      <c r="C56" s="50" t="str">
        <f t="shared" si="13"/>
        <v/>
      </c>
      <c r="D56" s="50" t="str">
        <f t="shared" si="13"/>
        <v/>
      </c>
      <c r="E56" s="50" t="str">
        <f t="shared" si="13"/>
        <v/>
      </c>
      <c r="F56" s="50" t="str">
        <f t="shared" si="13"/>
        <v/>
      </c>
      <c r="G56" s="50" t="str">
        <f t="shared" si="13"/>
        <v/>
      </c>
      <c r="H56" s="50" t="str">
        <f t="shared" si="13"/>
        <v/>
      </c>
      <c r="I56" s="51" t="str">
        <f t="shared" si="13"/>
        <v/>
      </c>
      <c r="J56" s="51" t="str">
        <f t="shared" si="13"/>
        <v/>
      </c>
      <c r="K56" s="51" t="str">
        <f t="shared" si="13"/>
        <v/>
      </c>
      <c r="L56" s="51" t="str">
        <f t="shared" si="13"/>
        <v/>
      </c>
      <c r="M56" s="51" t="str">
        <f t="shared" si="12"/>
        <v/>
      </c>
    </row>
    <row r="57" spans="1:13">
      <c r="C57" s="50" t="str">
        <f t="shared" si="13"/>
        <v/>
      </c>
      <c r="D57" s="50" t="str">
        <f t="shared" si="13"/>
        <v/>
      </c>
      <c r="E57" s="50" t="str">
        <f t="shared" si="13"/>
        <v/>
      </c>
      <c r="F57" s="50" t="str">
        <f t="shared" si="13"/>
        <v/>
      </c>
      <c r="G57" s="50" t="str">
        <f t="shared" si="13"/>
        <v/>
      </c>
      <c r="H57" s="50" t="str">
        <f t="shared" si="13"/>
        <v/>
      </c>
      <c r="I57" s="51" t="str">
        <f t="shared" si="13"/>
        <v/>
      </c>
      <c r="J57" s="51" t="str">
        <f t="shared" si="13"/>
        <v/>
      </c>
      <c r="K57" s="51" t="str">
        <f t="shared" si="13"/>
        <v/>
      </c>
      <c r="L57" s="51" t="str">
        <f t="shared" si="13"/>
        <v/>
      </c>
      <c r="M57" s="51" t="str">
        <f t="shared" si="12"/>
        <v/>
      </c>
    </row>
    <row r="58" spans="1:13">
      <c r="C58" s="50" t="str">
        <f t="shared" si="13"/>
        <v/>
      </c>
      <c r="D58" s="50" t="str">
        <f t="shared" si="13"/>
        <v/>
      </c>
      <c r="E58" s="50" t="str">
        <f t="shared" si="13"/>
        <v/>
      </c>
      <c r="F58" s="50" t="str">
        <f t="shared" si="13"/>
        <v/>
      </c>
      <c r="G58" s="50" t="str">
        <f t="shared" si="13"/>
        <v/>
      </c>
      <c r="H58" s="50" t="str">
        <f t="shared" si="13"/>
        <v/>
      </c>
      <c r="I58" s="51" t="str">
        <f t="shared" si="13"/>
        <v/>
      </c>
      <c r="J58" s="51" t="str">
        <f t="shared" si="13"/>
        <v/>
      </c>
      <c r="K58" s="51" t="str">
        <f t="shared" si="13"/>
        <v/>
      </c>
      <c r="L58" s="51" t="str">
        <f t="shared" si="13"/>
        <v/>
      </c>
      <c r="M58" s="51" t="str">
        <f t="shared" si="12"/>
        <v/>
      </c>
    </row>
    <row r="59" spans="1:13">
      <c r="C59" s="50" t="str">
        <f t="shared" si="13"/>
        <v/>
      </c>
      <c r="D59" s="50" t="str">
        <f t="shared" si="13"/>
        <v/>
      </c>
      <c r="E59" s="50" t="str">
        <f t="shared" si="13"/>
        <v/>
      </c>
      <c r="F59" s="50" t="str">
        <f t="shared" si="13"/>
        <v/>
      </c>
      <c r="G59" s="50" t="str">
        <f t="shared" si="13"/>
        <v/>
      </c>
      <c r="H59" s="50" t="str">
        <f t="shared" si="13"/>
        <v/>
      </c>
      <c r="I59" s="51" t="str">
        <f t="shared" si="13"/>
        <v/>
      </c>
      <c r="J59" s="51" t="str">
        <f t="shared" si="13"/>
        <v/>
      </c>
      <c r="K59" s="51" t="str">
        <f t="shared" si="13"/>
        <v/>
      </c>
      <c r="L59" s="51" t="str">
        <f t="shared" si="13"/>
        <v/>
      </c>
      <c r="M59" s="51" t="str">
        <f t="shared" si="12"/>
        <v/>
      </c>
    </row>
  </sheetData>
  <mergeCells count="1">
    <mergeCell ref="A3:B3"/>
  </mergeCells>
  <phoneticPr fontId="1" type="noConversion"/>
  <conditionalFormatting sqref="C5:H10">
    <cfRule type="cellIs" dxfId="6" priority="1" operator="equal">
      <formula>0</formula>
    </cfRule>
  </conditionalFormatting>
  <conditionalFormatting sqref="C5:M15">
    <cfRule type="cellIs" dxfId="5" priority="2" operator="equal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DB1E6-3EA0-F34E-A5F5-475AB11FF956}">
  <dimension ref="A1:AP60"/>
  <sheetViews>
    <sheetView zoomScale="117" workbookViewId="0">
      <selection activeCell="P17" sqref="P17"/>
    </sheetView>
  </sheetViews>
  <sheetFormatPr baseColWidth="10" defaultColWidth="8.83203125" defaultRowHeight="16"/>
  <cols>
    <col min="1" max="1" width="12.83203125" style="32" customWidth="1"/>
    <col min="2" max="2" width="23.1640625" style="51" customWidth="1"/>
    <col min="3" max="8" width="10.83203125" style="50" customWidth="1"/>
    <col min="9" max="9" width="10.83203125" style="50" hidden="1" customWidth="1"/>
    <col min="10" max="13" width="5.6640625" style="51" hidden="1" customWidth="1"/>
    <col min="14" max="15" width="8.83203125" style="51"/>
    <col min="16" max="16" width="10" style="51" customWidth="1"/>
    <col min="17" max="17" width="10" style="51" hidden="1" customWidth="1"/>
    <col min="18" max="18" width="10" style="51" customWidth="1"/>
    <col min="19" max="19" width="8.83203125" style="51"/>
    <col min="20" max="20" width="10.6640625" style="51" customWidth="1"/>
    <col min="21" max="21" width="15.83203125" style="51" customWidth="1"/>
    <col min="22" max="16384" width="8.83203125" style="51"/>
  </cols>
  <sheetData>
    <row r="1" spans="1:42" ht="37.5" customHeight="1">
      <c r="A1" s="101" t="s">
        <v>61</v>
      </c>
      <c r="B1" s="100"/>
      <c r="T1" s="52" t="s">
        <v>79</v>
      </c>
      <c r="U1" s="103" t="s">
        <v>98</v>
      </c>
      <c r="V1" s="53"/>
      <c r="W1" s="54"/>
      <c r="X1" s="54"/>
      <c r="Y1" s="54"/>
      <c r="Z1" s="55"/>
      <c r="AB1" s="64" t="s">
        <v>99</v>
      </c>
      <c r="AC1" s="28" t="s">
        <v>100</v>
      </c>
      <c r="AH1" s="65"/>
      <c r="AI1" s="56"/>
      <c r="AJ1" s="56"/>
      <c r="AK1" s="56"/>
    </row>
    <row r="2" spans="1:42" ht="34" customHeight="1">
      <c r="A2" s="49" t="s">
        <v>101</v>
      </c>
      <c r="B2" s="50">
        <f>HotspotsGenerarator!H3</f>
        <v>6</v>
      </c>
      <c r="S2" s="102" t="s">
        <v>73</v>
      </c>
      <c r="T2" s="57" t="s">
        <v>83</v>
      </c>
      <c r="U2" s="58">
        <f>SUMPRODUCT(C6:M16,df_v1time)+SUMPRODUCT(P6:P11,R6:R11)</f>
        <v>712</v>
      </c>
      <c r="V2" s="59" t="s">
        <v>84</v>
      </c>
      <c r="W2" s="59" t="str">
        <f>"("&amp;QUOTIENT(U2,60)&amp;":"&amp;IF(MOD(U2,60)&lt;10,"0"&amp;MOD(U2,60),MOD(U2,60))&amp;")"</f>
        <v>(11:52)</v>
      </c>
      <c r="X2" s="59" t="s">
        <v>102</v>
      </c>
      <c r="Y2" s="60"/>
      <c r="Z2" s="61"/>
      <c r="AB2" s="57" t="s">
        <v>103</v>
      </c>
      <c r="AC2" s="58">
        <f>SUMPRODUCT(C6:M16,df_v1fee)</f>
        <v>127.60000000000001</v>
      </c>
      <c r="AD2" s="59" t="s">
        <v>104</v>
      </c>
      <c r="AE2" s="60"/>
      <c r="AF2" s="60"/>
      <c r="AG2" s="60"/>
      <c r="AH2" s="61"/>
    </row>
    <row r="3" spans="1:42" ht="22" customHeight="1">
      <c r="A3" s="141" t="s">
        <v>105</v>
      </c>
      <c r="B3" s="142"/>
      <c r="C3" s="104" cm="1">
        <f t="array" ref="C3:M3">TRANSPOSE(v1ref_sort)</f>
        <v>1</v>
      </c>
      <c r="D3" s="62">
        <v>6</v>
      </c>
      <c r="E3" s="62">
        <v>9</v>
      </c>
      <c r="F3" s="62">
        <v>10</v>
      </c>
      <c r="G3" s="62">
        <v>14</v>
      </c>
      <c r="H3" s="63">
        <v>16</v>
      </c>
      <c r="I3" s="63" t="str">
        <v/>
      </c>
      <c r="J3" s="51" t="str">
        <v/>
      </c>
      <c r="K3" s="51" t="str">
        <v/>
      </c>
      <c r="L3" s="51" t="str">
        <v/>
      </c>
      <c r="M3" s="51" t="str">
        <v/>
      </c>
      <c r="N3" s="104" t="s">
        <v>106</v>
      </c>
      <c r="O3" s="149" t="str">
        <f>SUMPRODUCT(C6:M16,df_v1time)+SUMPRODUCT(P6:P11,R6:R11) &amp;" minutes"</f>
        <v>712 minutes</v>
      </c>
      <c r="P3" s="150"/>
      <c r="T3" s="51" t="s">
        <v>107</v>
      </c>
      <c r="U3" s="51">
        <f>SUMPRODUCT(C6:H11,C39:H44)+SUMPRODUCT(P6:P11,S6:S11)</f>
        <v>297.60000000000002</v>
      </c>
    </row>
    <row r="4" spans="1:42" ht="49" customHeight="1">
      <c r="A4" s="66" t="s">
        <v>86</v>
      </c>
      <c r="B4" s="61" t="s">
        <v>51</v>
      </c>
      <c r="C4" s="67" t="str" cm="1">
        <f t="array" ref="C4:M4">TRANSPOSE(v1name_sort)</f>
        <v>Airport</v>
      </c>
      <c r="D4" s="67" t="str">
        <v>HKU</v>
      </c>
      <c r="E4" s="67" t="str">
        <v>Mai Po Nature Reserve</v>
      </c>
      <c r="F4" s="67" t="str">
        <v>Mong Kok</v>
      </c>
      <c r="G4" s="67" t="str">
        <v>Shek O</v>
      </c>
      <c r="H4" s="67" t="str">
        <v>Tai Kwun, Central</v>
      </c>
      <c r="I4" s="50" t="str">
        <v/>
      </c>
      <c r="J4" s="68" t="str">
        <v/>
      </c>
      <c r="K4" s="68" t="str">
        <v/>
      </c>
      <c r="L4" s="68" t="str">
        <v/>
      </c>
      <c r="M4" s="68" t="str">
        <v/>
      </c>
      <c r="N4" s="143" t="s">
        <v>89</v>
      </c>
      <c r="O4" s="144"/>
      <c r="P4" s="145"/>
      <c r="Q4" s="105" t="s">
        <v>108</v>
      </c>
      <c r="R4" s="124" t="s">
        <v>108</v>
      </c>
      <c r="S4" s="50" t="s">
        <v>109</v>
      </c>
    </row>
    <row r="5" spans="1:42" ht="24" hidden="1" customHeight="1">
      <c r="A5" s="97"/>
      <c r="B5" s="65"/>
      <c r="C5" s="67"/>
      <c r="D5" s="67"/>
      <c r="E5" s="67"/>
      <c r="F5" s="67"/>
      <c r="G5" s="67"/>
      <c r="H5" s="67"/>
      <c r="J5" s="68"/>
      <c r="K5" s="68"/>
      <c r="L5" s="68"/>
      <c r="M5" s="68"/>
      <c r="N5" s="77"/>
      <c r="O5" s="50"/>
      <c r="P5" s="78"/>
      <c r="Q5" s="64"/>
      <c r="R5" s="64"/>
      <c r="S5" s="50"/>
    </row>
    <row r="6" spans="1:42">
      <c r="A6" s="70" cm="1">
        <f t="array" ref="A6:A16">_xlfn._xlws.SORT(v1ref)</f>
        <v>1</v>
      </c>
      <c r="B6" s="71" t="str" cm="1">
        <f t="array" ref="B6">IFERROR(INDEX(hs_name,A6),"")</f>
        <v>Airport</v>
      </c>
      <c r="C6" s="69">
        <v>0</v>
      </c>
      <c r="D6" s="69">
        <v>0</v>
      </c>
      <c r="E6" s="69">
        <v>1</v>
      </c>
      <c r="F6" s="69">
        <v>0</v>
      </c>
      <c r="G6" s="69">
        <v>0</v>
      </c>
      <c r="H6" s="69">
        <v>0</v>
      </c>
      <c r="I6" s="69">
        <v>0</v>
      </c>
      <c r="J6" s="72">
        <v>0</v>
      </c>
      <c r="K6" s="72">
        <v>0</v>
      </c>
      <c r="L6" s="72">
        <v>0</v>
      </c>
      <c r="M6" s="72">
        <v>0</v>
      </c>
      <c r="N6" s="77">
        <f t="shared" ref="N6" si="0">SUM(C6:M6)</f>
        <v>1</v>
      </c>
      <c r="O6" s="50" t="s">
        <v>91</v>
      </c>
      <c r="P6" s="78">
        <f>IF(A6&lt;&gt;"",1,0)</f>
        <v>1</v>
      </c>
      <c r="Q6" s="64">
        <f t="shared" ref="Q6:Q11" si="1">INDEX(hs_stay,MATCH(A6,hs_ref,0))</f>
        <v>15</v>
      </c>
      <c r="R6" s="64">
        <f>INDEX(hs_stay,MATCH(Model1_simplex!A6,hs_ref,0))</f>
        <v>15</v>
      </c>
      <c r="S6" s="50">
        <f>INDEX(Hotspot!$E$2:$E$21,MATCH(Model1_simplex!A6,hs_ref,0))</f>
        <v>0</v>
      </c>
      <c r="T6" s="50"/>
    </row>
    <row r="7" spans="1:42">
      <c r="A7" s="76">
        <v>6</v>
      </c>
      <c r="B7" s="65" t="str" cm="1">
        <f t="array" ref="B7">IFERROR(INDEX(hs_name,A7),"")</f>
        <v>HKU</v>
      </c>
      <c r="C7" s="50">
        <v>0</v>
      </c>
      <c r="D7" s="50">
        <v>0</v>
      </c>
      <c r="E7" s="50">
        <v>0</v>
      </c>
      <c r="F7" s="50">
        <v>0</v>
      </c>
      <c r="G7" s="50">
        <v>1</v>
      </c>
      <c r="H7" s="50">
        <v>0</v>
      </c>
      <c r="I7" s="50">
        <v>0</v>
      </c>
      <c r="J7" s="27">
        <v>0</v>
      </c>
      <c r="K7" s="27">
        <v>0</v>
      </c>
      <c r="L7" s="27">
        <v>0</v>
      </c>
      <c r="M7" s="27">
        <v>0</v>
      </c>
      <c r="N7" s="77">
        <f>SUM(C7:M7)</f>
        <v>1</v>
      </c>
      <c r="O7" s="50" t="s">
        <v>91</v>
      </c>
      <c r="P7" s="78">
        <f t="shared" ref="P7:P11" si="2">IF(A7&lt;&gt;"",1,0)</f>
        <v>1</v>
      </c>
      <c r="Q7" s="64">
        <f t="shared" si="1"/>
        <v>30</v>
      </c>
      <c r="R7" s="64">
        <f>INDEX(hs_stay,MATCH(Model1_simplex!A7,hs_ref,0))</f>
        <v>30</v>
      </c>
      <c r="S7" s="50">
        <f>INDEX(Hotspot!$E$2:$E$21,MATCH(Model1_simplex!A7,hs_ref,0))</f>
        <v>30</v>
      </c>
      <c r="T7" s="50"/>
    </row>
    <row r="8" spans="1:42">
      <c r="A8" s="76">
        <v>9</v>
      </c>
      <c r="B8" s="65" t="str" cm="1">
        <f t="array" ref="B8">IFERROR(INDEX(hs_name,A8),"")</f>
        <v>Mai Po Nature Reserve</v>
      </c>
      <c r="C8" s="50">
        <v>0</v>
      </c>
      <c r="D8" s="50">
        <v>0</v>
      </c>
      <c r="E8" s="50">
        <v>0</v>
      </c>
      <c r="F8" s="50">
        <v>1</v>
      </c>
      <c r="G8" s="50">
        <v>0</v>
      </c>
      <c r="H8" s="50">
        <v>0</v>
      </c>
      <c r="I8" s="50">
        <v>0</v>
      </c>
      <c r="J8" s="27">
        <v>0</v>
      </c>
      <c r="K8" s="27">
        <v>0</v>
      </c>
      <c r="L8" s="27">
        <v>0</v>
      </c>
      <c r="M8" s="27">
        <v>0</v>
      </c>
      <c r="N8" s="77">
        <f t="shared" ref="N8:N16" si="3">SUM(C8:M8)</f>
        <v>1</v>
      </c>
      <c r="O8" s="50" t="s">
        <v>91</v>
      </c>
      <c r="P8" s="78">
        <f t="shared" si="2"/>
        <v>1</v>
      </c>
      <c r="Q8" s="64">
        <f t="shared" si="1"/>
        <v>90</v>
      </c>
      <c r="R8" s="64">
        <f>INDEX(hs_stay,MATCH(Model1_simplex!A8,hs_ref,0))</f>
        <v>90</v>
      </c>
      <c r="S8" s="50">
        <f>INDEX(Hotspot!$E$2:$E$21,MATCH(Model1_simplex!A8,hs_ref,0))</f>
        <v>0</v>
      </c>
      <c r="T8" s="50"/>
    </row>
    <row r="9" spans="1:42">
      <c r="A9" s="76">
        <v>10</v>
      </c>
      <c r="B9" s="65" t="str" cm="1">
        <f t="array" ref="B9">IFERROR(INDEX(hs_name,A9),"")</f>
        <v>Mong Kok</v>
      </c>
      <c r="C9" s="50">
        <v>1</v>
      </c>
      <c r="D9" s="50">
        <v>0</v>
      </c>
      <c r="E9" s="50">
        <v>0</v>
      </c>
      <c r="F9" s="50">
        <v>0</v>
      </c>
      <c r="G9" s="50">
        <v>0</v>
      </c>
      <c r="H9" s="50">
        <v>0</v>
      </c>
      <c r="I9" s="50">
        <v>0</v>
      </c>
      <c r="J9" s="27">
        <v>0</v>
      </c>
      <c r="K9" s="27">
        <v>0</v>
      </c>
      <c r="L9" s="27">
        <v>0</v>
      </c>
      <c r="M9" s="27">
        <v>0</v>
      </c>
      <c r="N9" s="77">
        <f t="shared" si="3"/>
        <v>1</v>
      </c>
      <c r="O9" s="50" t="s">
        <v>91</v>
      </c>
      <c r="P9" s="78">
        <f t="shared" si="2"/>
        <v>1</v>
      </c>
      <c r="Q9" s="64">
        <f t="shared" si="1"/>
        <v>45</v>
      </c>
      <c r="R9" s="64">
        <f>INDEX(hs_stay,MATCH(Model1_simplex!A9,hs_ref,0))</f>
        <v>45</v>
      </c>
      <c r="S9" s="50">
        <f>INDEX(Hotspot!$E$2:$E$21,MATCH(Model1_simplex!A9,hs_ref,0))</f>
        <v>50</v>
      </c>
      <c r="T9" s="50"/>
    </row>
    <row r="10" spans="1:42">
      <c r="A10" s="76">
        <v>14</v>
      </c>
      <c r="B10" s="65" t="str" cm="1">
        <f t="array" ref="B10">IFERROR(INDEX(hs_name,A10),"")</f>
        <v>Shek O</v>
      </c>
      <c r="C10" s="50">
        <v>0</v>
      </c>
      <c r="D10" s="50">
        <v>0</v>
      </c>
      <c r="E10" s="50">
        <v>0</v>
      </c>
      <c r="F10" s="50">
        <v>0</v>
      </c>
      <c r="G10" s="50">
        <v>0</v>
      </c>
      <c r="H10" s="50">
        <v>1</v>
      </c>
      <c r="I10" s="50">
        <v>0</v>
      </c>
      <c r="J10" s="27">
        <v>0</v>
      </c>
      <c r="K10" s="27">
        <v>0</v>
      </c>
      <c r="L10" s="27">
        <v>0</v>
      </c>
      <c r="M10" s="27">
        <v>0</v>
      </c>
      <c r="N10" s="77">
        <f t="shared" si="3"/>
        <v>1</v>
      </c>
      <c r="O10" s="50" t="s">
        <v>91</v>
      </c>
      <c r="P10" s="78">
        <f t="shared" si="2"/>
        <v>1</v>
      </c>
      <c r="Q10" s="64">
        <f t="shared" si="1"/>
        <v>60</v>
      </c>
      <c r="R10" s="64">
        <f>INDEX(hs_stay,MATCH(Model1_simplex!A10,hs_ref,0))</f>
        <v>60</v>
      </c>
      <c r="S10" s="50">
        <f>INDEX(Hotspot!$E$2:$E$21,MATCH(Model1_simplex!A10,hs_ref,0))</f>
        <v>30</v>
      </c>
      <c r="T10" s="50"/>
    </row>
    <row r="11" spans="1:42">
      <c r="A11" s="79">
        <v>16</v>
      </c>
      <c r="B11" s="61" t="str" cm="1">
        <f t="array" ref="B11">IFERROR(INDEX(hs_name,A11),"")</f>
        <v>Tai Kwun, Central</v>
      </c>
      <c r="C11" s="50">
        <v>0</v>
      </c>
      <c r="D11" s="50">
        <v>1</v>
      </c>
      <c r="E11" s="50">
        <v>0</v>
      </c>
      <c r="F11" s="50">
        <v>0</v>
      </c>
      <c r="G11" s="50">
        <v>0</v>
      </c>
      <c r="H11" s="50">
        <v>0</v>
      </c>
      <c r="I11" s="50">
        <v>0</v>
      </c>
      <c r="J11" s="27">
        <v>0</v>
      </c>
      <c r="K11" s="27">
        <v>0</v>
      </c>
      <c r="L11" s="27">
        <v>0</v>
      </c>
      <c r="M11" s="27">
        <v>0</v>
      </c>
      <c r="N11" s="80">
        <f t="shared" si="3"/>
        <v>1</v>
      </c>
      <c r="O11" s="59" t="s">
        <v>91</v>
      </c>
      <c r="P11" s="81">
        <f t="shared" si="2"/>
        <v>1</v>
      </c>
      <c r="Q11" s="57">
        <f t="shared" si="1"/>
        <v>45</v>
      </c>
      <c r="R11" s="57">
        <f>INDEX(hs_stay,MATCH(Model1_simplex!A11,hs_ref,0))</f>
        <v>45</v>
      </c>
      <c r="S11" s="50">
        <f>INDEX(Hotspot!$E$2:$E$21,MATCH(Model1_simplex!A11,hs_ref,0))</f>
        <v>60</v>
      </c>
      <c r="T11" s="50"/>
    </row>
    <row r="12" spans="1:42" s="53" customFormat="1" ht="17" hidden="1">
      <c r="A12" s="70" t="str">
        <v/>
      </c>
      <c r="B12" s="53" t="str" cm="1">
        <f t="array" ref="B12">IFERROR(INDEX(hs_name,A12),"")</f>
        <v/>
      </c>
      <c r="C12" s="82">
        <v>0</v>
      </c>
      <c r="D12" s="74">
        <v>0</v>
      </c>
      <c r="E12" s="74">
        <v>0</v>
      </c>
      <c r="F12" s="74">
        <v>0</v>
      </c>
      <c r="G12" s="74">
        <v>0</v>
      </c>
      <c r="H12" s="74">
        <v>0</v>
      </c>
      <c r="I12" s="74">
        <v>0</v>
      </c>
      <c r="J12" s="41">
        <v>0</v>
      </c>
      <c r="K12" s="41">
        <v>0</v>
      </c>
      <c r="L12" s="41">
        <v>0</v>
      </c>
      <c r="M12" s="41">
        <v>0</v>
      </c>
      <c r="N12" s="73">
        <f t="shared" si="3"/>
        <v>0</v>
      </c>
      <c r="O12" s="74" t="s">
        <v>91</v>
      </c>
      <c r="P12" s="75">
        <f t="shared" ref="P12:P16" si="4">IF(A12&lt;&gt;"",1,0)</f>
        <v>0</v>
      </c>
      <c r="Q12" s="74"/>
      <c r="R12" s="50"/>
      <c r="S12" s="50"/>
      <c r="T12" s="50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</row>
    <row r="13" spans="1:42" ht="17" hidden="1">
      <c r="A13" s="76" t="str">
        <v/>
      </c>
      <c r="B13" s="51" t="str" cm="1">
        <f t="array" ref="B13">IFERROR(INDEX(hs_name,A13),"")</f>
        <v/>
      </c>
      <c r="C13" s="83">
        <v>0</v>
      </c>
      <c r="D13" s="50">
        <v>0</v>
      </c>
      <c r="E13" s="50">
        <v>0</v>
      </c>
      <c r="F13" s="50">
        <v>0</v>
      </c>
      <c r="G13" s="50">
        <v>0</v>
      </c>
      <c r="H13" s="50">
        <v>0</v>
      </c>
      <c r="I13" s="50">
        <v>0</v>
      </c>
      <c r="J13" s="27">
        <v>0</v>
      </c>
      <c r="K13" s="27">
        <v>0</v>
      </c>
      <c r="L13" s="27">
        <v>0</v>
      </c>
      <c r="M13" s="27">
        <v>0</v>
      </c>
      <c r="N13" s="77">
        <f t="shared" si="3"/>
        <v>0</v>
      </c>
      <c r="O13" s="50" t="s">
        <v>91</v>
      </c>
      <c r="P13" s="78">
        <f t="shared" si="4"/>
        <v>0</v>
      </c>
      <c r="Q13" s="50"/>
      <c r="R13" s="50"/>
      <c r="S13" s="50"/>
      <c r="T13" s="50"/>
    </row>
    <row r="14" spans="1:42" ht="17" hidden="1">
      <c r="A14" s="76" t="str">
        <v/>
      </c>
      <c r="B14" s="51" t="str" cm="1">
        <f t="array" ref="B14">IFERROR(INDEX(hs_name,A14),"")</f>
        <v/>
      </c>
      <c r="C14" s="83">
        <v>0</v>
      </c>
      <c r="D14" s="50">
        <v>0</v>
      </c>
      <c r="E14" s="50">
        <v>0</v>
      </c>
      <c r="F14" s="50">
        <v>0</v>
      </c>
      <c r="G14" s="50">
        <v>0</v>
      </c>
      <c r="H14" s="50">
        <v>0</v>
      </c>
      <c r="I14" s="50">
        <v>0</v>
      </c>
      <c r="J14" s="27">
        <v>0</v>
      </c>
      <c r="K14" s="27">
        <v>0</v>
      </c>
      <c r="L14" s="27">
        <v>0</v>
      </c>
      <c r="M14" s="27">
        <v>0</v>
      </c>
      <c r="N14" s="77">
        <f t="shared" si="3"/>
        <v>0</v>
      </c>
      <c r="O14" s="50" t="s">
        <v>91</v>
      </c>
      <c r="P14" s="78">
        <f t="shared" si="4"/>
        <v>0</v>
      </c>
      <c r="Q14" s="50"/>
      <c r="R14" s="50"/>
      <c r="S14" s="50"/>
      <c r="T14" s="50"/>
    </row>
    <row r="15" spans="1:42" ht="17" hidden="1">
      <c r="A15" s="76" t="str">
        <v/>
      </c>
      <c r="B15" s="51" t="str" cm="1">
        <f t="array" ref="B15">IFERROR(INDEX(hs_name,A15),"")</f>
        <v/>
      </c>
      <c r="C15" s="83">
        <v>0</v>
      </c>
      <c r="D15" s="50">
        <v>0</v>
      </c>
      <c r="E15" s="50">
        <v>0</v>
      </c>
      <c r="F15" s="50">
        <v>0</v>
      </c>
      <c r="G15" s="50">
        <v>0</v>
      </c>
      <c r="H15" s="50">
        <v>0</v>
      </c>
      <c r="I15" s="50">
        <v>0</v>
      </c>
      <c r="J15" s="27">
        <v>0</v>
      </c>
      <c r="K15" s="27">
        <v>0</v>
      </c>
      <c r="L15" s="27">
        <v>0</v>
      </c>
      <c r="M15" s="27">
        <v>0</v>
      </c>
      <c r="N15" s="77">
        <f t="shared" si="3"/>
        <v>0</v>
      </c>
      <c r="O15" s="50" t="s">
        <v>91</v>
      </c>
      <c r="P15" s="78">
        <f t="shared" si="4"/>
        <v>0</v>
      </c>
      <c r="Q15" s="50"/>
      <c r="R15" s="50"/>
      <c r="S15" s="50"/>
      <c r="T15" s="50"/>
    </row>
    <row r="16" spans="1:42" s="60" customFormat="1" ht="17" hidden="1">
      <c r="A16" s="79" t="str">
        <v/>
      </c>
      <c r="B16" s="60" t="str" cm="1">
        <f t="array" ref="B16">IFERROR(INDEX(hs_name,A16),"")</f>
        <v/>
      </c>
      <c r="C16" s="83">
        <v>0</v>
      </c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38">
        <v>0</v>
      </c>
      <c r="K16" s="38">
        <v>0</v>
      </c>
      <c r="L16" s="38">
        <v>0</v>
      </c>
      <c r="M16" s="38">
        <v>0</v>
      </c>
      <c r="N16" s="80">
        <f t="shared" si="3"/>
        <v>0</v>
      </c>
      <c r="O16" s="59" t="s">
        <v>91</v>
      </c>
      <c r="P16" s="81">
        <f t="shared" si="4"/>
        <v>0</v>
      </c>
      <c r="Q16" s="59"/>
      <c r="R16" s="50"/>
      <c r="S16" s="50"/>
      <c r="T16" s="50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</row>
    <row r="17" spans="1:25">
      <c r="B17" s="146" t="s">
        <v>89</v>
      </c>
      <c r="C17" s="73">
        <f t="shared" ref="C17:G17" si="5">SUM(C6:C16)</f>
        <v>1</v>
      </c>
      <c r="D17" s="74">
        <f t="shared" si="5"/>
        <v>1</v>
      </c>
      <c r="E17" s="74">
        <f t="shared" si="5"/>
        <v>1</v>
      </c>
      <c r="F17" s="74">
        <f t="shared" si="5"/>
        <v>1</v>
      </c>
      <c r="G17" s="74">
        <f t="shared" si="5"/>
        <v>1</v>
      </c>
      <c r="H17" s="75">
        <f>SUM(H6:H16)</f>
        <v>1</v>
      </c>
      <c r="I17" s="75">
        <f t="shared" ref="I17:M17" si="6">SUM(I6:I16)</f>
        <v>0</v>
      </c>
      <c r="J17" s="41">
        <f t="shared" si="6"/>
        <v>0</v>
      </c>
      <c r="K17" s="41">
        <f t="shared" si="6"/>
        <v>0</v>
      </c>
      <c r="L17" s="41">
        <f t="shared" si="6"/>
        <v>0</v>
      </c>
      <c r="M17" s="42">
        <f t="shared" si="6"/>
        <v>0</v>
      </c>
    </row>
    <row r="18" spans="1:25">
      <c r="B18" s="147"/>
      <c r="C18" s="77" t="s">
        <v>94</v>
      </c>
      <c r="D18" s="50" t="s">
        <v>91</v>
      </c>
      <c r="E18" s="50" t="s">
        <v>91</v>
      </c>
      <c r="F18" s="50" t="s">
        <v>91</v>
      </c>
      <c r="G18" s="50" t="s">
        <v>91</v>
      </c>
      <c r="H18" s="78" t="s">
        <v>91</v>
      </c>
      <c r="I18" s="78" t="s">
        <v>91</v>
      </c>
      <c r="J18" s="27" t="s">
        <v>91</v>
      </c>
      <c r="K18" s="27" t="s">
        <v>91</v>
      </c>
      <c r="L18" s="27" t="s">
        <v>91</v>
      </c>
      <c r="M18" s="34" t="s">
        <v>91</v>
      </c>
      <c r="N18" s="27">
        <f>E6+C8</f>
        <v>1</v>
      </c>
      <c r="O18" s="27" t="s">
        <v>95</v>
      </c>
      <c r="P18" s="27">
        <v>1</v>
      </c>
      <c r="R18" s="27"/>
    </row>
    <row r="19" spans="1:25">
      <c r="B19" s="148"/>
      <c r="C19" s="80">
        <v>1</v>
      </c>
      <c r="D19" s="59">
        <f t="shared" ref="D19:H19" si="7">IF(D3&lt;&gt;"",1,0)</f>
        <v>1</v>
      </c>
      <c r="E19" s="59">
        <f t="shared" si="7"/>
        <v>1</v>
      </c>
      <c r="F19" s="59">
        <f t="shared" si="7"/>
        <v>1</v>
      </c>
      <c r="G19" s="59">
        <f t="shared" si="7"/>
        <v>1</v>
      </c>
      <c r="H19" s="81">
        <f t="shared" si="7"/>
        <v>1</v>
      </c>
      <c r="I19" s="81">
        <f>IF(I3&lt;&gt;"",1,0)</f>
        <v>0</v>
      </c>
      <c r="J19" s="38">
        <f t="shared" ref="J19:M19" si="8">IF(J3&lt;&gt;"",1,0)</f>
        <v>0</v>
      </c>
      <c r="K19" s="38">
        <f t="shared" si="8"/>
        <v>0</v>
      </c>
      <c r="L19" s="38">
        <f t="shared" si="8"/>
        <v>0</v>
      </c>
      <c r="M19" s="43">
        <f t="shared" si="8"/>
        <v>0</v>
      </c>
      <c r="N19" s="27">
        <f>H7+D11</f>
        <v>1</v>
      </c>
      <c r="O19" s="27" t="s">
        <v>95</v>
      </c>
      <c r="P19" s="27">
        <v>1</v>
      </c>
      <c r="Q19" s="27"/>
    </row>
    <row r="20" spans="1:25">
      <c r="N20" s="27"/>
      <c r="O20" s="27"/>
      <c r="P20" s="27"/>
    </row>
    <row r="21" spans="1:25">
      <c r="A21" s="111" t="s">
        <v>96</v>
      </c>
      <c r="B21" s="119"/>
      <c r="C21" s="120"/>
      <c r="D21" s="120"/>
      <c r="E21" s="120"/>
      <c r="F21" s="120"/>
      <c r="G21" s="120"/>
      <c r="H21" s="121"/>
      <c r="O21" s="27"/>
      <c r="P21" s="27"/>
    </row>
    <row r="22" spans="1:25">
      <c r="A22" s="89"/>
      <c r="B22" s="53"/>
      <c r="C22" s="73" cm="1">
        <f t="array" ref="C22:M22">TRANSPOSE(v1ref_sort)</f>
        <v>1</v>
      </c>
      <c r="D22" s="74">
        <v>6</v>
      </c>
      <c r="E22" s="74">
        <v>9</v>
      </c>
      <c r="F22" s="74">
        <v>10</v>
      </c>
      <c r="G22" s="74">
        <v>14</v>
      </c>
      <c r="H22" s="75">
        <v>16</v>
      </c>
      <c r="I22" s="74" t="str">
        <v/>
      </c>
      <c r="J22" s="53" t="str">
        <v/>
      </c>
      <c r="K22" s="53" t="str">
        <v/>
      </c>
      <c r="L22" s="53" t="str">
        <v/>
      </c>
      <c r="M22" s="71" t="str">
        <v/>
      </c>
    </row>
    <row r="23" spans="1:25" ht="30" customHeight="1">
      <c r="A23" s="91"/>
      <c r="B23" s="92"/>
      <c r="C23" s="93" t="str" cm="1">
        <f t="array" ref="C23:M23">TRANSPOSE(v1name_sort)</f>
        <v>Airport</v>
      </c>
      <c r="D23" s="94" t="str">
        <v>HKU</v>
      </c>
      <c r="E23" s="94" t="str">
        <v>Mai Po Nature Reserve</v>
      </c>
      <c r="F23" s="94" t="str">
        <v>Mong Kok</v>
      </c>
      <c r="G23" s="94" t="str">
        <v>Shek O</v>
      </c>
      <c r="H23" s="95" t="str">
        <v>Tai Kwun, Central</v>
      </c>
      <c r="I23" s="113" t="str">
        <v/>
      </c>
      <c r="J23" s="92" t="str">
        <v/>
      </c>
      <c r="K23" s="92" t="str">
        <v/>
      </c>
      <c r="L23" s="92" t="str">
        <v/>
      </c>
      <c r="M23" s="96" t="str">
        <v/>
      </c>
    </row>
    <row r="24" spans="1:25">
      <c r="A24" s="97" cm="1">
        <f t="array" ref="A24:A34">_xlfn._xlws.SORT(v1ref_sort)</f>
        <v>1</v>
      </c>
      <c r="B24" s="51" t="str" cm="1">
        <f t="array" ref="B24:B34">v1name_sort</f>
        <v>Airport</v>
      </c>
      <c r="C24" s="77">
        <f t="shared" ref="C24:M34" si="9">IFERROR(INDEX(time_matrix,MATCH($A24,hs_ref,0),MATCH(C$22,hs_ref,0)),"")</f>
        <v>10000</v>
      </c>
      <c r="D24" s="50">
        <f t="shared" si="9"/>
        <v>65</v>
      </c>
      <c r="E24" s="50">
        <f t="shared" si="9"/>
        <v>115</v>
      </c>
      <c r="F24" s="50">
        <f t="shared" si="9"/>
        <v>57</v>
      </c>
      <c r="G24" s="50">
        <f t="shared" si="9"/>
        <v>98</v>
      </c>
      <c r="H24" s="78">
        <f t="shared" si="9"/>
        <v>58</v>
      </c>
      <c r="I24" s="50" t="str">
        <f t="shared" si="9"/>
        <v/>
      </c>
      <c r="J24" s="51" t="str">
        <f t="shared" si="9"/>
        <v/>
      </c>
      <c r="K24" s="51" t="str">
        <f t="shared" si="9"/>
        <v/>
      </c>
      <c r="L24" s="51" t="str">
        <f t="shared" si="9"/>
        <v/>
      </c>
      <c r="M24" s="65" t="str">
        <f t="shared" si="9"/>
        <v/>
      </c>
    </row>
    <row r="25" spans="1:25">
      <c r="A25" s="97">
        <v>6</v>
      </c>
      <c r="B25" s="51" t="str">
        <v>HKU</v>
      </c>
      <c r="C25" s="77">
        <f t="shared" si="9"/>
        <v>51</v>
      </c>
      <c r="D25" s="50">
        <f t="shared" si="9"/>
        <v>10000</v>
      </c>
      <c r="E25" s="50">
        <f t="shared" si="9"/>
        <v>121</v>
      </c>
      <c r="F25" s="50">
        <f t="shared" si="9"/>
        <v>28</v>
      </c>
      <c r="G25" s="50">
        <f t="shared" si="9"/>
        <v>66</v>
      </c>
      <c r="H25" s="78">
        <f t="shared" si="9"/>
        <v>29</v>
      </c>
      <c r="I25" s="50" t="str">
        <f t="shared" si="9"/>
        <v/>
      </c>
      <c r="J25" s="51" t="str">
        <f t="shared" si="9"/>
        <v/>
      </c>
      <c r="K25" s="51" t="str">
        <f t="shared" si="9"/>
        <v/>
      </c>
      <c r="L25" s="51" t="str">
        <f t="shared" si="9"/>
        <v/>
      </c>
      <c r="M25" s="65" t="str">
        <f t="shared" si="9"/>
        <v/>
      </c>
    </row>
    <row r="26" spans="1:25">
      <c r="A26" s="97">
        <v>9</v>
      </c>
      <c r="B26" s="51" t="str">
        <v>Mai Po Nature Reserve</v>
      </c>
      <c r="C26" s="77">
        <f t="shared" si="9"/>
        <v>96</v>
      </c>
      <c r="D26" s="50">
        <f t="shared" si="9"/>
        <v>118</v>
      </c>
      <c r="E26" s="50">
        <f t="shared" si="9"/>
        <v>10000</v>
      </c>
      <c r="F26" s="50">
        <f t="shared" si="9"/>
        <v>101</v>
      </c>
      <c r="G26" s="50">
        <f t="shared" si="9"/>
        <v>188</v>
      </c>
      <c r="H26" s="78">
        <f t="shared" si="9"/>
        <v>137</v>
      </c>
      <c r="I26" s="50" t="str">
        <f t="shared" si="9"/>
        <v/>
      </c>
      <c r="J26" s="51" t="str">
        <f t="shared" si="9"/>
        <v/>
      </c>
      <c r="K26" s="51" t="str">
        <f t="shared" si="9"/>
        <v/>
      </c>
      <c r="L26" s="51" t="str">
        <f t="shared" si="9"/>
        <v/>
      </c>
      <c r="M26" s="65" t="str">
        <f t="shared" si="9"/>
        <v/>
      </c>
      <c r="Y26" s="27"/>
    </row>
    <row r="27" spans="1:25">
      <c r="A27" s="97">
        <v>10</v>
      </c>
      <c r="B27" s="51" t="str">
        <v>Mong Kok</v>
      </c>
      <c r="C27" s="77">
        <f t="shared" si="9"/>
        <v>55</v>
      </c>
      <c r="D27" s="50">
        <f t="shared" si="9"/>
        <v>33</v>
      </c>
      <c r="E27" s="50">
        <f t="shared" si="9"/>
        <v>104</v>
      </c>
      <c r="F27" s="50">
        <f t="shared" si="9"/>
        <v>10000</v>
      </c>
      <c r="G27" s="50">
        <f t="shared" si="9"/>
        <v>65</v>
      </c>
      <c r="H27" s="78">
        <f t="shared" si="9"/>
        <v>42</v>
      </c>
      <c r="I27" s="50" t="str">
        <f t="shared" si="9"/>
        <v/>
      </c>
      <c r="J27" s="51" t="str">
        <f t="shared" si="9"/>
        <v/>
      </c>
      <c r="K27" s="51" t="str">
        <f t="shared" si="9"/>
        <v/>
      </c>
      <c r="L27" s="51" t="str">
        <f t="shared" si="9"/>
        <v/>
      </c>
      <c r="M27" s="65" t="str">
        <f t="shared" si="9"/>
        <v/>
      </c>
    </row>
    <row r="28" spans="1:25">
      <c r="A28" s="97">
        <v>14</v>
      </c>
      <c r="B28" s="51" t="str">
        <v>Shek O</v>
      </c>
      <c r="C28" s="77">
        <f t="shared" si="9"/>
        <v>98</v>
      </c>
      <c r="D28" s="50">
        <f t="shared" si="9"/>
        <v>65</v>
      </c>
      <c r="E28" s="50">
        <f t="shared" si="9"/>
        <v>158</v>
      </c>
      <c r="F28" s="50">
        <f t="shared" si="9"/>
        <v>64</v>
      </c>
      <c r="G28" s="50">
        <f t="shared" si="9"/>
        <v>10000</v>
      </c>
      <c r="H28" s="78">
        <f t="shared" si="9"/>
        <v>65</v>
      </c>
      <c r="I28" s="50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65" t="str">
        <f t="shared" si="9"/>
        <v/>
      </c>
    </row>
    <row r="29" spans="1:25">
      <c r="A29" s="66">
        <v>16</v>
      </c>
      <c r="B29" s="60" t="str">
        <v>Tai Kwun, Central</v>
      </c>
      <c r="C29" s="80">
        <f t="shared" si="9"/>
        <v>74</v>
      </c>
      <c r="D29" s="59">
        <f t="shared" si="9"/>
        <v>25</v>
      </c>
      <c r="E29" s="59">
        <f t="shared" si="9"/>
        <v>117</v>
      </c>
      <c r="F29" s="59">
        <f t="shared" si="9"/>
        <v>28</v>
      </c>
      <c r="G29" s="59">
        <f t="shared" si="9"/>
        <v>65</v>
      </c>
      <c r="H29" s="81">
        <f t="shared" si="9"/>
        <v>10000</v>
      </c>
      <c r="I29" s="50" t="str">
        <f t="shared" si="9"/>
        <v/>
      </c>
      <c r="J29" s="51" t="str">
        <f t="shared" si="9"/>
        <v/>
      </c>
      <c r="K29" s="51" t="str">
        <f t="shared" si="9"/>
        <v/>
      </c>
      <c r="L29" s="51" t="str">
        <f t="shared" si="9"/>
        <v/>
      </c>
      <c r="M29" s="65" t="str">
        <f t="shared" si="9"/>
        <v/>
      </c>
    </row>
    <row r="30" spans="1:25" ht="17">
      <c r="A30" s="97" t="str">
        <v/>
      </c>
      <c r="B30" s="51" t="str">
        <v/>
      </c>
      <c r="C30" s="77" t="str">
        <f t="shared" si="9"/>
        <v/>
      </c>
      <c r="D30" s="50" t="str">
        <f t="shared" si="9"/>
        <v/>
      </c>
      <c r="E30" s="50" t="str">
        <f t="shared" si="9"/>
        <v/>
      </c>
      <c r="F30" s="50" t="str">
        <f t="shared" si="9"/>
        <v/>
      </c>
      <c r="G30" s="50" t="str">
        <f t="shared" si="9"/>
        <v/>
      </c>
      <c r="H30" s="78" t="str">
        <f t="shared" si="9"/>
        <v/>
      </c>
      <c r="I30" s="50" t="str">
        <f t="shared" si="9"/>
        <v/>
      </c>
      <c r="J30" s="51" t="str">
        <f t="shared" si="9"/>
        <v/>
      </c>
      <c r="K30" s="51" t="str">
        <f t="shared" si="9"/>
        <v/>
      </c>
      <c r="L30" s="51" t="str">
        <f t="shared" si="9"/>
        <v/>
      </c>
      <c r="M30" s="65" t="str">
        <f t="shared" si="9"/>
        <v/>
      </c>
    </row>
    <row r="31" spans="1:25" ht="17">
      <c r="A31" s="97" t="str">
        <v/>
      </c>
      <c r="B31" s="51" t="str">
        <v/>
      </c>
      <c r="C31" s="77" t="str">
        <f t="shared" si="9"/>
        <v/>
      </c>
      <c r="D31" s="50" t="str">
        <f t="shared" si="9"/>
        <v/>
      </c>
      <c r="E31" s="50" t="str">
        <f t="shared" si="9"/>
        <v/>
      </c>
      <c r="F31" s="50" t="str">
        <f t="shared" si="9"/>
        <v/>
      </c>
      <c r="G31" s="50" t="str">
        <f t="shared" si="9"/>
        <v/>
      </c>
      <c r="H31" s="78" t="str">
        <f t="shared" si="9"/>
        <v/>
      </c>
      <c r="I31" s="50" t="str">
        <f t="shared" si="9"/>
        <v/>
      </c>
      <c r="J31" s="51" t="str">
        <f t="shared" si="9"/>
        <v/>
      </c>
      <c r="K31" s="51" t="str">
        <f t="shared" si="9"/>
        <v/>
      </c>
      <c r="L31" s="51" t="str">
        <f t="shared" si="9"/>
        <v/>
      </c>
      <c r="M31" s="65" t="str">
        <f t="shared" si="9"/>
        <v/>
      </c>
    </row>
    <row r="32" spans="1:25" ht="17">
      <c r="A32" s="97" t="str">
        <v/>
      </c>
      <c r="B32" s="51" t="str">
        <v/>
      </c>
      <c r="C32" s="77" t="str">
        <f t="shared" si="9"/>
        <v/>
      </c>
      <c r="D32" s="50" t="str">
        <f t="shared" si="9"/>
        <v/>
      </c>
      <c r="E32" s="50" t="str">
        <f t="shared" si="9"/>
        <v/>
      </c>
      <c r="F32" s="50" t="str">
        <f t="shared" si="9"/>
        <v/>
      </c>
      <c r="G32" s="50" t="str">
        <f t="shared" si="9"/>
        <v/>
      </c>
      <c r="H32" s="78" t="str">
        <f t="shared" si="9"/>
        <v/>
      </c>
      <c r="I32" s="50" t="str">
        <f t="shared" si="9"/>
        <v/>
      </c>
      <c r="J32" s="51" t="str">
        <f t="shared" si="9"/>
        <v/>
      </c>
      <c r="K32" s="51" t="str">
        <f t="shared" si="9"/>
        <v/>
      </c>
      <c r="L32" s="51" t="str">
        <f t="shared" si="9"/>
        <v/>
      </c>
      <c r="M32" s="65" t="str">
        <f t="shared" si="9"/>
        <v/>
      </c>
    </row>
    <row r="33" spans="1:13" ht="17">
      <c r="A33" s="97" t="str">
        <v/>
      </c>
      <c r="B33" s="51" t="str">
        <v/>
      </c>
      <c r="C33" s="77" t="str">
        <f t="shared" si="9"/>
        <v/>
      </c>
      <c r="D33" s="50" t="str">
        <f t="shared" si="9"/>
        <v/>
      </c>
      <c r="E33" s="50" t="str">
        <f t="shared" si="9"/>
        <v/>
      </c>
      <c r="F33" s="50" t="str">
        <f t="shared" si="9"/>
        <v/>
      </c>
      <c r="G33" s="50" t="str">
        <f t="shared" si="9"/>
        <v/>
      </c>
      <c r="H33" s="78" t="str">
        <f t="shared" si="9"/>
        <v/>
      </c>
      <c r="I33" s="50" t="str">
        <f t="shared" si="9"/>
        <v/>
      </c>
      <c r="J33" s="51" t="str">
        <f t="shared" si="9"/>
        <v/>
      </c>
      <c r="K33" s="51" t="str">
        <f t="shared" si="9"/>
        <v/>
      </c>
      <c r="L33" s="51" t="str">
        <f t="shared" si="9"/>
        <v/>
      </c>
      <c r="M33" s="65" t="str">
        <f t="shared" si="9"/>
        <v/>
      </c>
    </row>
    <row r="34" spans="1:13" ht="17">
      <c r="A34" s="66" t="str">
        <v/>
      </c>
      <c r="B34" s="60" t="str">
        <v/>
      </c>
      <c r="C34" s="80" t="str">
        <f t="shared" si="9"/>
        <v/>
      </c>
      <c r="D34" s="59" t="str">
        <f t="shared" si="9"/>
        <v/>
      </c>
      <c r="E34" s="59" t="str">
        <f t="shared" si="9"/>
        <v/>
      </c>
      <c r="F34" s="59" t="str">
        <f t="shared" si="9"/>
        <v/>
      </c>
      <c r="G34" s="59" t="str">
        <f t="shared" si="9"/>
        <v/>
      </c>
      <c r="H34" s="81" t="str">
        <f t="shared" si="9"/>
        <v/>
      </c>
      <c r="I34" s="59" t="str">
        <f t="shared" si="9"/>
        <v/>
      </c>
      <c r="J34" s="60" t="str">
        <f t="shared" si="9"/>
        <v/>
      </c>
      <c r="K34" s="60" t="str">
        <f t="shared" si="9"/>
        <v/>
      </c>
      <c r="L34" s="60" t="str">
        <f t="shared" si="9"/>
        <v/>
      </c>
      <c r="M34" s="61" t="str">
        <f t="shared" si="9"/>
        <v/>
      </c>
    </row>
    <row r="35" spans="1:13">
      <c r="A35" s="98"/>
      <c r="B35" s="53"/>
      <c r="C35" s="74"/>
      <c r="D35" s="74"/>
      <c r="E35" s="74"/>
      <c r="F35" s="74"/>
      <c r="G35" s="74"/>
      <c r="H35" s="74"/>
    </row>
    <row r="36" spans="1:13">
      <c r="A36" s="88" t="s">
        <v>97</v>
      </c>
      <c r="B36" s="86"/>
      <c r="C36" s="87"/>
      <c r="D36" s="87"/>
      <c r="E36" s="87"/>
      <c r="F36" s="87"/>
      <c r="G36" s="87"/>
      <c r="H36" s="87"/>
    </row>
    <row r="37" spans="1:13">
      <c r="A37" s="90"/>
      <c r="B37" s="68"/>
      <c r="C37" s="73" cm="1">
        <f t="array" ref="C37:M37">TRANSPOSE(v1ref_sort)</f>
        <v>1</v>
      </c>
      <c r="D37" s="74">
        <v>6</v>
      </c>
      <c r="E37" s="74">
        <v>9</v>
      </c>
      <c r="F37" s="74">
        <v>10</v>
      </c>
      <c r="G37" s="74">
        <v>14</v>
      </c>
      <c r="H37" s="75">
        <v>16</v>
      </c>
      <c r="I37" s="74" t="str">
        <v/>
      </c>
      <c r="J37" s="53" t="str">
        <v/>
      </c>
      <c r="K37" s="53" t="str">
        <v/>
      </c>
      <c r="L37" s="53" t="str">
        <v/>
      </c>
      <c r="M37" s="71" t="str">
        <v/>
      </c>
    </row>
    <row r="38" spans="1:13" ht="30" customHeight="1">
      <c r="A38" s="97"/>
      <c r="C38" s="106" t="str" cm="1">
        <f t="array" ref="C38:M38">TRANSPOSE(v1name_sort)</f>
        <v>Airport</v>
      </c>
      <c r="D38" s="67" t="str">
        <v>HKU</v>
      </c>
      <c r="E38" s="67" t="str">
        <v>Mai Po Nature Reserve</v>
      </c>
      <c r="F38" s="67" t="str">
        <v>Mong Kok</v>
      </c>
      <c r="G38" s="67" t="str">
        <v>Shek O</v>
      </c>
      <c r="H38" s="107" t="str">
        <v>Tai Kwun, Central</v>
      </c>
      <c r="I38" s="50" t="str">
        <v/>
      </c>
      <c r="J38" s="51" t="str">
        <v/>
      </c>
      <c r="K38" s="51" t="str">
        <v/>
      </c>
      <c r="L38" s="51" t="str">
        <v/>
      </c>
      <c r="M38" s="65" t="str">
        <v/>
      </c>
    </row>
    <row r="39" spans="1:13">
      <c r="A39" s="89" cm="1">
        <f t="array" ref="A39:A49">_xlfn._xlws.SORT(v1ref_sort)</f>
        <v>1</v>
      </c>
      <c r="B39" s="53" t="str" cm="1">
        <f t="array" ref="B39:B49">v1name_sort</f>
        <v>Airport</v>
      </c>
      <c r="C39" s="73">
        <f t="shared" ref="C39:H49" si="10">IFERROR(INDEX(fee_matrix,MATCH($A39,hs_ref,0),MATCH(C$22,hs_ref,0)),"")</f>
        <v>10000</v>
      </c>
      <c r="D39" s="74">
        <f t="shared" si="10"/>
        <v>45</v>
      </c>
      <c r="E39" s="74">
        <f t="shared" si="10"/>
        <v>19.5</v>
      </c>
      <c r="F39" s="74">
        <f t="shared" si="10"/>
        <v>37</v>
      </c>
      <c r="G39" s="74">
        <f t="shared" si="10"/>
        <v>120</v>
      </c>
      <c r="H39" s="75">
        <f t="shared" si="10"/>
        <v>65</v>
      </c>
      <c r="I39" s="69"/>
      <c r="J39" s="68"/>
      <c r="K39" s="68"/>
      <c r="L39" s="68"/>
      <c r="M39" s="99"/>
    </row>
    <row r="40" spans="1:13" ht="33" customHeight="1">
      <c r="A40" s="97">
        <v>6</v>
      </c>
      <c r="B40" s="51" t="str">
        <v>HKU</v>
      </c>
      <c r="C40" s="77">
        <f t="shared" si="10"/>
        <v>110</v>
      </c>
      <c r="D40" s="50">
        <f t="shared" si="10"/>
        <v>10000</v>
      </c>
      <c r="E40" s="50">
        <f t="shared" si="10"/>
        <v>33.4</v>
      </c>
      <c r="F40" s="50">
        <f t="shared" si="10"/>
        <v>11.6</v>
      </c>
      <c r="G40" s="50">
        <f t="shared" si="10"/>
        <v>18.7</v>
      </c>
      <c r="H40" s="78">
        <f t="shared" si="10"/>
        <v>5.6</v>
      </c>
      <c r="I40" s="113"/>
      <c r="J40" s="92"/>
      <c r="K40" s="92"/>
      <c r="L40" s="92"/>
      <c r="M40" s="96"/>
    </row>
    <row r="41" spans="1:13">
      <c r="A41" s="97">
        <v>9</v>
      </c>
      <c r="B41" s="51" t="str">
        <v>Mai Po Nature Reserve</v>
      </c>
      <c r="C41" s="77">
        <f t="shared" si="10"/>
        <v>39.9</v>
      </c>
      <c r="D41" s="50">
        <f t="shared" si="10"/>
        <v>40.299999999999997</v>
      </c>
      <c r="E41" s="50">
        <f t="shared" si="10"/>
        <v>10000</v>
      </c>
      <c r="F41" s="50">
        <f t="shared" si="10"/>
        <v>32.1</v>
      </c>
      <c r="G41" s="50">
        <f t="shared" si="10"/>
        <v>39.5</v>
      </c>
      <c r="H41" s="78">
        <f t="shared" si="10"/>
        <v>40.299999999999997</v>
      </c>
      <c r="I41" s="50" t="str">
        <f t="shared" ref="I41:M51" si="11">IFERROR(INDEX(fee_matrix,MATCH($A39,hs_ref,0),MATCH(I$22,hs_ref,0)),"")</f>
        <v/>
      </c>
      <c r="J41" s="51" t="str">
        <f t="shared" si="11"/>
        <v/>
      </c>
      <c r="K41" s="51" t="str">
        <f t="shared" si="11"/>
        <v/>
      </c>
      <c r="L41" s="51" t="str">
        <f t="shared" si="11"/>
        <v/>
      </c>
      <c r="M41" s="65" t="str">
        <f t="shared" si="11"/>
        <v/>
      </c>
    </row>
    <row r="42" spans="1:13">
      <c r="A42" s="97">
        <v>10</v>
      </c>
      <c r="B42" s="51" t="str">
        <v>Mong Kok</v>
      </c>
      <c r="C42" s="77">
        <f t="shared" si="10"/>
        <v>33</v>
      </c>
      <c r="D42" s="50">
        <f t="shared" si="10"/>
        <v>13</v>
      </c>
      <c r="E42" s="50">
        <f t="shared" si="10"/>
        <v>25.3</v>
      </c>
      <c r="F42" s="50">
        <f t="shared" si="10"/>
        <v>10000</v>
      </c>
      <c r="G42" s="50">
        <f t="shared" si="10"/>
        <v>19.2</v>
      </c>
      <c r="H42" s="78">
        <f t="shared" si="10"/>
        <v>14.9</v>
      </c>
      <c r="I42" s="50" t="str">
        <f t="shared" si="11"/>
        <v/>
      </c>
      <c r="J42" s="51" t="str">
        <f t="shared" si="11"/>
        <v/>
      </c>
      <c r="K42" s="51" t="str">
        <f t="shared" si="11"/>
        <v/>
      </c>
      <c r="L42" s="51" t="str">
        <f t="shared" si="11"/>
        <v/>
      </c>
      <c r="M42" s="65" t="str">
        <f t="shared" si="11"/>
        <v/>
      </c>
    </row>
    <row r="43" spans="1:13">
      <c r="A43" s="97">
        <v>14</v>
      </c>
      <c r="B43" s="51" t="str">
        <v>Shek O</v>
      </c>
      <c r="C43" s="77">
        <f t="shared" si="10"/>
        <v>120</v>
      </c>
      <c r="D43" s="50">
        <f t="shared" si="10"/>
        <v>18.7</v>
      </c>
      <c r="E43" s="50">
        <f t="shared" si="10"/>
        <v>42.5</v>
      </c>
      <c r="F43" s="50">
        <f t="shared" si="10"/>
        <v>19.8</v>
      </c>
      <c r="G43" s="50">
        <f t="shared" si="10"/>
        <v>10000</v>
      </c>
      <c r="H43" s="78">
        <f t="shared" si="10"/>
        <v>18.7</v>
      </c>
      <c r="I43" s="50" t="str">
        <f t="shared" si="11"/>
        <v/>
      </c>
      <c r="J43" s="51" t="str">
        <f t="shared" si="11"/>
        <v/>
      </c>
      <c r="K43" s="51" t="str">
        <f t="shared" si="11"/>
        <v/>
      </c>
      <c r="L43" s="51" t="str">
        <f t="shared" si="11"/>
        <v/>
      </c>
      <c r="M43" s="65" t="str">
        <f t="shared" si="11"/>
        <v/>
      </c>
    </row>
    <row r="44" spans="1:13">
      <c r="A44" s="66">
        <v>16</v>
      </c>
      <c r="B44" s="60" t="str">
        <v>Tai Kwun, Central</v>
      </c>
      <c r="C44" s="80">
        <f t="shared" si="10"/>
        <v>40</v>
      </c>
      <c r="D44" s="59">
        <f t="shared" si="10"/>
        <v>5.6</v>
      </c>
      <c r="E44" s="59">
        <f t="shared" si="10"/>
        <v>33.4</v>
      </c>
      <c r="F44" s="59">
        <f t="shared" si="10"/>
        <v>12.5</v>
      </c>
      <c r="G44" s="59">
        <f t="shared" si="10"/>
        <v>18.7</v>
      </c>
      <c r="H44" s="81">
        <f t="shared" si="10"/>
        <v>10000</v>
      </c>
      <c r="I44" s="50" t="str">
        <f t="shared" si="11"/>
        <v/>
      </c>
      <c r="J44" s="51" t="str">
        <f t="shared" si="11"/>
        <v/>
      </c>
      <c r="K44" s="51" t="str">
        <f t="shared" si="11"/>
        <v/>
      </c>
      <c r="L44" s="51" t="str">
        <f t="shared" si="11"/>
        <v/>
      </c>
      <c r="M44" s="65" t="str">
        <f t="shared" si="11"/>
        <v/>
      </c>
    </row>
    <row r="45" spans="1:13" ht="17">
      <c r="A45" s="97" t="str">
        <v/>
      </c>
      <c r="B45" s="51" t="str">
        <v/>
      </c>
      <c r="C45" s="77" t="str">
        <f t="shared" si="10"/>
        <v/>
      </c>
      <c r="D45" s="50" t="str">
        <f t="shared" si="10"/>
        <v/>
      </c>
      <c r="E45" s="50" t="str">
        <f t="shared" si="10"/>
        <v/>
      </c>
      <c r="F45" s="50" t="str">
        <f t="shared" si="10"/>
        <v/>
      </c>
      <c r="G45" s="50" t="str">
        <f t="shared" si="10"/>
        <v/>
      </c>
      <c r="H45" s="78" t="str">
        <f t="shared" si="10"/>
        <v/>
      </c>
      <c r="I45" s="50" t="str">
        <f t="shared" si="11"/>
        <v/>
      </c>
      <c r="J45" s="51" t="str">
        <f t="shared" si="11"/>
        <v/>
      </c>
      <c r="K45" s="51" t="str">
        <f t="shared" si="11"/>
        <v/>
      </c>
      <c r="L45" s="51" t="str">
        <f t="shared" si="11"/>
        <v/>
      </c>
      <c r="M45" s="65" t="str">
        <f t="shared" si="11"/>
        <v/>
      </c>
    </row>
    <row r="46" spans="1:13" ht="17">
      <c r="A46" s="97" t="str">
        <v/>
      </c>
      <c r="B46" s="51" t="str">
        <v/>
      </c>
      <c r="C46" s="77" t="str">
        <f t="shared" si="10"/>
        <v/>
      </c>
      <c r="D46" s="50" t="str">
        <f t="shared" si="10"/>
        <v/>
      </c>
      <c r="E46" s="50" t="str">
        <f t="shared" si="10"/>
        <v/>
      </c>
      <c r="F46" s="50" t="str">
        <f t="shared" si="10"/>
        <v/>
      </c>
      <c r="G46" s="50" t="str">
        <f t="shared" si="10"/>
        <v/>
      </c>
      <c r="H46" s="78" t="str">
        <f t="shared" si="10"/>
        <v/>
      </c>
      <c r="I46" s="50" t="str">
        <f t="shared" si="11"/>
        <v/>
      </c>
      <c r="J46" s="51" t="str">
        <f t="shared" si="11"/>
        <v/>
      </c>
      <c r="K46" s="51" t="str">
        <f t="shared" si="11"/>
        <v/>
      </c>
      <c r="L46" s="51" t="str">
        <f t="shared" si="11"/>
        <v/>
      </c>
      <c r="M46" s="65" t="str">
        <f t="shared" si="11"/>
        <v/>
      </c>
    </row>
    <row r="47" spans="1:13" ht="17">
      <c r="A47" s="97" t="str">
        <v/>
      </c>
      <c r="B47" s="51" t="str">
        <v/>
      </c>
      <c r="C47" s="77" t="str">
        <f t="shared" si="10"/>
        <v/>
      </c>
      <c r="D47" s="50" t="str">
        <f t="shared" si="10"/>
        <v/>
      </c>
      <c r="E47" s="50" t="str">
        <f t="shared" si="10"/>
        <v/>
      </c>
      <c r="F47" s="50" t="str">
        <f t="shared" si="10"/>
        <v/>
      </c>
      <c r="G47" s="50" t="str">
        <f t="shared" si="10"/>
        <v/>
      </c>
      <c r="H47" s="78" t="str">
        <f t="shared" si="10"/>
        <v/>
      </c>
      <c r="I47" s="50" t="str">
        <f t="shared" si="11"/>
        <v/>
      </c>
      <c r="J47" s="51" t="str">
        <f t="shared" si="11"/>
        <v/>
      </c>
      <c r="K47" s="51" t="str">
        <f t="shared" si="11"/>
        <v/>
      </c>
      <c r="L47" s="51" t="str">
        <f t="shared" si="11"/>
        <v/>
      </c>
      <c r="M47" s="65" t="str">
        <f t="shared" si="11"/>
        <v/>
      </c>
    </row>
    <row r="48" spans="1:13" ht="17">
      <c r="A48" s="97" t="str">
        <v/>
      </c>
      <c r="B48" s="51" t="str">
        <v/>
      </c>
      <c r="C48" s="77" t="str">
        <f t="shared" si="10"/>
        <v/>
      </c>
      <c r="D48" s="50" t="str">
        <f t="shared" si="10"/>
        <v/>
      </c>
      <c r="E48" s="50" t="str">
        <f t="shared" si="10"/>
        <v/>
      </c>
      <c r="F48" s="50" t="str">
        <f t="shared" si="10"/>
        <v/>
      </c>
      <c r="G48" s="50" t="str">
        <f t="shared" si="10"/>
        <v/>
      </c>
      <c r="H48" s="78" t="str">
        <f t="shared" si="10"/>
        <v/>
      </c>
      <c r="I48" s="50" t="str">
        <f t="shared" si="11"/>
        <v/>
      </c>
      <c r="J48" s="51" t="str">
        <f t="shared" si="11"/>
        <v/>
      </c>
      <c r="K48" s="51" t="str">
        <f t="shared" si="11"/>
        <v/>
      </c>
      <c r="L48" s="51" t="str">
        <f t="shared" si="11"/>
        <v/>
      </c>
      <c r="M48" s="65" t="str">
        <f t="shared" si="11"/>
        <v/>
      </c>
    </row>
    <row r="49" spans="1:13" ht="17">
      <c r="A49" s="66" t="str">
        <v/>
      </c>
      <c r="B49" s="60" t="str">
        <v/>
      </c>
      <c r="C49" s="80" t="str">
        <f t="shared" si="10"/>
        <v/>
      </c>
      <c r="D49" s="59" t="str">
        <f t="shared" si="10"/>
        <v/>
      </c>
      <c r="E49" s="59" t="str">
        <f t="shared" si="10"/>
        <v/>
      </c>
      <c r="F49" s="59" t="str">
        <f t="shared" si="10"/>
        <v/>
      </c>
      <c r="G49" s="59" t="str">
        <f t="shared" si="10"/>
        <v/>
      </c>
      <c r="H49" s="81" t="str">
        <f t="shared" si="10"/>
        <v/>
      </c>
      <c r="I49" s="50" t="str">
        <f t="shared" si="11"/>
        <v/>
      </c>
      <c r="J49" s="51" t="str">
        <f t="shared" si="11"/>
        <v/>
      </c>
      <c r="K49" s="51" t="str">
        <f t="shared" si="11"/>
        <v/>
      </c>
      <c r="L49" s="51" t="str">
        <f t="shared" si="11"/>
        <v/>
      </c>
      <c r="M49" s="65" t="str">
        <f t="shared" si="11"/>
        <v/>
      </c>
    </row>
    <row r="50" spans="1:13">
      <c r="I50" s="50" t="str">
        <f t="shared" si="11"/>
        <v/>
      </c>
      <c r="J50" s="51" t="str">
        <f t="shared" si="11"/>
        <v/>
      </c>
      <c r="K50" s="51" t="str">
        <f t="shared" si="11"/>
        <v/>
      </c>
      <c r="L50" s="51" t="str">
        <f t="shared" si="11"/>
        <v/>
      </c>
      <c r="M50" s="65" t="str">
        <f t="shared" si="11"/>
        <v/>
      </c>
    </row>
    <row r="51" spans="1:13">
      <c r="I51" s="59" t="str">
        <f t="shared" si="11"/>
        <v/>
      </c>
      <c r="J51" s="60" t="str">
        <f t="shared" si="11"/>
        <v/>
      </c>
      <c r="K51" s="60" t="str">
        <f t="shared" si="11"/>
        <v/>
      </c>
      <c r="L51" s="60" t="str">
        <f t="shared" si="11"/>
        <v/>
      </c>
      <c r="M51" s="61" t="str">
        <f t="shared" si="11"/>
        <v/>
      </c>
    </row>
    <row r="52" spans="1:13">
      <c r="C52" s="50" t="str">
        <f t="shared" ref="C52:M56" si="12">IFERROR(INDEX(fee_matrix,MATCH($A52,hs_ref,0),MATCH(C$22,hs_ref,0)),"")</f>
        <v/>
      </c>
      <c r="D52" s="50" t="str">
        <f t="shared" si="12"/>
        <v/>
      </c>
      <c r="E52" s="50" t="str">
        <f t="shared" si="12"/>
        <v/>
      </c>
      <c r="F52" s="50" t="str">
        <f t="shared" si="12"/>
        <v/>
      </c>
      <c r="G52" s="50" t="str">
        <f t="shared" si="12"/>
        <v/>
      </c>
      <c r="H52" s="50" t="str">
        <f t="shared" si="12"/>
        <v/>
      </c>
      <c r="I52" s="50" t="str">
        <f t="shared" si="12"/>
        <v/>
      </c>
      <c r="J52" s="51" t="str">
        <f t="shared" si="12"/>
        <v/>
      </c>
      <c r="K52" s="51" t="str">
        <f t="shared" si="12"/>
        <v/>
      </c>
      <c r="L52" s="51" t="str">
        <f t="shared" si="12"/>
        <v/>
      </c>
      <c r="M52" s="51" t="str">
        <f t="shared" si="12"/>
        <v/>
      </c>
    </row>
    <row r="53" spans="1:13">
      <c r="C53" s="50" t="str">
        <f t="shared" si="12"/>
        <v/>
      </c>
      <c r="D53" s="50" t="str">
        <f t="shared" si="12"/>
        <v/>
      </c>
      <c r="E53" s="50" t="str">
        <f t="shared" si="12"/>
        <v/>
      </c>
      <c r="F53" s="50" t="str">
        <f t="shared" si="12"/>
        <v/>
      </c>
      <c r="G53" s="50" t="str">
        <f t="shared" si="12"/>
        <v/>
      </c>
      <c r="H53" s="50" t="str">
        <f t="shared" si="12"/>
        <v/>
      </c>
      <c r="I53" s="50" t="str">
        <f t="shared" si="12"/>
        <v/>
      </c>
      <c r="J53" s="51" t="str">
        <f t="shared" si="12"/>
        <v/>
      </c>
      <c r="K53" s="51" t="str">
        <f t="shared" si="12"/>
        <v/>
      </c>
      <c r="L53" s="51" t="str">
        <f t="shared" si="12"/>
        <v/>
      </c>
      <c r="M53" s="51" t="str">
        <f t="shared" si="12"/>
        <v/>
      </c>
    </row>
    <row r="54" spans="1:13">
      <c r="C54" s="50" t="str">
        <f t="shared" si="12"/>
        <v/>
      </c>
      <c r="D54" s="50" t="str">
        <f t="shared" si="12"/>
        <v/>
      </c>
      <c r="E54" s="50" t="str">
        <f t="shared" si="12"/>
        <v/>
      </c>
      <c r="F54" s="50" t="str">
        <f t="shared" si="12"/>
        <v/>
      </c>
      <c r="G54" s="50" t="str">
        <f t="shared" si="12"/>
        <v/>
      </c>
      <c r="H54" s="50" t="str">
        <f t="shared" si="12"/>
        <v/>
      </c>
      <c r="I54" s="50" t="str">
        <f t="shared" si="12"/>
        <v/>
      </c>
      <c r="J54" s="51" t="str">
        <f t="shared" si="12"/>
        <v/>
      </c>
      <c r="K54" s="51" t="str">
        <f t="shared" si="12"/>
        <v/>
      </c>
      <c r="L54" s="51" t="str">
        <f t="shared" si="12"/>
        <v/>
      </c>
      <c r="M54" s="51" t="str">
        <f t="shared" si="12"/>
        <v/>
      </c>
    </row>
    <row r="55" spans="1:13">
      <c r="C55" s="50" t="str">
        <f t="shared" si="12"/>
        <v/>
      </c>
      <c r="D55" s="50" t="str">
        <f t="shared" si="12"/>
        <v/>
      </c>
      <c r="E55" s="50" t="str">
        <f t="shared" si="12"/>
        <v/>
      </c>
      <c r="F55" s="50" t="str">
        <f t="shared" si="12"/>
        <v/>
      </c>
      <c r="G55" s="50" t="str">
        <f t="shared" si="12"/>
        <v/>
      </c>
      <c r="H55" s="50" t="str">
        <f t="shared" si="12"/>
        <v/>
      </c>
      <c r="I55" s="50" t="str">
        <f t="shared" si="12"/>
        <v/>
      </c>
      <c r="J55" s="51" t="str">
        <f t="shared" si="12"/>
        <v/>
      </c>
      <c r="K55" s="51" t="str">
        <f t="shared" si="12"/>
        <v/>
      </c>
      <c r="L55" s="51" t="str">
        <f t="shared" si="12"/>
        <v/>
      </c>
      <c r="M55" s="51" t="str">
        <f t="shared" si="12"/>
        <v/>
      </c>
    </row>
    <row r="56" spans="1:13">
      <c r="C56" s="50" t="str">
        <f t="shared" si="12"/>
        <v/>
      </c>
      <c r="D56" s="50" t="str">
        <f t="shared" si="12"/>
        <v/>
      </c>
      <c r="E56" s="50" t="str">
        <f t="shared" si="12"/>
        <v/>
      </c>
      <c r="F56" s="50" t="str">
        <f t="shared" si="12"/>
        <v/>
      </c>
      <c r="G56" s="50" t="str">
        <f t="shared" si="12"/>
        <v/>
      </c>
      <c r="H56" s="50" t="str">
        <f t="shared" si="12"/>
        <v/>
      </c>
      <c r="I56" s="50" t="str">
        <f t="shared" si="12"/>
        <v/>
      </c>
      <c r="J56" s="51" t="str">
        <f t="shared" si="12"/>
        <v/>
      </c>
      <c r="K56" s="51" t="str">
        <f t="shared" si="12"/>
        <v/>
      </c>
      <c r="L56" s="51" t="str">
        <f t="shared" si="12"/>
        <v/>
      </c>
      <c r="M56" s="51" t="str">
        <f t="shared" si="12"/>
        <v/>
      </c>
    </row>
    <row r="57" spans="1:13">
      <c r="C57" s="50" t="str">
        <f t="shared" ref="C57:M60" si="13">IFERROR(INDEX(fee_matrix,MATCH($A57,hs_ref,0),MATCH(C$22,hs_ref,0)),"")</f>
        <v/>
      </c>
      <c r="D57" s="50" t="str">
        <f t="shared" si="13"/>
        <v/>
      </c>
      <c r="E57" s="50" t="str">
        <f t="shared" si="13"/>
        <v/>
      </c>
      <c r="F57" s="50" t="str">
        <f t="shared" si="13"/>
        <v/>
      </c>
      <c r="G57" s="50" t="str">
        <f t="shared" si="13"/>
        <v/>
      </c>
      <c r="H57" s="50" t="str">
        <f t="shared" si="13"/>
        <v/>
      </c>
      <c r="I57" s="50" t="str">
        <f t="shared" si="13"/>
        <v/>
      </c>
      <c r="J57" s="51" t="str">
        <f t="shared" si="13"/>
        <v/>
      </c>
      <c r="K57" s="51" t="str">
        <f t="shared" si="13"/>
        <v/>
      </c>
      <c r="L57" s="51" t="str">
        <f t="shared" si="13"/>
        <v/>
      </c>
      <c r="M57" s="51" t="str">
        <f t="shared" si="13"/>
        <v/>
      </c>
    </row>
    <row r="58" spans="1:13">
      <c r="C58" s="50" t="str">
        <f t="shared" si="13"/>
        <v/>
      </c>
      <c r="D58" s="50" t="str">
        <f t="shared" si="13"/>
        <v/>
      </c>
      <c r="E58" s="50" t="str">
        <f t="shared" si="13"/>
        <v/>
      </c>
      <c r="F58" s="50" t="str">
        <f t="shared" si="13"/>
        <v/>
      </c>
      <c r="G58" s="50" t="str">
        <f t="shared" si="13"/>
        <v/>
      </c>
      <c r="H58" s="50" t="str">
        <f t="shared" si="13"/>
        <v/>
      </c>
      <c r="I58" s="50" t="str">
        <f t="shared" si="13"/>
        <v/>
      </c>
      <c r="J58" s="51" t="str">
        <f t="shared" si="13"/>
        <v/>
      </c>
      <c r="K58" s="51" t="str">
        <f t="shared" si="13"/>
        <v/>
      </c>
      <c r="L58" s="51" t="str">
        <f t="shared" si="13"/>
        <v/>
      </c>
      <c r="M58" s="51" t="str">
        <f t="shared" si="13"/>
        <v/>
      </c>
    </row>
    <row r="59" spans="1:13">
      <c r="C59" s="50" t="str">
        <f t="shared" si="13"/>
        <v/>
      </c>
      <c r="D59" s="50" t="str">
        <f t="shared" si="13"/>
        <v/>
      </c>
      <c r="E59" s="50" t="str">
        <f t="shared" si="13"/>
        <v/>
      </c>
      <c r="F59" s="50" t="str">
        <f t="shared" si="13"/>
        <v/>
      </c>
      <c r="G59" s="50" t="str">
        <f t="shared" si="13"/>
        <v/>
      </c>
      <c r="H59" s="50" t="str">
        <f t="shared" si="13"/>
        <v/>
      </c>
      <c r="I59" s="50" t="str">
        <f t="shared" si="13"/>
        <v/>
      </c>
      <c r="J59" s="51" t="str">
        <f t="shared" si="13"/>
        <v/>
      </c>
      <c r="K59" s="51" t="str">
        <f t="shared" si="13"/>
        <v/>
      </c>
      <c r="L59" s="51" t="str">
        <f t="shared" si="13"/>
        <v/>
      </c>
      <c r="M59" s="51" t="str">
        <f t="shared" si="13"/>
        <v/>
      </c>
    </row>
    <row r="60" spans="1:13">
      <c r="C60" s="50" t="str">
        <f t="shared" si="13"/>
        <v/>
      </c>
      <c r="D60" s="50" t="str">
        <f t="shared" si="13"/>
        <v/>
      </c>
      <c r="E60" s="50" t="str">
        <f t="shared" si="13"/>
        <v/>
      </c>
      <c r="F60" s="50" t="str">
        <f t="shared" si="13"/>
        <v/>
      </c>
      <c r="G60" s="50" t="str">
        <f t="shared" si="13"/>
        <v/>
      </c>
      <c r="H60" s="50" t="str">
        <f t="shared" si="13"/>
        <v/>
      </c>
      <c r="I60" s="50" t="str">
        <f t="shared" si="13"/>
        <v/>
      </c>
      <c r="J60" s="51" t="str">
        <f t="shared" si="13"/>
        <v/>
      </c>
      <c r="K60" s="51" t="str">
        <f t="shared" si="13"/>
        <v/>
      </c>
      <c r="L60" s="51" t="str">
        <f t="shared" si="13"/>
        <v/>
      </c>
      <c r="M60" s="51" t="str">
        <f t="shared" si="13"/>
        <v/>
      </c>
    </row>
  </sheetData>
  <mergeCells count="4">
    <mergeCell ref="A3:B3"/>
    <mergeCell ref="N4:P4"/>
    <mergeCell ref="B17:B19"/>
    <mergeCell ref="O3:P3"/>
  </mergeCells>
  <phoneticPr fontId="1" type="noConversion"/>
  <conditionalFormatting sqref="C6:H11">
    <cfRule type="cellIs" dxfId="4" priority="4" operator="equal">
      <formula>0</formula>
    </cfRule>
  </conditionalFormatting>
  <conditionalFormatting sqref="C6:M16">
    <cfRule type="cellIs" dxfId="3" priority="5" operator="equal">
      <formula>1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7E20C-5AF1-5846-AF02-06C779BF2DEA}">
  <dimension ref="A1:G22"/>
  <sheetViews>
    <sheetView zoomScale="125" workbookViewId="0">
      <selection activeCell="A22" sqref="A22"/>
    </sheetView>
  </sheetViews>
  <sheetFormatPr baseColWidth="10" defaultColWidth="11" defaultRowHeight="15"/>
  <cols>
    <col min="1" max="1" width="12.6640625" customWidth="1"/>
  </cols>
  <sheetData>
    <row r="1" spans="1:7" ht="36" customHeight="1">
      <c r="A1" s="116" t="s">
        <v>110</v>
      </c>
      <c r="B1" s="143" t="s">
        <v>111</v>
      </c>
      <c r="C1" s="144"/>
      <c r="D1" s="145"/>
      <c r="E1" s="144" t="s">
        <v>112</v>
      </c>
      <c r="F1" s="144"/>
      <c r="G1" s="145"/>
    </row>
    <row r="2" spans="1:7" ht="16">
      <c r="A2" s="117"/>
      <c r="B2" s="104" t="s">
        <v>113</v>
      </c>
      <c r="C2" s="118" t="s">
        <v>114</v>
      </c>
      <c r="D2" s="63" t="s">
        <v>115</v>
      </c>
      <c r="E2" s="62" t="s">
        <v>113</v>
      </c>
      <c r="F2" s="62" t="s">
        <v>114</v>
      </c>
      <c r="G2" s="63" t="s">
        <v>115</v>
      </c>
    </row>
    <row r="3" spans="1:7" ht="16">
      <c r="A3" s="104" t="s">
        <v>116</v>
      </c>
      <c r="B3" s="104">
        <v>698</v>
      </c>
      <c r="C3" s="45" t="s">
        <v>117</v>
      </c>
      <c r="D3" s="46" t="s">
        <v>117</v>
      </c>
      <c r="E3" s="104">
        <v>698</v>
      </c>
      <c r="F3" s="45" t="s">
        <v>117</v>
      </c>
      <c r="G3" s="46" t="s">
        <v>117</v>
      </c>
    </row>
    <row r="4" spans="1:7" ht="16">
      <c r="A4" s="77">
        <v>2</v>
      </c>
      <c r="B4" s="77">
        <v>735</v>
      </c>
      <c r="C4" s="114">
        <f>(B4-B$3)/B$3</f>
        <v>5.300859598853868E-2</v>
      </c>
      <c r="D4" s="125" t="s">
        <v>118</v>
      </c>
      <c r="E4" s="27"/>
      <c r="F4" s="51"/>
      <c r="G4" s="65"/>
    </row>
    <row r="5" spans="1:7" ht="16">
      <c r="A5" s="77">
        <v>3</v>
      </c>
      <c r="B5" s="77">
        <v>1004</v>
      </c>
      <c r="C5" s="114">
        <f>(B5-B$3)/B$3</f>
        <v>0.43839541547277938</v>
      </c>
      <c r="D5" s="65"/>
      <c r="E5" s="27"/>
      <c r="F5" s="51"/>
      <c r="G5" s="65"/>
    </row>
    <row r="6" spans="1:7" ht="16">
      <c r="A6" s="77">
        <v>4</v>
      </c>
      <c r="B6" s="77">
        <v>751</v>
      </c>
      <c r="C6" s="114">
        <f>(B6-B$3)/B$3</f>
        <v>7.5931232091690545E-2</v>
      </c>
      <c r="D6" s="65"/>
      <c r="E6" s="27"/>
      <c r="F6" s="51"/>
      <c r="G6" s="65"/>
    </row>
    <row r="7" spans="1:7" ht="16">
      <c r="A7" s="77">
        <v>5</v>
      </c>
      <c r="B7" s="77">
        <v>973</v>
      </c>
      <c r="C7" s="114">
        <f>(B7-B$3)/B$3</f>
        <v>0.39398280802292263</v>
      </c>
      <c r="D7" s="65"/>
      <c r="E7" s="27"/>
      <c r="F7" s="27"/>
      <c r="G7" s="65"/>
    </row>
    <row r="8" spans="1:7" ht="16">
      <c r="A8" s="77">
        <v>6</v>
      </c>
      <c r="B8" s="77" t="s">
        <v>119</v>
      </c>
      <c r="C8" s="114" t="s">
        <v>120</v>
      </c>
      <c r="D8" s="65"/>
      <c r="E8" s="27">
        <v>504</v>
      </c>
      <c r="F8" s="122">
        <f>(E8-$B$3)/$B$3</f>
        <v>-0.27793696275071633</v>
      </c>
      <c r="G8" s="34"/>
    </row>
    <row r="9" spans="1:7" ht="16">
      <c r="A9" s="77">
        <v>7</v>
      </c>
      <c r="B9" s="77">
        <v>746</v>
      </c>
      <c r="C9" s="114">
        <f>(B9-B$3)/B$3</f>
        <v>6.8767908309455589E-2</v>
      </c>
      <c r="D9" s="65"/>
      <c r="E9" s="27"/>
      <c r="F9" s="122"/>
      <c r="G9" s="65"/>
    </row>
    <row r="10" spans="1:7" ht="16">
      <c r="A10" s="77">
        <v>8</v>
      </c>
      <c r="B10" s="77">
        <v>796</v>
      </c>
      <c r="C10" s="114">
        <f>(B10-B$3)/B$3</f>
        <v>0.14040114613180515</v>
      </c>
      <c r="D10" s="65"/>
      <c r="E10" s="27"/>
      <c r="F10" s="122"/>
      <c r="G10" s="65"/>
    </row>
    <row r="11" spans="1:7" ht="16">
      <c r="A11" s="77">
        <v>9</v>
      </c>
      <c r="B11" s="77" t="s">
        <v>119</v>
      </c>
      <c r="C11" s="114" t="s">
        <v>120</v>
      </c>
      <c r="D11" s="65"/>
      <c r="E11" s="27">
        <v>458</v>
      </c>
      <c r="F11" s="122">
        <f>(E11-$B$3)/$B$3</f>
        <v>-0.34383954154727792</v>
      </c>
      <c r="G11" s="125" t="s">
        <v>118</v>
      </c>
    </row>
    <row r="12" spans="1:7" ht="16">
      <c r="A12" s="77">
        <v>10</v>
      </c>
      <c r="B12" s="77" t="s">
        <v>119</v>
      </c>
      <c r="C12" s="114" t="s">
        <v>120</v>
      </c>
      <c r="D12" s="65"/>
      <c r="E12" s="27">
        <v>645</v>
      </c>
      <c r="F12" s="122">
        <f>(E12-$B$3)/$B$3</f>
        <v>-7.5931232091690545E-2</v>
      </c>
      <c r="G12" s="65"/>
    </row>
    <row r="13" spans="1:7" ht="16">
      <c r="A13" s="77">
        <v>11</v>
      </c>
      <c r="B13" s="77">
        <v>903</v>
      </c>
      <c r="C13" s="114">
        <f>(B13-B$3)/B$3</f>
        <v>0.29369627507163326</v>
      </c>
      <c r="D13" s="65"/>
      <c r="E13" s="27"/>
      <c r="F13" s="122"/>
      <c r="G13" s="65"/>
    </row>
    <row r="14" spans="1:7" ht="16">
      <c r="A14" s="77">
        <v>12</v>
      </c>
      <c r="B14" s="35">
        <v>883</v>
      </c>
      <c r="C14" s="114">
        <f>(B14-B$3)/B$3</f>
        <v>0.26504297994269344</v>
      </c>
      <c r="D14" s="65"/>
      <c r="E14" s="27"/>
      <c r="F14" s="122"/>
      <c r="G14" s="65"/>
    </row>
    <row r="15" spans="1:7" ht="16">
      <c r="A15" s="77">
        <v>13</v>
      </c>
      <c r="B15" s="35">
        <v>790</v>
      </c>
      <c r="C15" s="114">
        <f>(B15-B$3)/B$3</f>
        <v>0.1318051575931232</v>
      </c>
      <c r="D15" s="65"/>
      <c r="E15" s="27"/>
      <c r="F15" s="122"/>
      <c r="G15" s="65"/>
    </row>
    <row r="16" spans="1:7" ht="16">
      <c r="A16" s="77">
        <v>14</v>
      </c>
      <c r="B16" s="35" t="s">
        <v>119</v>
      </c>
      <c r="C16" s="114" t="s">
        <v>120</v>
      </c>
      <c r="D16" s="65"/>
      <c r="E16" s="27">
        <v>536</v>
      </c>
      <c r="F16" s="123">
        <f>(E16-$B$3)/$B$3</f>
        <v>-0.23209169054441262</v>
      </c>
      <c r="G16" s="65"/>
    </row>
    <row r="17" spans="1:7" ht="16">
      <c r="A17" s="77">
        <v>15</v>
      </c>
      <c r="B17" s="35">
        <v>789</v>
      </c>
      <c r="C17" s="114">
        <f>(B17-B$3)/B$3</f>
        <v>0.13037249283667621</v>
      </c>
      <c r="D17" s="65"/>
      <c r="E17" s="27"/>
      <c r="F17" s="122"/>
      <c r="G17" s="65"/>
    </row>
    <row r="18" spans="1:7" ht="16">
      <c r="A18" s="77">
        <v>16</v>
      </c>
      <c r="B18" s="35" t="s">
        <v>119</v>
      </c>
      <c r="C18" s="114" t="s">
        <v>120</v>
      </c>
      <c r="D18" s="65"/>
      <c r="E18" s="27">
        <v>631</v>
      </c>
      <c r="F18" s="122">
        <f>(E18-$B$3)/$B$3</f>
        <v>-9.5988538681948427E-2</v>
      </c>
      <c r="G18" s="65"/>
    </row>
    <row r="19" spans="1:7" ht="16">
      <c r="A19" s="77">
        <v>17</v>
      </c>
      <c r="B19" s="35">
        <v>736</v>
      </c>
      <c r="C19" s="114">
        <f>(B19-B$3)/B$3</f>
        <v>5.4441260744985676E-2</v>
      </c>
      <c r="D19" s="34"/>
      <c r="E19" s="27"/>
      <c r="F19" s="27"/>
      <c r="G19" s="65"/>
    </row>
    <row r="20" spans="1:7" ht="16">
      <c r="A20" s="77">
        <v>18</v>
      </c>
      <c r="B20" s="35">
        <v>763</v>
      </c>
      <c r="C20" s="114">
        <f>(B20-B$3)/B$3</f>
        <v>9.3123209169054436E-2</v>
      </c>
      <c r="D20" s="65"/>
      <c r="E20" s="27"/>
      <c r="F20" s="27"/>
      <c r="G20" s="65"/>
    </row>
    <row r="21" spans="1:7" ht="16">
      <c r="A21" s="77">
        <v>19</v>
      </c>
      <c r="B21" s="35">
        <v>816</v>
      </c>
      <c r="C21" s="114">
        <f>(B21-B$3)/B$3</f>
        <v>0.16905444126074498</v>
      </c>
      <c r="D21" s="65"/>
      <c r="E21" s="27"/>
      <c r="F21" s="51"/>
      <c r="G21" s="65"/>
    </row>
    <row r="22" spans="1:7" ht="16">
      <c r="A22" s="80">
        <v>20</v>
      </c>
      <c r="B22" s="37">
        <v>949</v>
      </c>
      <c r="C22" s="115">
        <f>(B22-B$3)/B$3</f>
        <v>0.35959885386819485</v>
      </c>
      <c r="D22" s="61"/>
      <c r="E22" s="38"/>
      <c r="F22" s="60"/>
      <c r="G22" s="61"/>
    </row>
  </sheetData>
  <mergeCells count="2">
    <mergeCell ref="B1:D1"/>
    <mergeCell ref="E1:G1"/>
  </mergeCells>
  <phoneticPr fontId="1" type="noConversion"/>
  <conditionalFormatting sqref="C4:C22 C2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8:F18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7429E-5282-1B42-9FE1-963524568D47}">
  <dimension ref="A1:N41"/>
  <sheetViews>
    <sheetView workbookViewId="0">
      <selection activeCell="Q38" sqref="Q38"/>
    </sheetView>
  </sheetViews>
  <sheetFormatPr baseColWidth="10" defaultColWidth="10.83203125" defaultRowHeight="15"/>
  <cols>
    <col min="1" max="1" width="10.83203125" style="11"/>
    <col min="2" max="7" width="8.83203125" style="11" customWidth="1"/>
    <col min="8" max="16384" width="10.83203125" style="11"/>
  </cols>
  <sheetData>
    <row r="1" spans="1:14" ht="16">
      <c r="A1" s="157" t="s">
        <v>121</v>
      </c>
      <c r="B1" s="157"/>
      <c r="C1" s="157"/>
      <c r="D1" s="157"/>
      <c r="E1" s="157"/>
      <c r="F1" s="157"/>
      <c r="G1" s="157"/>
    </row>
    <row r="2" spans="1:14" ht="16">
      <c r="A2" s="108"/>
      <c r="B2" s="45">
        <v>1</v>
      </c>
      <c r="C2" s="45">
        <v>6</v>
      </c>
      <c r="D2" s="45">
        <v>9</v>
      </c>
      <c r="E2" s="45">
        <v>10</v>
      </c>
      <c r="F2" s="45">
        <v>14</v>
      </c>
      <c r="G2" s="46">
        <v>16</v>
      </c>
    </row>
    <row r="3" spans="1:14" ht="16">
      <c r="A3" s="31">
        <v>1</v>
      </c>
      <c r="B3" s="27">
        <v>10000</v>
      </c>
      <c r="C3" s="27">
        <v>65</v>
      </c>
      <c r="D3" s="27">
        <v>10000</v>
      </c>
      <c r="E3" s="27">
        <v>57</v>
      </c>
      <c r="F3" s="27">
        <v>98</v>
      </c>
      <c r="G3" s="34">
        <v>58</v>
      </c>
      <c r="I3" s="27">
        <v>10000</v>
      </c>
      <c r="J3" s="27">
        <v>65</v>
      </c>
      <c r="K3" s="27">
        <v>115</v>
      </c>
      <c r="L3" s="27">
        <v>57</v>
      </c>
      <c r="M3" s="27">
        <v>98</v>
      </c>
      <c r="N3" s="34">
        <v>58</v>
      </c>
    </row>
    <row r="4" spans="1:14" ht="16">
      <c r="A4" s="31">
        <v>6</v>
      </c>
      <c r="B4" s="27">
        <v>51</v>
      </c>
      <c r="C4" s="27">
        <v>10000</v>
      </c>
      <c r="D4" s="27">
        <v>121</v>
      </c>
      <c r="E4" s="27">
        <v>28</v>
      </c>
      <c r="F4" s="27">
        <v>66</v>
      </c>
      <c r="G4" s="34">
        <v>29</v>
      </c>
      <c r="I4" s="27">
        <v>51</v>
      </c>
      <c r="J4" s="27">
        <v>10000</v>
      </c>
      <c r="K4" s="27">
        <v>121</v>
      </c>
      <c r="L4" s="27">
        <v>28</v>
      </c>
      <c r="M4" s="27">
        <v>66</v>
      </c>
      <c r="N4" s="34">
        <v>29</v>
      </c>
    </row>
    <row r="5" spans="1:14" ht="16">
      <c r="A5" s="31">
        <v>9</v>
      </c>
      <c r="B5" s="27">
        <v>96</v>
      </c>
      <c r="C5" s="27">
        <v>118</v>
      </c>
      <c r="D5" s="27">
        <v>10000</v>
      </c>
      <c r="E5" s="27">
        <v>101</v>
      </c>
      <c r="F5" s="27">
        <v>188</v>
      </c>
      <c r="G5" s="34">
        <v>137</v>
      </c>
      <c r="I5" s="27">
        <v>96</v>
      </c>
      <c r="J5" s="27">
        <v>118</v>
      </c>
      <c r="K5" s="27">
        <v>10000</v>
      </c>
      <c r="L5" s="27">
        <v>101</v>
      </c>
      <c r="M5" s="27">
        <v>188</v>
      </c>
      <c r="N5" s="34">
        <v>137</v>
      </c>
    </row>
    <row r="6" spans="1:14" ht="16">
      <c r="A6" s="31">
        <v>10</v>
      </c>
      <c r="B6" s="27">
        <v>55</v>
      </c>
      <c r="C6" s="27">
        <v>33</v>
      </c>
      <c r="D6" s="27">
        <v>104</v>
      </c>
      <c r="E6" s="27">
        <v>10000</v>
      </c>
      <c r="F6" s="27">
        <v>65</v>
      </c>
      <c r="G6" s="34">
        <v>42</v>
      </c>
      <c r="I6" s="27">
        <v>55</v>
      </c>
      <c r="J6" s="27">
        <v>33</v>
      </c>
      <c r="K6" s="27">
        <v>104</v>
      </c>
      <c r="L6" s="27">
        <v>10000</v>
      </c>
      <c r="M6" s="27">
        <v>65</v>
      </c>
      <c r="N6" s="34">
        <v>42</v>
      </c>
    </row>
    <row r="7" spans="1:14" ht="16">
      <c r="A7" s="31">
        <v>14</v>
      </c>
      <c r="B7" s="27">
        <v>98</v>
      </c>
      <c r="C7" s="27">
        <v>65</v>
      </c>
      <c r="D7" s="27">
        <v>158</v>
      </c>
      <c r="E7" s="27">
        <v>64</v>
      </c>
      <c r="F7" s="27">
        <v>10000</v>
      </c>
      <c r="G7" s="34">
        <v>65</v>
      </c>
      <c r="I7" s="27">
        <v>98</v>
      </c>
      <c r="J7" s="27">
        <v>65</v>
      </c>
      <c r="K7" s="27">
        <v>158</v>
      </c>
      <c r="L7" s="27">
        <v>64</v>
      </c>
      <c r="M7" s="27">
        <v>10000</v>
      </c>
      <c r="N7" s="34">
        <v>65</v>
      </c>
    </row>
    <row r="8" spans="1:14" ht="16">
      <c r="A8" s="109">
        <v>16</v>
      </c>
      <c r="B8" s="38">
        <v>74</v>
      </c>
      <c r="C8" s="38">
        <v>25</v>
      </c>
      <c r="D8" s="38">
        <v>117</v>
      </c>
      <c r="E8" s="38">
        <v>28</v>
      </c>
      <c r="F8" s="38">
        <v>65</v>
      </c>
      <c r="G8" s="43">
        <v>10000</v>
      </c>
      <c r="I8" s="38">
        <v>74</v>
      </c>
      <c r="J8" s="38">
        <v>25</v>
      </c>
      <c r="K8" s="38">
        <v>117</v>
      </c>
      <c r="L8" s="38">
        <v>28</v>
      </c>
      <c r="M8" s="38">
        <v>65</v>
      </c>
      <c r="N8" s="43">
        <v>10000</v>
      </c>
    </row>
    <row r="9" spans="1:14" ht="16">
      <c r="A9" s="27"/>
      <c r="B9" s="27"/>
      <c r="C9" s="27"/>
      <c r="D9" s="27"/>
      <c r="E9" s="27"/>
      <c r="F9" s="27"/>
      <c r="G9" s="27"/>
    </row>
    <row r="10" spans="1:14" ht="16">
      <c r="A10" s="151" t="s">
        <v>122</v>
      </c>
      <c r="B10" s="152"/>
      <c r="C10" s="152"/>
      <c r="D10" s="152"/>
      <c r="E10" s="152"/>
      <c r="F10" s="152"/>
      <c r="G10" s="153"/>
    </row>
    <row r="11" spans="1:14" ht="16">
      <c r="A11" s="108"/>
      <c r="B11" s="45">
        <v>1</v>
      </c>
      <c r="C11" s="45">
        <v>6</v>
      </c>
      <c r="D11" s="45">
        <v>9</v>
      </c>
      <c r="E11" s="45">
        <v>10</v>
      </c>
      <c r="F11" s="45">
        <v>14</v>
      </c>
      <c r="G11" s="46">
        <v>16</v>
      </c>
    </row>
    <row r="12" spans="1:14" ht="16">
      <c r="A12" s="31">
        <v>1</v>
      </c>
      <c r="B12" s="27">
        <f>B3-MIN($B3:$G3)</f>
        <v>9943</v>
      </c>
      <c r="C12" s="27">
        <f t="shared" ref="C12:G12" si="0">C3-MIN($B3:$G3)</f>
        <v>8</v>
      </c>
      <c r="D12" s="27">
        <f t="shared" si="0"/>
        <v>9943</v>
      </c>
      <c r="E12" s="27">
        <f t="shared" si="0"/>
        <v>0</v>
      </c>
      <c r="F12" s="27">
        <f t="shared" si="0"/>
        <v>41</v>
      </c>
      <c r="G12" s="34">
        <f t="shared" si="0"/>
        <v>1</v>
      </c>
    </row>
    <row r="13" spans="1:14" ht="16">
      <c r="A13" s="31">
        <v>6</v>
      </c>
      <c r="B13" s="27">
        <f t="shared" ref="B13:G13" si="1">B4-MIN($B4:$G4)</f>
        <v>23</v>
      </c>
      <c r="C13" s="27">
        <f t="shared" si="1"/>
        <v>9972</v>
      </c>
      <c r="D13" s="27">
        <f t="shared" si="1"/>
        <v>93</v>
      </c>
      <c r="E13" s="27">
        <f t="shared" si="1"/>
        <v>0</v>
      </c>
      <c r="F13" s="27">
        <f t="shared" si="1"/>
        <v>38</v>
      </c>
      <c r="G13" s="34">
        <f t="shared" si="1"/>
        <v>1</v>
      </c>
    </row>
    <row r="14" spans="1:14" ht="16">
      <c r="A14" s="31">
        <v>9</v>
      </c>
      <c r="B14" s="27">
        <f t="shared" ref="B14:G14" si="2">B5-MIN($B5:$G5)</f>
        <v>0</v>
      </c>
      <c r="C14" s="27">
        <f t="shared" si="2"/>
        <v>22</v>
      </c>
      <c r="D14" s="27">
        <f t="shared" si="2"/>
        <v>9904</v>
      </c>
      <c r="E14" s="27">
        <f t="shared" si="2"/>
        <v>5</v>
      </c>
      <c r="F14" s="27">
        <f t="shared" si="2"/>
        <v>92</v>
      </c>
      <c r="G14" s="34">
        <f t="shared" si="2"/>
        <v>41</v>
      </c>
    </row>
    <row r="15" spans="1:14" ht="16">
      <c r="A15" s="31">
        <v>10</v>
      </c>
      <c r="B15" s="27">
        <f t="shared" ref="B15:G15" si="3">B6-MIN($B6:$G6)</f>
        <v>22</v>
      </c>
      <c r="C15" s="27">
        <f t="shared" si="3"/>
        <v>0</v>
      </c>
      <c r="D15" s="27">
        <f t="shared" si="3"/>
        <v>71</v>
      </c>
      <c r="E15" s="27">
        <f t="shared" si="3"/>
        <v>9967</v>
      </c>
      <c r="F15" s="27">
        <f t="shared" si="3"/>
        <v>32</v>
      </c>
      <c r="G15" s="34">
        <f t="shared" si="3"/>
        <v>9</v>
      </c>
    </row>
    <row r="16" spans="1:14" ht="16">
      <c r="A16" s="31">
        <v>14</v>
      </c>
      <c r="B16" s="27">
        <f t="shared" ref="B16:G16" si="4">B7-MIN($B7:$G7)</f>
        <v>34</v>
      </c>
      <c r="C16" s="27">
        <f t="shared" si="4"/>
        <v>1</v>
      </c>
      <c r="D16" s="27">
        <f t="shared" si="4"/>
        <v>94</v>
      </c>
      <c r="E16" s="27">
        <f t="shared" si="4"/>
        <v>0</v>
      </c>
      <c r="F16" s="27">
        <f t="shared" si="4"/>
        <v>9936</v>
      </c>
      <c r="G16" s="34">
        <f t="shared" si="4"/>
        <v>1</v>
      </c>
    </row>
    <row r="17" spans="1:7" ht="16">
      <c r="A17" s="109">
        <v>16</v>
      </c>
      <c r="B17" s="38">
        <f t="shared" ref="B17:G17" si="5">B8-MIN($B8:$G8)</f>
        <v>49</v>
      </c>
      <c r="C17" s="38">
        <f t="shared" si="5"/>
        <v>0</v>
      </c>
      <c r="D17" s="38">
        <f t="shared" si="5"/>
        <v>92</v>
      </c>
      <c r="E17" s="38">
        <f t="shared" si="5"/>
        <v>3</v>
      </c>
      <c r="F17" s="38">
        <f t="shared" si="5"/>
        <v>40</v>
      </c>
      <c r="G17" s="43">
        <f t="shared" si="5"/>
        <v>9975</v>
      </c>
    </row>
    <row r="18" spans="1:7" ht="16">
      <c r="B18" s="27"/>
      <c r="C18" s="27"/>
      <c r="D18" s="27"/>
      <c r="E18" s="27"/>
      <c r="F18" s="27"/>
      <c r="G18" s="27"/>
    </row>
    <row r="19" spans="1:7" ht="16">
      <c r="A19" s="154" t="s">
        <v>123</v>
      </c>
      <c r="B19" s="155"/>
      <c r="C19" s="155"/>
      <c r="D19" s="155"/>
      <c r="E19" s="155"/>
      <c r="F19" s="155"/>
      <c r="G19" s="156"/>
    </row>
    <row r="20" spans="1:7" ht="16">
      <c r="A20" s="108"/>
      <c r="B20" s="45">
        <v>1</v>
      </c>
      <c r="C20" s="45">
        <v>6</v>
      </c>
      <c r="D20" s="45">
        <v>9</v>
      </c>
      <c r="E20" s="45">
        <v>10</v>
      </c>
      <c r="F20" s="45">
        <v>14</v>
      </c>
      <c r="G20" s="46">
        <v>16</v>
      </c>
    </row>
    <row r="21" spans="1:7" ht="16">
      <c r="A21" s="35">
        <v>1</v>
      </c>
      <c r="B21" s="27">
        <f>B12-MIN(B$12:B$17)</f>
        <v>9943</v>
      </c>
      <c r="C21" s="27">
        <f t="shared" ref="C21:F21" si="6">C12-MIN(C$12:C$17)</f>
        <v>8</v>
      </c>
      <c r="D21" s="27">
        <f t="shared" si="6"/>
        <v>9872</v>
      </c>
      <c r="E21" s="27">
        <f t="shared" si="6"/>
        <v>0</v>
      </c>
      <c r="F21" s="27">
        <f t="shared" si="6"/>
        <v>9</v>
      </c>
      <c r="G21" s="34">
        <f>G12-MIN(G$12:G$17)</f>
        <v>0</v>
      </c>
    </row>
    <row r="22" spans="1:7" ht="16">
      <c r="A22" s="35">
        <v>6</v>
      </c>
      <c r="B22" s="27">
        <f t="shared" ref="B22:G22" si="7">B13-MIN(B$12:B$17)</f>
        <v>23</v>
      </c>
      <c r="C22" s="27">
        <f t="shared" si="7"/>
        <v>9972</v>
      </c>
      <c r="D22" s="27">
        <f t="shared" si="7"/>
        <v>22</v>
      </c>
      <c r="E22" s="27">
        <f t="shared" si="7"/>
        <v>0</v>
      </c>
      <c r="F22" s="27">
        <f t="shared" si="7"/>
        <v>6</v>
      </c>
      <c r="G22" s="34">
        <f t="shared" si="7"/>
        <v>0</v>
      </c>
    </row>
    <row r="23" spans="1:7" ht="16">
      <c r="A23" s="35">
        <v>9</v>
      </c>
      <c r="B23" s="27">
        <f t="shared" ref="B23:G23" si="8">B14-MIN(B$12:B$17)</f>
        <v>0</v>
      </c>
      <c r="C23" s="27">
        <f t="shared" si="8"/>
        <v>22</v>
      </c>
      <c r="D23" s="27">
        <f t="shared" si="8"/>
        <v>9833</v>
      </c>
      <c r="E23" s="27">
        <f t="shared" si="8"/>
        <v>5</v>
      </c>
      <c r="F23" s="27">
        <f t="shared" si="8"/>
        <v>60</v>
      </c>
      <c r="G23" s="34">
        <f t="shared" si="8"/>
        <v>40</v>
      </c>
    </row>
    <row r="24" spans="1:7" ht="16">
      <c r="A24" s="35">
        <v>10</v>
      </c>
      <c r="B24" s="27">
        <f t="shared" ref="B24:G24" si="9">B15-MIN(B$12:B$17)</f>
        <v>22</v>
      </c>
      <c r="C24" s="27">
        <f t="shared" si="9"/>
        <v>0</v>
      </c>
      <c r="D24" s="27">
        <f t="shared" si="9"/>
        <v>0</v>
      </c>
      <c r="E24" s="27">
        <f t="shared" si="9"/>
        <v>9967</v>
      </c>
      <c r="F24" s="27">
        <f t="shared" si="9"/>
        <v>0</v>
      </c>
      <c r="G24" s="34">
        <f t="shared" si="9"/>
        <v>8</v>
      </c>
    </row>
    <row r="25" spans="1:7" ht="16">
      <c r="A25" s="35">
        <v>14</v>
      </c>
      <c r="B25" s="27">
        <f t="shared" ref="B25:G25" si="10">B16-MIN(B$12:B$17)</f>
        <v>34</v>
      </c>
      <c r="C25" s="27">
        <f t="shared" si="10"/>
        <v>1</v>
      </c>
      <c r="D25" s="27">
        <f t="shared" si="10"/>
        <v>23</v>
      </c>
      <c r="E25" s="27">
        <f t="shared" si="10"/>
        <v>0</v>
      </c>
      <c r="F25" s="27">
        <f t="shared" si="10"/>
        <v>9904</v>
      </c>
      <c r="G25" s="34">
        <f t="shared" si="10"/>
        <v>0</v>
      </c>
    </row>
    <row r="26" spans="1:7" ht="16">
      <c r="A26" s="37">
        <v>16</v>
      </c>
      <c r="B26" s="38">
        <f t="shared" ref="B26:G26" si="11">B17-MIN(B$12:B$17)</f>
        <v>49</v>
      </c>
      <c r="C26" s="38">
        <f t="shared" si="11"/>
        <v>0</v>
      </c>
      <c r="D26" s="38">
        <f t="shared" si="11"/>
        <v>21</v>
      </c>
      <c r="E26" s="38">
        <f t="shared" si="11"/>
        <v>3</v>
      </c>
      <c r="F26" s="38">
        <f t="shared" si="11"/>
        <v>8</v>
      </c>
      <c r="G26" s="43">
        <f t="shared" si="11"/>
        <v>9974</v>
      </c>
    </row>
    <row r="28" spans="1:7" ht="16">
      <c r="A28" s="108"/>
      <c r="B28" s="45">
        <v>1</v>
      </c>
      <c r="C28" s="45">
        <v>6</v>
      </c>
      <c r="D28" s="45">
        <v>9</v>
      </c>
      <c r="E28" s="45">
        <v>10</v>
      </c>
      <c r="F28" s="45">
        <v>14</v>
      </c>
      <c r="G28" s="46">
        <v>16</v>
      </c>
    </row>
    <row r="29" spans="1:7" ht="16">
      <c r="A29" s="35">
        <v>1</v>
      </c>
      <c r="B29" s="27">
        <f>B21-MIN($B$21:$B$22,$B$25:$B$26,$D$21:$D$22,$D$25:$D$26,$F$21:$F$22,$F$25:$F$26)</f>
        <v>9937</v>
      </c>
      <c r="C29" s="27">
        <v>8</v>
      </c>
      <c r="D29" s="27">
        <f t="shared" ref="D29:D30" si="12">D21-MIN($B$21:$B$22,$B$25:$B$26,$D$21:$D$22,$D$25:$D$26,$F$21:$F$22,$F$25:$F$26)</f>
        <v>9866</v>
      </c>
      <c r="E29" s="27">
        <v>0</v>
      </c>
      <c r="F29" s="27">
        <f t="shared" ref="F29:F30" si="13">F21-MIN($B$21:$B$22,$B$25:$B$26,$D$21:$D$22,$D$25:$D$26,$F$21:$F$22,$F$25:$F$26)</f>
        <v>3</v>
      </c>
      <c r="G29" s="34">
        <v>0</v>
      </c>
    </row>
    <row r="30" spans="1:7" ht="16">
      <c r="A30" s="35">
        <v>6</v>
      </c>
      <c r="B30" s="27">
        <f>B22-MIN($B$21:$B$22,$B$25:$B$26,$D$21:$D$22,$D$25:$D$26,$F$21:$F$22,$F$25:$F$26)</f>
        <v>17</v>
      </c>
      <c r="C30" s="27">
        <v>9972</v>
      </c>
      <c r="D30" s="27">
        <f t="shared" si="12"/>
        <v>16</v>
      </c>
      <c r="E30" s="27">
        <v>0</v>
      </c>
      <c r="F30" s="27">
        <f t="shared" si="13"/>
        <v>0</v>
      </c>
      <c r="G30" s="34">
        <v>0</v>
      </c>
    </row>
    <row r="31" spans="1:7" ht="16">
      <c r="A31" s="35">
        <v>9</v>
      </c>
      <c r="B31" s="27">
        <v>0</v>
      </c>
      <c r="C31" s="27">
        <v>22</v>
      </c>
      <c r="D31" s="27">
        <v>9833</v>
      </c>
      <c r="E31" s="27">
        <v>5</v>
      </c>
      <c r="F31" s="27">
        <v>60</v>
      </c>
      <c r="G31" s="34">
        <v>40</v>
      </c>
    </row>
    <row r="32" spans="1:7" ht="16">
      <c r="A32" s="35">
        <v>10</v>
      </c>
      <c r="B32" s="27">
        <f>B24+MIN($B$21:$B$22,$B$25:$B$26,$D$21:$D$22,$D$25:$D$26,$F$21:$F$22,$F$25:$F$26)</f>
        <v>28</v>
      </c>
      <c r="C32" s="27">
        <f>C24+MIN($B$21:$B$22,$B$25:$B$26,$D$21:$D$22,$D$25:$D$26,$F$21:$F$22,$F$25:$F$26)</f>
        <v>6</v>
      </c>
      <c r="D32" s="27">
        <v>0</v>
      </c>
      <c r="E32" s="27">
        <f>E24+MIN($B$21:$B$22,$B$25:$B$26,$D$21:$D$22,$D$25:$D$26,$F$21:$F$22,$F$25:$F$26)</f>
        <v>9973</v>
      </c>
      <c r="F32" s="27">
        <v>0</v>
      </c>
      <c r="G32" s="34">
        <f>G24+MIN($B$21:$B$22,$B$25:$B$26,$D$21:$D$22,$D$25:$D$26,$F$21:$F$22,$F$25:$F$26)</f>
        <v>14</v>
      </c>
    </row>
    <row r="33" spans="1:7" ht="16">
      <c r="A33" s="35">
        <v>14</v>
      </c>
      <c r="B33" s="27">
        <f t="shared" ref="B33:B34" si="14">B25-MIN($B$21:$B$22,$B$25:$B$26,$D$21:$D$22,$D$25:$D$26,$F$21:$F$22,$F$25:$F$26)</f>
        <v>28</v>
      </c>
      <c r="C33" s="27">
        <v>1</v>
      </c>
      <c r="D33" s="27">
        <f t="shared" ref="D33:D34" si="15">D25-MIN($B$21:$B$22,$B$25:$B$26,$D$21:$D$22,$D$25:$D$26,$F$21:$F$22,$F$25:$F$26)</f>
        <v>17</v>
      </c>
      <c r="E33" s="27">
        <v>0</v>
      </c>
      <c r="F33" s="27">
        <f t="shared" ref="F33:F34" si="16">F25-MIN($B$21:$B$22,$B$25:$B$26,$D$21:$D$22,$D$25:$D$26,$F$21:$F$22,$F$25:$F$26)</f>
        <v>9898</v>
      </c>
      <c r="G33" s="34">
        <v>0</v>
      </c>
    </row>
    <row r="34" spans="1:7" ht="16">
      <c r="A34" s="37">
        <v>16</v>
      </c>
      <c r="B34" s="38">
        <f t="shared" si="14"/>
        <v>43</v>
      </c>
      <c r="C34" s="38">
        <v>0</v>
      </c>
      <c r="D34" s="38">
        <f t="shared" si="15"/>
        <v>15</v>
      </c>
      <c r="E34" s="38">
        <v>3</v>
      </c>
      <c r="F34" s="38">
        <f t="shared" si="16"/>
        <v>2</v>
      </c>
      <c r="G34" s="43">
        <v>9974</v>
      </c>
    </row>
    <row r="35" spans="1:7">
      <c r="B35" s="11" t="s">
        <v>124</v>
      </c>
    </row>
    <row r="36" spans="1:7">
      <c r="B36" s="11" t="s">
        <v>125</v>
      </c>
    </row>
    <row r="37" spans="1:7">
      <c r="B37" s="11" t="s">
        <v>126</v>
      </c>
    </row>
    <row r="38" spans="1:7">
      <c r="B38" s="11" t="s">
        <v>127</v>
      </c>
    </row>
    <row r="39" spans="1:7">
      <c r="B39" s="11" t="s">
        <v>128</v>
      </c>
      <c r="C39" s="11" t="s">
        <v>129</v>
      </c>
    </row>
    <row r="40" spans="1:7">
      <c r="B40" s="11" t="s">
        <v>130</v>
      </c>
    </row>
    <row r="41" spans="1:7">
      <c r="B41" s="11" t="s">
        <v>131</v>
      </c>
    </row>
  </sheetData>
  <mergeCells count="3">
    <mergeCell ref="A10:G10"/>
    <mergeCell ref="A19:G19"/>
    <mergeCell ref="A1:G1"/>
  </mergeCells>
  <phoneticPr fontId="1" type="noConversion"/>
  <conditionalFormatting sqref="B12:G17">
    <cfRule type="cellIs" dxfId="2" priority="3" operator="equal">
      <formula>0</formula>
    </cfRule>
  </conditionalFormatting>
  <conditionalFormatting sqref="B21:G26">
    <cfRule type="cellIs" dxfId="1" priority="2" operator="equal">
      <formula>0</formula>
    </cfRule>
  </conditionalFormatting>
  <conditionalFormatting sqref="B29:G34"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具名範圍</vt:lpstr>
      </vt:variant>
      <vt:variant>
        <vt:i4>12</vt:i4>
      </vt:variant>
    </vt:vector>
  </HeadingPairs>
  <TitlesOfParts>
    <vt:vector size="19" baseType="lpstr">
      <vt:lpstr>Hotspot</vt:lpstr>
      <vt:lpstr>Transportation Matrix</vt:lpstr>
      <vt:lpstr>HotspotsGenerarator</vt:lpstr>
      <vt:lpstr>Model_0</vt:lpstr>
      <vt:lpstr>Model1_simplex</vt:lpstr>
      <vt:lpstr>Hotspot Selection</vt:lpstr>
      <vt:lpstr>SolveByHand_HungarianMethod</vt:lpstr>
      <vt:lpstr>df_v1fee</vt:lpstr>
      <vt:lpstr>df_v1sol</vt:lpstr>
      <vt:lpstr>df_v1time</vt:lpstr>
      <vt:lpstr>fee_matrix</vt:lpstr>
      <vt:lpstr>hs_category</vt:lpstr>
      <vt:lpstr>hs_name</vt:lpstr>
      <vt:lpstr>hs_ref</vt:lpstr>
      <vt:lpstr>hs_stay</vt:lpstr>
      <vt:lpstr>time_matrix</vt:lpstr>
      <vt:lpstr>v1name_sort</vt:lpstr>
      <vt:lpstr>v1ref</vt:lpstr>
      <vt:lpstr>v1ref_sort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Y. C. Chris Lau</cp:lastModifiedBy>
  <cp:revision/>
  <dcterms:created xsi:type="dcterms:W3CDTF">2022-11-04T10:03:14Z</dcterms:created>
  <dcterms:modified xsi:type="dcterms:W3CDTF">2023-03-28T17:04:53Z</dcterms:modified>
  <cp:category/>
  <cp:contentStatus/>
</cp:coreProperties>
</file>