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6.bin" ContentType="application/vnd.openxmlformats-officedocument.oleObject"/>
  <Override PartName="/xl/charts/chart2.xml" ContentType="application/vnd.openxmlformats-officedocument.drawingml.chart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drawings/drawing11.xml" ContentType="application/vnd.openxmlformats-officedocument.drawing+xml"/>
  <Override PartName="/xl/embeddings/oleObject14.bin" ContentType="application/vnd.openxmlformats-officedocument.oleObject"/>
  <Override PartName="/xl/drawings/drawing12.xml" ContentType="application/vnd.openxmlformats-officedocument.drawing+xml"/>
  <Override PartName="/xl/embeddings/oleObject15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5"/>
  </bookViews>
  <sheets>
    <sheet name="Exmpl1.2.1-exact" sheetId="1" r:id="rId1"/>
    <sheet name="Exmpl1.2.1-lin approx" sheetId="4" r:id="rId2"/>
    <sheet name="P1.1.2" sheetId="2" r:id="rId3"/>
    <sheet name="P1.1.3-1.1.5" sheetId="3" r:id="rId4"/>
    <sheet name="P1.1.6" sheetId="14" r:id="rId5"/>
    <sheet name="P1.1.7-1.1.9" sheetId="5" r:id="rId6"/>
    <sheet name="DP1.1.10-1.1.11" sheetId="6" r:id="rId7"/>
    <sheet name="P1.1.12-1.1.13" sheetId="7" r:id="rId8"/>
    <sheet name="P1.1.14" sheetId="9" r:id="rId9"/>
    <sheet name="Лист1" sheetId="10" r:id="rId10"/>
    <sheet name="Лист2" sheetId="11" r:id="rId11"/>
    <sheet name="Лист3" sheetId="12" r:id="rId12"/>
    <sheet name="Лист4" sheetId="13" r:id="rId13"/>
  </sheets>
  <definedNames>
    <definedName name="Eta">'Exmpl1.2.1-exact'!$J$3</definedName>
    <definedName name="Is">'Exmpl1.2.1-exact'!$J$2</definedName>
    <definedName name="R_">'Exmpl1.2.1-exact'!$J$6</definedName>
    <definedName name="R_a" localSheetId="8">P1.1.14!$H$16</definedName>
    <definedName name="R_n" localSheetId="8">P1.1.14!$H$15</definedName>
    <definedName name="V_1" localSheetId="8">P1.1.14!$H$10</definedName>
    <definedName name="V_2" localSheetId="8">P1.1.14!$H$11</definedName>
    <definedName name="V_3" localSheetId="8">P1.1.14!$H$12</definedName>
    <definedName name="Vsrc">'Exmpl1.2.1-exact'!$J$5</definedName>
    <definedName name="Vt">'Exmpl1.2.1-exact'!$J$4</definedName>
  </definedNames>
  <calcPr calcId="152511"/>
</workbook>
</file>

<file path=xl/calcChain.xml><?xml version="1.0" encoding="utf-8"?>
<calcChain xmlns="http://schemas.openxmlformats.org/spreadsheetml/2006/main">
  <c r="D7" i="5" l="1"/>
  <c r="D6" i="14"/>
  <c r="G7" i="14" s="1"/>
  <c r="M6" i="14"/>
  <c r="D7" i="14"/>
  <c r="D8" i="14"/>
  <c r="G8" i="14"/>
  <c r="I7" i="14" s="1"/>
  <c r="M9" i="14"/>
  <c r="C12" i="14"/>
  <c r="C13" i="14"/>
  <c r="C14" i="14"/>
  <c r="C16" i="14"/>
  <c r="C17" i="14"/>
  <c r="C18" i="14"/>
  <c r="C20" i="14"/>
  <c r="C21" i="14"/>
  <c r="C22" i="14"/>
  <c r="C24" i="14"/>
  <c r="C25" i="14"/>
  <c r="C26" i="14"/>
  <c r="C28" i="14"/>
  <c r="C29" i="14"/>
  <c r="C30" i="14"/>
  <c r="C32" i="14"/>
  <c r="C33" i="14"/>
  <c r="C34" i="14"/>
  <c r="C36" i="14"/>
  <c r="C37" i="14"/>
  <c r="C38" i="14"/>
  <c r="C40" i="14"/>
  <c r="C41" i="14"/>
  <c r="C42" i="14"/>
  <c r="C44" i="14"/>
  <c r="C45" i="14"/>
  <c r="C46" i="14"/>
  <c r="C48" i="14"/>
  <c r="C49" i="14"/>
  <c r="C50" i="14"/>
  <c r="C52" i="14"/>
  <c r="C53" i="14"/>
  <c r="C54" i="14"/>
  <c r="C56" i="14"/>
  <c r="C57" i="14"/>
  <c r="C58" i="14"/>
  <c r="C60" i="14"/>
  <c r="C61" i="14"/>
  <c r="C62" i="14"/>
  <c r="C64" i="14"/>
  <c r="C65" i="14"/>
  <c r="C66" i="14"/>
  <c r="C68" i="14"/>
  <c r="C69" i="14"/>
  <c r="C70" i="14"/>
  <c r="C72" i="14"/>
  <c r="C73" i="14"/>
  <c r="C74" i="14"/>
  <c r="C76" i="14"/>
  <c r="C77" i="14"/>
  <c r="C78" i="14"/>
  <c r="C80" i="14"/>
  <c r="C81" i="14"/>
  <c r="C82" i="14"/>
  <c r="C84" i="14"/>
  <c r="C85" i="14"/>
  <c r="C86" i="14"/>
  <c r="C88" i="14"/>
  <c r="C89" i="14"/>
  <c r="C90" i="14"/>
  <c r="C92" i="14"/>
  <c r="C93" i="14"/>
  <c r="C94" i="14"/>
  <c r="C96" i="14"/>
  <c r="C97" i="14"/>
  <c r="C98" i="14"/>
  <c r="C100" i="14"/>
  <c r="C101" i="14"/>
  <c r="C102" i="14"/>
  <c r="C104" i="14"/>
  <c r="C105" i="14"/>
  <c r="C106" i="14"/>
  <c r="C108" i="14"/>
  <c r="C109" i="14"/>
  <c r="C110" i="14"/>
  <c r="C112" i="14"/>
  <c r="C113" i="14"/>
  <c r="C114" i="14"/>
  <c r="C116" i="14"/>
  <c r="C117" i="14"/>
  <c r="C118" i="14"/>
  <c r="C120" i="14"/>
  <c r="C121" i="14"/>
  <c r="C122" i="14"/>
  <c r="C124" i="14"/>
  <c r="C125" i="14"/>
  <c r="C126" i="14"/>
  <c r="C128" i="14"/>
  <c r="C129" i="14"/>
  <c r="C130" i="14"/>
  <c r="C132" i="14"/>
  <c r="C133" i="14"/>
  <c r="C134" i="14"/>
  <c r="C136" i="14"/>
  <c r="C137" i="14"/>
  <c r="C138" i="14"/>
  <c r="C140" i="14"/>
  <c r="C141" i="14"/>
  <c r="C142" i="14"/>
  <c r="C144" i="14"/>
  <c r="C145" i="14"/>
  <c r="C146" i="14"/>
  <c r="C148" i="14"/>
  <c r="C149" i="14"/>
  <c r="C150" i="14"/>
  <c r="C152" i="14"/>
  <c r="C153" i="14"/>
  <c r="C154" i="14"/>
  <c r="C156" i="14"/>
  <c r="C157" i="14"/>
  <c r="C158" i="14"/>
  <c r="C160" i="14"/>
  <c r="C161" i="14"/>
  <c r="C162" i="14"/>
  <c r="C164" i="14"/>
  <c r="C165" i="14"/>
  <c r="C166" i="14"/>
  <c r="C168" i="14"/>
  <c r="C169" i="14"/>
  <c r="C170" i="14"/>
  <c r="C172" i="14"/>
  <c r="C173" i="14"/>
  <c r="C174" i="14"/>
  <c r="C176" i="14"/>
  <c r="C177" i="14"/>
  <c r="C178" i="14"/>
  <c r="C180" i="14"/>
  <c r="C181" i="14"/>
  <c r="C182" i="14"/>
  <c r="C184" i="14"/>
  <c r="C185" i="14"/>
  <c r="C186" i="14"/>
  <c r="C188" i="14"/>
  <c r="C189" i="14"/>
  <c r="C190" i="14"/>
  <c r="C192" i="14"/>
  <c r="C193" i="14"/>
  <c r="C194" i="14"/>
  <c r="C196" i="14"/>
  <c r="C197" i="14"/>
  <c r="C198" i="14"/>
  <c r="C200" i="14"/>
  <c r="C201" i="14"/>
  <c r="C202" i="14"/>
  <c r="C204" i="14"/>
  <c r="C205" i="14"/>
  <c r="C206" i="14"/>
  <c r="C208" i="14"/>
  <c r="C209" i="14"/>
  <c r="C210" i="14"/>
  <c r="C212" i="14"/>
  <c r="C213" i="14"/>
  <c r="C214" i="14"/>
  <c r="C216" i="14"/>
  <c r="C217" i="14"/>
  <c r="C218" i="14"/>
  <c r="C220" i="14"/>
  <c r="C221" i="14"/>
  <c r="C222" i="14"/>
  <c r="C224" i="14"/>
  <c r="C225" i="14"/>
  <c r="C226" i="14"/>
  <c r="C228" i="14"/>
  <c r="C229" i="14"/>
  <c r="C230" i="14"/>
  <c r="C232" i="14"/>
  <c r="C233" i="14"/>
  <c r="C234" i="14"/>
  <c r="C236" i="14"/>
  <c r="C237" i="14"/>
  <c r="C238" i="14"/>
  <c r="C240" i="14"/>
  <c r="C241" i="14"/>
  <c r="C242" i="14"/>
  <c r="C244" i="14"/>
  <c r="C245" i="14"/>
  <c r="C246" i="14"/>
  <c r="C248" i="14"/>
  <c r="C249" i="14"/>
  <c r="C250" i="14"/>
  <c r="C252" i="14"/>
  <c r="C253" i="14"/>
  <c r="C254" i="14"/>
  <c r="C256" i="14"/>
  <c r="C257" i="14"/>
  <c r="C258" i="14"/>
  <c r="C260" i="14"/>
  <c r="C261" i="14"/>
  <c r="C262" i="14"/>
  <c r="C264" i="14"/>
  <c r="C265" i="14"/>
  <c r="C266" i="14"/>
  <c r="C268" i="14"/>
  <c r="C269" i="14"/>
  <c r="C270" i="14"/>
  <c r="C272" i="14"/>
  <c r="C273" i="14"/>
  <c r="C274" i="14"/>
  <c r="C276" i="14"/>
  <c r="C277" i="14"/>
  <c r="C278" i="14"/>
  <c r="C280" i="14"/>
  <c r="C281" i="14"/>
  <c r="C282" i="14"/>
  <c r="C284" i="14"/>
  <c r="C285" i="14"/>
  <c r="C286" i="14"/>
  <c r="C288" i="14"/>
  <c r="C289" i="14"/>
  <c r="C290" i="14"/>
  <c r="C292" i="14"/>
  <c r="C293" i="14"/>
  <c r="C294" i="14"/>
  <c r="C296" i="14"/>
  <c r="C297" i="14"/>
  <c r="C298" i="14"/>
  <c r="C300" i="14"/>
  <c r="C301" i="14"/>
  <c r="C302" i="14"/>
  <c r="C304" i="14"/>
  <c r="C305" i="14"/>
  <c r="C306" i="14"/>
  <c r="C308" i="14"/>
  <c r="C309" i="14"/>
  <c r="C310" i="14"/>
  <c r="C312" i="14"/>
  <c r="C313" i="14"/>
  <c r="C314" i="14"/>
  <c r="C316" i="14"/>
  <c r="C317" i="14"/>
  <c r="C318" i="14"/>
  <c r="C320" i="14"/>
  <c r="C321" i="14"/>
  <c r="C322" i="14"/>
  <c r="C324" i="14"/>
  <c r="C325" i="14"/>
  <c r="C326" i="14"/>
  <c r="C328" i="14"/>
  <c r="C329" i="14"/>
  <c r="C330" i="14"/>
  <c r="C332" i="14"/>
  <c r="C333" i="14"/>
  <c r="C334" i="14"/>
  <c r="C336" i="14"/>
  <c r="C337" i="14"/>
  <c r="C338" i="14"/>
  <c r="C340" i="14"/>
  <c r="C341" i="14"/>
  <c r="C342" i="14"/>
  <c r="C344" i="14"/>
  <c r="C345" i="14"/>
  <c r="C346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347" i="14" l="1"/>
  <c r="C343" i="14"/>
  <c r="C339" i="14"/>
  <c r="C335" i="14"/>
  <c r="C331" i="14"/>
  <c r="C327" i="14"/>
  <c r="C323" i="14"/>
  <c r="C319" i="14"/>
  <c r="C315" i="14"/>
  <c r="C311" i="14"/>
  <c r="C307" i="14"/>
  <c r="C303" i="14"/>
  <c r="C299" i="14"/>
  <c r="C295" i="14"/>
  <c r="C291" i="14"/>
  <c r="C287" i="14"/>
  <c r="C283" i="14"/>
  <c r="C279" i="14"/>
  <c r="C275" i="14"/>
  <c r="C271" i="14"/>
  <c r="C267" i="14"/>
  <c r="C263" i="14"/>
  <c r="C259" i="14"/>
  <c r="C255" i="14"/>
  <c r="C251" i="14"/>
  <c r="C247" i="14"/>
  <c r="C243" i="14"/>
  <c r="C239" i="14"/>
  <c r="C235" i="14"/>
  <c r="C231" i="14"/>
  <c r="C227" i="14"/>
  <c r="C223" i="14"/>
  <c r="C219" i="14"/>
  <c r="C215" i="14"/>
  <c r="C211" i="14"/>
  <c r="C207" i="14"/>
  <c r="C203" i="14"/>
  <c r="C199" i="14"/>
  <c r="C195" i="14"/>
  <c r="C191" i="14"/>
  <c r="C187" i="14"/>
  <c r="C183" i="14"/>
  <c r="C179" i="14"/>
  <c r="C175" i="14"/>
  <c r="C171" i="14"/>
  <c r="C167" i="14"/>
  <c r="C163" i="14"/>
  <c r="C159" i="14"/>
  <c r="C155" i="14"/>
  <c r="C151" i="14"/>
  <c r="C147" i="14"/>
  <c r="C143" i="14"/>
  <c r="C139" i="14"/>
  <c r="C135" i="14"/>
  <c r="C131" i="14"/>
  <c r="C127" i="14"/>
  <c r="C123" i="14"/>
  <c r="C119" i="14"/>
  <c r="C115" i="14"/>
  <c r="C111" i="14"/>
  <c r="C107" i="14"/>
  <c r="C103" i="14"/>
  <c r="C99" i="14"/>
  <c r="C95" i="14"/>
  <c r="C91" i="14"/>
  <c r="C87" i="14"/>
  <c r="C83" i="14"/>
  <c r="C79" i="14"/>
  <c r="C75" i="14"/>
  <c r="C71" i="14"/>
  <c r="C67" i="14"/>
  <c r="C63" i="14"/>
  <c r="C59" i="14"/>
  <c r="C55" i="14"/>
  <c r="C51" i="14"/>
  <c r="C47" i="14"/>
  <c r="C43" i="14"/>
  <c r="C39" i="14"/>
  <c r="C35" i="14"/>
  <c r="C31" i="14"/>
  <c r="C27" i="14"/>
  <c r="C23" i="14"/>
  <c r="C19" i="14"/>
  <c r="C15" i="14"/>
  <c r="J35" i="3"/>
  <c r="K35" i="3"/>
  <c r="L35" i="3"/>
  <c r="J36" i="3"/>
  <c r="K36" i="3"/>
  <c r="L36" i="3"/>
  <c r="J37" i="3"/>
  <c r="K37" i="3"/>
  <c r="L37" i="3"/>
  <c r="J38" i="3"/>
  <c r="K38" i="3"/>
  <c r="L38" i="3"/>
  <c r="J39" i="3"/>
  <c r="K39" i="3"/>
  <c r="L39" i="3"/>
  <c r="J40" i="3"/>
  <c r="K40" i="3"/>
  <c r="L40" i="3"/>
  <c r="J41" i="3"/>
  <c r="K41" i="3"/>
  <c r="L41" i="3"/>
  <c r="J42" i="3"/>
  <c r="K42" i="3"/>
  <c r="L42" i="3"/>
  <c r="J43" i="3"/>
  <c r="K43" i="3"/>
  <c r="L43" i="3"/>
  <c r="J44" i="3"/>
  <c r="K44" i="3"/>
  <c r="L44" i="3"/>
  <c r="J45" i="3"/>
  <c r="K45" i="3"/>
  <c r="L45" i="3"/>
  <c r="L34" i="3"/>
  <c r="K34" i="3"/>
  <c r="J34" i="3"/>
  <c r="M45" i="3" l="1"/>
  <c r="J13" i="13" l="1"/>
  <c r="J12" i="13"/>
  <c r="J11" i="13"/>
  <c r="J10" i="13"/>
  <c r="H13" i="13"/>
  <c r="G13" i="13"/>
  <c r="F13" i="13"/>
  <c r="H12" i="13"/>
  <c r="G12" i="13"/>
  <c r="F12" i="13"/>
  <c r="H11" i="13"/>
  <c r="G11" i="13"/>
  <c r="F11" i="13"/>
  <c r="E11" i="13"/>
  <c r="F10" i="13"/>
  <c r="E15" i="13" s="1" a="1"/>
  <c r="E15" i="13" s="1"/>
  <c r="E10" i="13"/>
  <c r="H17" i="13" l="1"/>
  <c r="H15" i="13"/>
  <c r="G18" i="13"/>
  <c r="G16" i="13"/>
  <c r="F18" i="13"/>
  <c r="F17" i="13"/>
  <c r="F16" i="13"/>
  <c r="F15" i="13"/>
  <c r="H18" i="13"/>
  <c r="H16" i="13"/>
  <c r="G17" i="13"/>
  <c r="G15" i="13"/>
  <c r="E18" i="13"/>
  <c r="E17" i="13"/>
  <c r="E16" i="13"/>
  <c r="J7" i="13"/>
  <c r="J15" i="13" l="1" a="1"/>
  <c r="J15" i="13" s="1"/>
  <c r="M15" i="13" s="1"/>
  <c r="B17" i="11"/>
  <c r="H11" i="11"/>
  <c r="H10" i="11"/>
  <c r="G12" i="11"/>
  <c r="F12" i="11"/>
  <c r="E12" i="11"/>
  <c r="G11" i="11"/>
  <c r="F11" i="11"/>
  <c r="G10" i="11"/>
  <c r="F10" i="11"/>
  <c r="E10" i="11"/>
  <c r="E14" i="11" s="1" a="1"/>
  <c r="J17" i="13" l="1"/>
  <c r="M18" i="13" s="1"/>
  <c r="J16" i="13"/>
  <c r="M16" i="13" s="1"/>
  <c r="J18" i="13"/>
  <c r="M17" i="13" s="1"/>
  <c r="F14" i="11"/>
  <c r="G15" i="11"/>
  <c r="G14" i="11"/>
  <c r="E16" i="11"/>
  <c r="E15" i="11"/>
  <c r="F16" i="11"/>
  <c r="E14" i="11"/>
  <c r="F15" i="11"/>
  <c r="G16" i="11"/>
  <c r="M59" i="10"/>
  <c r="M61" i="10" s="1"/>
  <c r="R55" i="10"/>
  <c r="K56" i="10"/>
  <c r="K55" i="10"/>
  <c r="I56" i="10"/>
  <c r="H56" i="10"/>
  <c r="I55" i="10"/>
  <c r="M55" i="10" s="1" a="1"/>
  <c r="M55" i="10" s="1"/>
  <c r="H55" i="10"/>
  <c r="K44" i="10"/>
  <c r="I45" i="10"/>
  <c r="H45" i="10"/>
  <c r="I44" i="10"/>
  <c r="H44" i="10"/>
  <c r="H14" i="11" l="1" a="1"/>
  <c r="N56" i="10"/>
  <c r="N55" i="10"/>
  <c r="M56" i="10"/>
  <c r="M44" i="10" a="1"/>
  <c r="M44" i="10" s="1"/>
  <c r="E25" i="10"/>
  <c r="E19" i="10"/>
  <c r="H14" i="11" l="1"/>
  <c r="H15" i="11"/>
  <c r="H16" i="11"/>
  <c r="P55" i="10" a="1"/>
  <c r="P55" i="10" s="1"/>
  <c r="R59" i="10" s="1"/>
  <c r="N44" i="10"/>
  <c r="M45" i="10"/>
  <c r="N45" i="10"/>
  <c r="E11" i="10"/>
  <c r="J11" i="10" s="1"/>
  <c r="J14" i="10" s="1"/>
  <c r="P56" i="10" l="1"/>
  <c r="P44" i="10" a="1"/>
  <c r="F23" i="12"/>
  <c r="E23" i="12"/>
  <c r="D23" i="12"/>
  <c r="F22" i="12"/>
  <c r="E22" i="12"/>
  <c r="F21" i="12"/>
  <c r="D21" i="12"/>
  <c r="K24" i="12"/>
  <c r="K23" i="12"/>
  <c r="M28" i="12" s="1"/>
  <c r="K22" i="12"/>
  <c r="K21" i="12"/>
  <c r="N12" i="12"/>
  <c r="N10" i="12"/>
  <c r="J11" i="12"/>
  <c r="K10" i="12"/>
  <c r="K4" i="12"/>
  <c r="K5" i="12"/>
  <c r="K6" i="12"/>
  <c r="K12" i="12" s="1"/>
  <c r="K7" i="12"/>
  <c r="K3" i="12"/>
  <c r="J10" i="12" s="1"/>
  <c r="C6" i="12"/>
  <c r="D11" i="12" s="1"/>
  <c r="C5" i="12"/>
  <c r="D9" i="12" s="1"/>
  <c r="C4" i="12"/>
  <c r="C11" i="12" s="1"/>
  <c r="K11" i="12" l="1"/>
  <c r="E9" i="12"/>
  <c r="C10" i="12"/>
  <c r="C9" i="12"/>
  <c r="L12" i="12"/>
  <c r="D25" i="12" a="1"/>
  <c r="D25" i="12" s="1"/>
  <c r="D10" i="12"/>
  <c r="E10" i="12"/>
  <c r="L11" i="12"/>
  <c r="J15" i="12" s="1" a="1"/>
  <c r="E11" i="12"/>
  <c r="P44" i="10"/>
  <c r="P45" i="10"/>
  <c r="D27" i="12"/>
  <c r="F25" i="12"/>
  <c r="E26" i="12"/>
  <c r="E27" i="12"/>
  <c r="D26" i="12"/>
  <c r="F26" i="12"/>
  <c r="E25" i="12"/>
  <c r="J27" i="12"/>
  <c r="M27" i="12"/>
  <c r="J28" i="12"/>
  <c r="K28" i="12"/>
  <c r="K27" i="12"/>
  <c r="F27" i="12" l="1"/>
  <c r="C14" i="12" a="1"/>
  <c r="D16" i="12" s="1"/>
  <c r="G25" i="12" a="1"/>
  <c r="G26" i="12" s="1"/>
  <c r="H26" i="12" s="1"/>
  <c r="J15" i="12"/>
  <c r="J16" i="12"/>
  <c r="K17" i="12"/>
  <c r="J17" i="12"/>
  <c r="K16" i="12"/>
  <c r="L15" i="12"/>
  <c r="L16" i="12"/>
  <c r="L17" i="12"/>
  <c r="K15" i="12"/>
  <c r="G25" i="12"/>
  <c r="H25" i="12" s="1"/>
  <c r="G27" i="12"/>
  <c r="H27" i="12" s="1"/>
  <c r="C14" i="12"/>
  <c r="D14" i="12"/>
  <c r="E14" i="12"/>
  <c r="C15" i="12"/>
  <c r="D15" i="12"/>
  <c r="J31" i="12" a="1"/>
  <c r="E16" i="12" l="1"/>
  <c r="C16" i="12"/>
  <c r="E15" i="12"/>
  <c r="G14" i="12" a="1"/>
  <c r="N15" i="12" a="1"/>
  <c r="J31" i="12"/>
  <c r="K32" i="12"/>
  <c r="J32" i="12"/>
  <c r="K31" i="12"/>
  <c r="N12" i="9"/>
  <c r="L12" i="9"/>
  <c r="K12" i="9"/>
  <c r="N11" i="9"/>
  <c r="K11" i="9"/>
  <c r="J11" i="9"/>
  <c r="N15" i="12" l="1"/>
  <c r="N16" i="12"/>
  <c r="N17" i="12"/>
  <c r="G15" i="12"/>
  <c r="G16" i="12"/>
  <c r="G14" i="12"/>
  <c r="M31" i="12" a="1"/>
  <c r="J15" i="9" a="1"/>
  <c r="D33" i="7"/>
  <c r="E38" i="7" s="1"/>
  <c r="D32" i="7"/>
  <c r="D38" i="7" s="1"/>
  <c r="M31" i="12" l="1"/>
  <c r="M32" i="12"/>
  <c r="L17" i="9"/>
  <c r="J17" i="9"/>
  <c r="K16" i="9"/>
  <c r="L15" i="9"/>
  <c r="J15" i="9"/>
  <c r="K17" i="9"/>
  <c r="L16" i="9"/>
  <c r="J16" i="9"/>
  <c r="K15" i="9"/>
  <c r="F38" i="7"/>
  <c r="G38" i="7" s="1"/>
  <c r="N15" i="9" l="1" a="1"/>
  <c r="N15" i="9" s="1"/>
  <c r="F24" i="7"/>
  <c r="E24" i="7"/>
  <c r="E26" i="7" s="1"/>
  <c r="N17" i="9" l="1"/>
  <c r="N16" i="9"/>
  <c r="G24" i="7"/>
  <c r="D5" i="6" l="1"/>
  <c r="G18" i="6" l="1"/>
  <c r="G21" i="6" s="1"/>
  <c r="G5" i="6"/>
  <c r="D26" i="5"/>
  <c r="I22" i="5"/>
  <c r="D19" i="5"/>
  <c r="I19" i="5" s="1"/>
  <c r="G22" i="5"/>
  <c r="D15" i="6" l="1"/>
  <c r="G7" i="6"/>
  <c r="G8" i="6" s="1"/>
  <c r="G19" i="6"/>
  <c r="G20" i="6" s="1"/>
  <c r="G23" i="6" s="1"/>
  <c r="D11" i="6"/>
  <c r="F11" i="6" s="1"/>
  <c r="G11" i="6" s="1"/>
  <c r="D12" i="6"/>
  <c r="F12" i="6" s="1"/>
  <c r="G12" i="6" s="1"/>
  <c r="D18" i="5"/>
  <c r="G19" i="5" s="1"/>
  <c r="D15" i="5"/>
  <c r="D14" i="5"/>
  <c r="I30" i="5" s="1"/>
  <c r="K30" i="5" s="1"/>
  <c r="G18" i="5" l="1"/>
  <c r="G20" i="5" s="1"/>
  <c r="I18" i="5"/>
  <c r="I20" i="5" s="1"/>
  <c r="G14" i="5"/>
  <c r="L25" i="3" l="1"/>
  <c r="M23" i="3"/>
  <c r="M22" i="3"/>
  <c r="L23" i="3"/>
  <c r="L22" i="3"/>
  <c r="E14" i="3" l="1"/>
  <c r="K16" i="3" s="1"/>
  <c r="K14" i="3" l="1"/>
  <c r="K15" i="3"/>
  <c r="N10" i="3"/>
  <c r="N8" i="3"/>
  <c r="N6" i="3"/>
  <c r="N4" i="3"/>
  <c r="H10" i="3"/>
  <c r="H8" i="3"/>
  <c r="H6" i="3"/>
  <c r="H4" i="3"/>
  <c r="B7" i="2"/>
  <c r="F5" i="2"/>
  <c r="F6" i="2"/>
  <c r="L10" i="2" l="1"/>
  <c r="L19" i="2"/>
  <c r="L17" i="2"/>
  <c r="L13" i="2"/>
  <c r="B17" i="1"/>
  <c r="J3" i="4" l="1"/>
  <c r="J6" i="4"/>
  <c r="J5" i="4"/>
  <c r="J2" i="4"/>
  <c r="J2" i="1"/>
  <c r="M3" i="4" l="1"/>
  <c r="M16" i="1" s="1"/>
  <c r="J5" i="1"/>
  <c r="J6" i="1"/>
  <c r="R4" i="1" l="1"/>
  <c r="R6" i="1"/>
  <c r="R8" i="1"/>
  <c r="R10" i="1"/>
  <c r="R12" i="1"/>
  <c r="R14" i="1"/>
  <c r="R16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8" i="1"/>
  <c r="R50" i="1"/>
  <c r="R52" i="1"/>
  <c r="R54" i="1"/>
  <c r="R56" i="1"/>
  <c r="R58" i="1"/>
  <c r="R60" i="1"/>
  <c r="R62" i="1"/>
  <c r="R64" i="1"/>
  <c r="R66" i="1"/>
  <c r="R68" i="1"/>
  <c r="R70" i="1"/>
  <c r="R72" i="1"/>
  <c r="R74" i="1"/>
  <c r="R76" i="1"/>
  <c r="R78" i="1"/>
  <c r="R80" i="1"/>
  <c r="R82" i="1"/>
  <c r="R84" i="1"/>
  <c r="R86" i="1"/>
  <c r="R88" i="1"/>
  <c r="R90" i="1"/>
  <c r="R92" i="1"/>
  <c r="R94" i="1"/>
  <c r="R96" i="1"/>
  <c r="R98" i="1"/>
  <c r="R100" i="1"/>
  <c r="R3" i="1"/>
  <c r="R5" i="1"/>
  <c r="R7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97" i="1"/>
  <c r="R99" i="1"/>
  <c r="R101" i="1"/>
  <c r="R103" i="1"/>
  <c r="R102" i="1"/>
  <c r="Q6" i="1"/>
  <c r="Q8" i="1"/>
  <c r="Q10" i="1"/>
  <c r="Q12" i="1"/>
  <c r="Q14" i="1"/>
  <c r="Q16" i="1"/>
  <c r="Q18" i="1"/>
  <c r="Q20" i="1"/>
  <c r="Q22" i="1"/>
  <c r="Q24" i="1"/>
  <c r="Q26" i="1"/>
  <c r="Q28" i="1"/>
  <c r="Q30" i="1"/>
  <c r="Q32" i="1"/>
  <c r="Q34" i="1"/>
  <c r="Q36" i="1"/>
  <c r="Q38" i="1"/>
  <c r="Q40" i="1"/>
  <c r="Q42" i="1"/>
  <c r="Q44" i="1"/>
  <c r="Q46" i="1"/>
  <c r="Q48" i="1"/>
  <c r="Q50" i="1"/>
  <c r="Q52" i="1"/>
  <c r="Q54" i="1"/>
  <c r="Q56" i="1"/>
  <c r="Q58" i="1"/>
  <c r="Q60" i="1"/>
  <c r="Q62" i="1"/>
  <c r="Q64" i="1"/>
  <c r="Q66" i="1"/>
  <c r="Q68" i="1"/>
  <c r="Q70" i="1"/>
  <c r="Q72" i="1"/>
  <c r="Q74" i="1"/>
  <c r="Q76" i="1"/>
  <c r="Q78" i="1"/>
  <c r="Q80" i="1"/>
  <c r="Q82" i="1"/>
  <c r="Q84" i="1"/>
  <c r="Q86" i="1"/>
  <c r="Q88" i="1"/>
  <c r="Q90" i="1"/>
  <c r="Q92" i="1"/>
  <c r="Q94" i="1"/>
  <c r="Q96" i="1"/>
  <c r="Q98" i="1"/>
  <c r="Q100" i="1"/>
  <c r="Q102" i="1"/>
  <c r="Q4" i="1"/>
  <c r="Q5" i="1"/>
  <c r="Q7" i="1"/>
  <c r="Q9" i="1"/>
  <c r="Q11" i="1"/>
  <c r="Q13" i="1"/>
  <c r="Q15" i="1"/>
  <c r="Q17" i="1"/>
  <c r="Q19" i="1"/>
  <c r="Q21" i="1"/>
  <c r="Q23" i="1"/>
  <c r="Q25" i="1"/>
  <c r="Q27" i="1"/>
  <c r="Q29" i="1"/>
  <c r="Q31" i="1"/>
  <c r="Q33" i="1"/>
  <c r="Q35" i="1"/>
  <c r="Q37" i="1"/>
  <c r="Q39" i="1"/>
  <c r="Q41" i="1"/>
  <c r="Q43" i="1"/>
  <c r="Q45" i="1"/>
  <c r="Q47" i="1"/>
  <c r="Q49" i="1"/>
  <c r="Q51" i="1"/>
  <c r="Q53" i="1"/>
  <c r="Q55" i="1"/>
  <c r="Q57" i="1"/>
  <c r="Q59" i="1"/>
  <c r="Q61" i="1"/>
  <c r="Q63" i="1"/>
  <c r="Q65" i="1"/>
  <c r="Q67" i="1"/>
  <c r="Q69" i="1"/>
  <c r="Q71" i="1"/>
  <c r="Q73" i="1"/>
  <c r="Q75" i="1"/>
  <c r="Q77" i="1"/>
  <c r="Q79" i="1"/>
  <c r="Q81" i="1"/>
  <c r="Q83" i="1"/>
  <c r="Q85" i="1"/>
  <c r="Q87" i="1"/>
  <c r="Q89" i="1"/>
  <c r="Q91" i="1"/>
  <c r="Q93" i="1"/>
  <c r="Q95" i="1"/>
  <c r="Q97" i="1"/>
  <c r="Q99" i="1"/>
  <c r="Q101" i="1"/>
  <c r="Q103" i="1"/>
  <c r="Q3" i="1"/>
  <c r="M10" i="1"/>
  <c r="L11" i="1" s="1"/>
  <c r="M11" i="1" s="1"/>
  <c r="L12" i="1" s="1"/>
  <c r="M12" i="1" s="1"/>
  <c r="L13" i="1" s="1"/>
  <c r="M13" i="1" s="1"/>
  <c r="G28" i="5"/>
  <c r="G27" i="5"/>
  <c r="G29" i="5" l="1"/>
</calcChain>
</file>

<file path=xl/sharedStrings.xml><?xml version="1.0" encoding="utf-8"?>
<sst xmlns="http://schemas.openxmlformats.org/spreadsheetml/2006/main" count="320" uniqueCount="186">
  <si>
    <r>
      <t>V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+ RI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 xml:space="preserve"> = V</t>
    </r>
    <r>
      <rPr>
        <i/>
        <vertAlign val="subscript"/>
        <sz val="14"/>
        <color theme="1"/>
        <rFont val="Times New Roman"/>
        <family val="1"/>
        <charset val="204"/>
      </rPr>
      <t>SRC</t>
    </r>
  </si>
  <si>
    <t>V</t>
  </si>
  <si>
    <t>R</t>
  </si>
  <si>
    <t>base</t>
  </si>
  <si>
    <r>
      <t>10</t>
    </r>
    <r>
      <rPr>
        <vertAlign val="superscript"/>
        <sz val="11"/>
        <color theme="1"/>
        <rFont val="Calibri"/>
        <family val="2"/>
        <charset val="204"/>
        <scheme val="minor"/>
      </rPr>
      <t>x</t>
    </r>
  </si>
  <si>
    <t>value</t>
  </si>
  <si>
    <t>Ω</t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</si>
  <si>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SRC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</si>
  <si>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</t>
    </r>
  </si>
  <si>
    <t>A</t>
  </si>
  <si>
    <t>η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</si>
  <si>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T</t>
    </r>
  </si>
  <si>
    <t>(1)</t>
  </si>
  <si>
    <t>(2)</t>
  </si>
  <si>
    <t>Iteration</t>
  </si>
  <si>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(1)</t>
    </r>
  </si>
  <si>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1"/>
        <color theme="1"/>
        <rFont val="Calibri"/>
        <family val="2"/>
        <charset val="204"/>
        <scheme val="minor"/>
      </rPr>
      <t>DQ</t>
    </r>
    <r>
      <rPr>
        <sz val="11"/>
        <color theme="1"/>
        <rFont val="Calibri"/>
        <family val="2"/>
        <scheme val="minor"/>
      </rPr>
      <t>, from (2)</t>
    </r>
  </si>
  <si>
    <t>I from (1)</t>
  </si>
  <si>
    <t>I from VAH(D)</t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</si>
  <si>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</si>
  <si>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vertAlign val="subscript"/>
        <sz val="12"/>
        <color theme="1"/>
        <rFont val="Calibri"/>
        <family val="2"/>
        <charset val="204"/>
        <scheme val="minor"/>
      </rPr>
      <t>D0</t>
    </r>
  </si>
  <si>
    <t>From linear approximation:</t>
  </si>
  <si>
    <r>
      <t xml:space="preserve">Insert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sz val="11"/>
        <color theme="1"/>
        <rFont val="Calibri"/>
        <family val="2"/>
        <scheme val="minor"/>
      </rPr>
      <t xml:space="preserve"> into circuit equation:</t>
    </r>
  </si>
  <si>
    <t>And finally:</t>
  </si>
  <si>
    <r>
      <t>I</t>
    </r>
    <r>
      <rPr>
        <i/>
        <vertAlign val="subscript"/>
        <sz val="14"/>
        <color theme="1"/>
        <rFont val="Times New Roman"/>
        <family val="1"/>
        <charset val="204"/>
      </rPr>
      <t>DQ</t>
    </r>
    <r>
      <rPr>
        <i/>
        <sz val="14"/>
        <color theme="1"/>
        <rFont val="Times New Roman"/>
        <family val="1"/>
        <charset val="204"/>
      </rPr>
      <t>:</t>
    </r>
  </si>
  <si>
    <t>And from approx:</t>
  </si>
  <si>
    <t>P1.1.2</t>
  </si>
  <si>
    <t>at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</si>
  <si>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</si>
  <si>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</si>
  <si>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T</t>
    </r>
  </si>
  <si>
    <t>Main idea:</t>
  </si>
  <si>
    <t>Use simplified diode current formula!</t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</si>
  <si>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(1)</t>
    </r>
  </si>
  <si>
    <r>
      <t>v</t>
    </r>
    <r>
      <rPr>
        <i/>
        <vertAlign val="subscript"/>
        <sz val="12"/>
        <color theme="1"/>
        <rFont val="Calibri"/>
        <family val="2"/>
        <charset val="204"/>
        <scheme val="minor"/>
      </rPr>
      <t>D</t>
    </r>
    <r>
      <rPr>
        <i/>
        <sz val="12"/>
        <color theme="1"/>
        <rFont val="Calibri"/>
        <family val="2"/>
        <charset val="204"/>
        <scheme val="minor"/>
      </rPr>
      <t>/V</t>
    </r>
    <r>
      <rPr>
        <i/>
        <vertAlign val="subscript"/>
        <sz val="12"/>
        <color theme="1"/>
        <rFont val="Calibri"/>
        <family val="2"/>
        <charset val="204"/>
        <scheme val="minor"/>
      </rPr>
      <t>T</t>
    </r>
    <r>
      <rPr>
        <i/>
        <sz val="12"/>
        <color theme="1"/>
        <rFont val="Calibri"/>
        <family val="2"/>
        <charset val="204"/>
        <scheme val="minor"/>
      </rPr>
      <t xml:space="preserve"> (2)</t>
    </r>
  </si>
  <si>
    <t>From Condition (1)</t>
  </si>
  <si>
    <t>ln(2)</t>
  </si>
  <si>
    <t>Substituting IS from (1):</t>
  </si>
  <si>
    <t>Eta:</t>
  </si>
  <si>
    <t>IS:</t>
  </si>
  <si>
    <t>rd</t>
  </si>
  <si>
    <t>rd 1</t>
  </si>
  <si>
    <t>rd 2</t>
  </si>
  <si>
    <t>P1.1.3</t>
  </si>
  <si>
    <t>Eta =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</si>
  <si>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</si>
  <si>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80%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</si>
  <si>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D</t>
    </r>
    <r>
      <rPr>
        <i/>
        <sz val="11"/>
        <color theme="1"/>
        <rFont val="Times New Roman"/>
        <family val="1"/>
        <charset val="204"/>
      </rPr>
      <t xml:space="preserve"> = 95% I</t>
    </r>
    <r>
      <rPr>
        <i/>
        <vertAlign val="subscript"/>
        <sz val="11"/>
        <color theme="1"/>
        <rFont val="Times New Roman"/>
        <family val="1"/>
        <charset val="204"/>
      </rPr>
      <t>S</t>
    </r>
  </si>
  <si>
    <t>P1.1.4</t>
  </si>
  <si>
    <r>
      <t xml:space="preserve">Conclusion: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controls the horizontal shift of VAH vertical raise branch</t>
    </r>
  </si>
  <si>
    <r>
      <t xml:space="preserve">Lesser </t>
    </r>
    <r>
      <rPr>
        <i/>
        <sz val="11"/>
        <color theme="1"/>
        <rFont val="Times New Roman"/>
        <family val="1"/>
        <charset val="204"/>
      </rPr>
      <t>I</t>
    </r>
    <r>
      <rPr>
        <i/>
        <vertAlign val="subscript"/>
        <sz val="11"/>
        <color theme="1"/>
        <rFont val="Times New Roman"/>
        <family val="1"/>
        <charset val="204"/>
      </rPr>
      <t>S</t>
    </r>
    <r>
      <rPr>
        <sz val="11"/>
        <color theme="1"/>
        <rFont val="Times New Roman"/>
        <family val="1"/>
        <charset val="204"/>
      </rPr>
      <t xml:space="preserve"> values mean the raise will be at more voltages</t>
    </r>
  </si>
  <si>
    <t>P1.1.5</t>
  </si>
  <si>
    <t>(a):</t>
  </si>
  <si>
    <t>(b):</t>
  </si>
  <si>
    <t>Eta</t>
  </si>
  <si>
    <t>k</t>
  </si>
  <si>
    <t>(c):</t>
  </si>
  <si>
    <r>
      <rPr>
        <i/>
        <sz val="11"/>
        <color theme="1"/>
        <rFont val="Times New Roman"/>
        <family val="1"/>
        <charset val="204"/>
      </rPr>
      <t>η</t>
    </r>
    <r>
      <rPr>
        <sz val="11"/>
        <color theme="1"/>
        <rFont val="Times New Roman"/>
        <family val="1"/>
        <charset val="204"/>
      </rPr>
      <t xml:space="preserve"> for 0,1V/decade diode:</t>
    </r>
  </si>
  <si>
    <t>P1.1.6</t>
  </si>
  <si>
    <t>Conclusion: Eta is a slope of the "vertical" branch.</t>
  </si>
  <si>
    <t>The more Eta value, the lower the slope</t>
  </si>
  <si>
    <t>v</t>
  </si>
  <si>
    <t>P1.1.8</t>
  </si>
  <si>
    <t>I</t>
  </si>
  <si>
    <r>
      <t>i</t>
    </r>
    <r>
      <rPr>
        <i/>
        <vertAlign val="subscript"/>
        <sz val="11"/>
        <color theme="1"/>
        <rFont val="Times New Roman"/>
        <family val="1"/>
        <charset val="204"/>
      </rPr>
      <t>R</t>
    </r>
  </si>
  <si>
    <r>
      <t xml:space="preserve">Iterative change in V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</si>
  <si>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P1.1.9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</si>
  <si>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</si>
  <si>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D2</t>
    </r>
  </si>
  <si>
    <t>looks strange</t>
  </si>
  <si>
    <t>this is correct</t>
  </si>
  <si>
    <r>
      <t>V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will find by iterative change to get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i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:</t>
    </r>
  </si>
  <si>
    <t>DP1.1.10</t>
  </si>
  <si>
    <t>Vref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</si>
  <si>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SRC</t>
    </r>
  </si>
  <si>
    <t>RD</t>
  </si>
  <si>
    <t>Both</t>
  </si>
  <si>
    <t>I +10%</t>
  </si>
  <si>
    <t>I -10%</t>
  </si>
  <si>
    <r>
      <t>v</t>
    </r>
    <r>
      <rPr>
        <i/>
        <vertAlign val="subscript"/>
        <sz val="11"/>
        <color theme="1"/>
        <rFont val="Times New Roman"/>
        <family val="1"/>
        <charset val="204"/>
      </rPr>
      <t>ref</t>
    </r>
  </si>
  <si>
    <t>Diff</t>
  </si>
  <si>
    <t>I x2</t>
  </si>
  <si>
    <t>DP1.1.11</t>
  </si>
  <si>
    <t>Current required for shunted diode:</t>
  </si>
  <si>
    <t>Vd shunted</t>
  </si>
  <si>
    <t>Current to branch out:</t>
  </si>
  <si>
    <t>Rout</t>
  </si>
  <si>
    <t>Rd</t>
  </si>
  <si>
    <t>P1.1.12</t>
  </si>
  <si>
    <t>i1</t>
  </si>
  <si>
    <t>V1</t>
  </si>
  <si>
    <t>iUnknown</t>
  </si>
  <si>
    <t>This equation states that for the decade (multiplier of 10) change in current, the diode voltage drop changes by 2,3*Eta*Vt</t>
  </si>
  <si>
    <t>Will derive Eta from the condition ∆V = 0,1 V per ten factor:</t>
  </si>
  <si>
    <r>
      <t>Find current based on the condition that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+ 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 xml:space="preserve"> = 9V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</si>
  <si>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</si>
  <si>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</si>
  <si>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Total</t>
    </r>
  </si>
  <si>
    <r>
      <t>From there, 5</t>
    </r>
    <r>
      <rPr>
        <i/>
        <sz val="12"/>
        <color theme="1"/>
        <rFont val="Times New Roman"/>
        <family val="1"/>
        <charset val="204"/>
      </rPr>
      <t>V</t>
    </r>
    <r>
      <rPr>
        <i/>
        <vertAlign val="sub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 xml:space="preserve"> is</t>
    </r>
  </si>
  <si>
    <t>P1.1.13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</si>
  <si>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</si>
  <si>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D2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</si>
  <si>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S1</t>
    </r>
  </si>
  <si>
    <r>
      <t>I</t>
    </r>
    <r>
      <rPr>
        <i/>
        <vertAlign val="subscript"/>
        <sz val="12"/>
        <color theme="1"/>
        <rFont val="Times New Roman"/>
        <family val="1"/>
        <charset val="204"/>
      </rPr>
      <t>S2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</si>
  <si>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1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</si>
  <si>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2</t>
    </r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</si>
  <si>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3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</si>
  <si>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n</t>
    </r>
  </si>
  <si>
    <r>
      <t>R</t>
    </r>
    <r>
      <rPr>
        <i/>
        <vertAlign val="subscript"/>
        <sz val="12"/>
        <color theme="1"/>
        <rFont val="Times New Roman"/>
        <family val="1"/>
        <charset val="204"/>
      </rPr>
      <t>a</t>
    </r>
  </si>
  <si>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</si>
  <si>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A</t>
    </r>
    <r>
      <rPr>
        <i/>
        <vertAlign val="superscript"/>
        <sz val="11"/>
        <color theme="1"/>
        <rFont val="Times New Roman"/>
        <family val="1"/>
        <charset val="204"/>
      </rPr>
      <t>-1</t>
    </r>
    <r>
      <rPr>
        <sz val="11"/>
        <color theme="1"/>
        <rFont val="Times New Roman"/>
        <family val="1"/>
        <charset val="204"/>
      </rPr>
      <t xml:space="preserve"> =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</si>
  <si>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</si>
  <si>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</si>
  <si>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rPr>
        <i/>
        <sz val="11"/>
        <color theme="1"/>
        <rFont val="Times New Roman"/>
        <family val="1"/>
        <charset val="204"/>
      </rPr>
      <t>I</t>
    </r>
    <r>
      <rPr>
        <vertAlign val="subscript"/>
        <sz val="11"/>
        <color theme="1"/>
        <rFont val="Times New Roman"/>
        <family val="1"/>
        <charset val="204"/>
      </rPr>
      <t>3</t>
    </r>
  </si>
  <si>
    <t>We need to figure out what are current directions</t>
  </si>
  <si>
    <t>For this:</t>
  </si>
  <si>
    <t>- we remove ideal diode switches</t>
  </si>
  <si>
    <r>
      <t xml:space="preserve">(otherwise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1 and </t>
    </r>
    <r>
      <rPr>
        <b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3 would be infinite;</t>
    </r>
  </si>
  <si>
    <t>treat them like voltage source internal resistances)</t>
  </si>
  <si>
    <t>Arbitrary choose branch currents and loop directions:</t>
  </si>
  <si>
    <t>- we will insert fake resistances</t>
  </si>
  <si>
    <t>From KCL:</t>
  </si>
  <si>
    <t>KVL 1st loop:</t>
  </si>
  <si>
    <t>KVL 2nd loop:</t>
  </si>
  <si>
    <t>Matrix</t>
  </si>
  <si>
    <t>solution</t>
  </si>
  <si>
    <t>Regardless of resistances, the real current directions are always the same:</t>
  </si>
  <si>
    <t>Since that, we discard the left branch due to the diode</t>
  </si>
  <si>
    <t>Conclusion:</t>
  </si>
  <si>
    <t>1/1k</t>
  </si>
  <si>
    <t>1/2k</t>
  </si>
  <si>
    <t>1/4k</t>
  </si>
  <si>
    <t>G1</t>
  </si>
  <si>
    <t>G2</t>
  </si>
  <si>
    <t>G3</t>
  </si>
  <si>
    <t>G4</t>
  </si>
  <si>
    <t>G5</t>
  </si>
  <si>
    <t>I1</t>
  </si>
  <si>
    <t>I2</t>
  </si>
  <si>
    <t>R1</t>
  </si>
  <si>
    <t>R2</t>
  </si>
  <si>
    <t>R3</t>
  </si>
  <si>
    <t>R4</t>
  </si>
  <si>
    <t>R5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</si>
  <si>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</si>
  <si>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S</t>
    </r>
  </si>
  <si>
    <t>output voltage</t>
  </si>
  <si>
    <r>
      <t>A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</si>
  <si>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amplifier gain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</si>
  <si>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i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</si>
  <si>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th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</si>
  <si>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L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</si>
  <si>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</si>
  <si>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t>input resistance</t>
  </si>
  <si>
    <t>driving circuit resistance</t>
  </si>
  <si>
    <t>driving circuit voltage source</t>
  </si>
  <si>
    <t>load resistance</t>
  </si>
  <si>
    <t>output resistance</t>
  </si>
  <si>
    <t>Driving circuit</t>
  </si>
  <si>
    <t>Amplifier input</t>
  </si>
  <si>
    <t>Amplifier output</t>
  </si>
  <si>
    <t>Load</t>
  </si>
  <si>
    <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</si>
  <si>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A</t>
    </r>
    <r>
      <rPr>
        <vertAlign val="subscript"/>
        <sz val="11"/>
        <color rgb="FF00B050"/>
        <rFont val="Cambria"/>
        <family val="1"/>
        <charset val="204"/>
        <scheme val="major"/>
      </rPr>
      <t>0</t>
    </r>
    <r>
      <rPr>
        <i/>
        <sz val="11"/>
        <color rgb="FF00B050"/>
        <rFont val="Cambria"/>
        <family val="1"/>
        <charset val="204"/>
        <scheme val="major"/>
      </rPr>
      <t>V</t>
    </r>
    <r>
      <rPr>
        <i/>
        <vertAlign val="subscript"/>
        <sz val="11"/>
        <color rgb="FF00B050"/>
        <rFont val="Cambria"/>
        <family val="1"/>
        <charset val="204"/>
        <scheme val="major"/>
      </rPr>
      <t>in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</si>
  <si>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</si>
  <si>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</si>
  <si>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t>But for LM324 the output is NOT ideal (not a –5V)</t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</si>
  <si>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F</t>
    </r>
  </si>
  <si>
    <t>Real gain</t>
  </si>
  <si>
    <t>Ideal gain</t>
  </si>
  <si>
    <t>Gain error</t>
  </si>
  <si>
    <t>Beta</t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</si>
  <si>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</si>
  <si>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3</t>
    </r>
  </si>
  <si>
    <r>
      <t>R</t>
    </r>
    <r>
      <rPr>
        <vertAlign val="subscript"/>
        <sz val="11"/>
        <color theme="1"/>
        <rFont val="Cambria"/>
        <family val="1"/>
        <charset val="204"/>
        <scheme val="major"/>
      </rPr>
      <t>4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</si>
  <si>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</si>
  <si>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R</t>
    </r>
    <r>
      <rPr>
        <i/>
        <vertAlign val="subscript"/>
        <sz val="11"/>
        <color theme="1"/>
        <rFont val="Cambria"/>
        <family val="1"/>
        <charset val="204"/>
        <scheme val="major"/>
      </rPr>
      <t>g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</si>
  <si>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0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</si>
  <si>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1</t>
    </r>
  </si>
  <si>
    <r>
      <t>v</t>
    </r>
    <r>
      <rPr>
        <vertAlign val="subscript"/>
        <sz val="11"/>
        <color theme="1"/>
        <rFont val="Cambria"/>
        <family val="1"/>
        <charset val="204"/>
        <scheme val="major"/>
      </rPr>
      <t>2</t>
    </r>
  </si>
  <si>
    <r>
      <t>v</t>
    </r>
    <r>
      <rPr>
        <i/>
        <vertAlign val="subscript"/>
        <sz val="11"/>
        <color theme="1"/>
        <rFont val="Cambria"/>
        <family val="1"/>
        <charset val="204"/>
        <scheme val="major"/>
      </rPr>
      <t>a</t>
    </r>
  </si>
  <si>
    <t>vD</t>
  </si>
  <si>
    <t>iD</t>
  </si>
  <si>
    <t>delta</t>
  </si>
  <si>
    <t>lines</t>
  </si>
  <si>
    <t>P1.1.7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</si>
</sst>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E+00"/>
    <numFmt numFmtId="165" formatCode="0.000E+00"/>
    <numFmt numFmtId="166" formatCode="0.000000000"/>
    <numFmt numFmtId="167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sz val="12"/>
      <color theme="1"/>
      <name val="Arial Black"/>
      <family val="2"/>
      <charset val="204"/>
    </font>
    <font>
      <sz val="11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i/>
      <vertAlign val="subscript"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Cambria"/>
      <family val="1"/>
      <charset val="204"/>
      <scheme val="major"/>
    </font>
    <font>
      <i/>
      <vertAlign val="subscript"/>
      <sz val="11"/>
      <color theme="1"/>
      <name val="Cambria"/>
      <family val="1"/>
      <charset val="204"/>
      <scheme val="major"/>
    </font>
    <font>
      <vertAlign val="subscript"/>
      <sz val="11"/>
      <color theme="1"/>
      <name val="Cambria"/>
      <family val="1"/>
      <charset val="204"/>
      <scheme val="major"/>
    </font>
    <font>
      <i/>
      <sz val="11"/>
      <color rgb="FF00B050"/>
      <name val="Cambria"/>
      <family val="1"/>
      <charset val="204"/>
      <scheme val="major"/>
    </font>
    <font>
      <i/>
      <vertAlign val="subscript"/>
      <sz val="11"/>
      <color rgb="FF00B050"/>
      <name val="Cambria"/>
      <family val="1"/>
      <charset val="204"/>
      <scheme val="major"/>
    </font>
    <font>
      <sz val="11"/>
      <color rgb="FF00B050"/>
      <name val="Calibri"/>
      <family val="2"/>
      <scheme val="minor"/>
    </font>
    <font>
      <vertAlign val="subscript"/>
      <sz val="11"/>
      <color rgb="FF00B050"/>
      <name val="Cambria"/>
      <family val="1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0" fillId="2" borderId="0" xfId="0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2" borderId="0" xfId="0" applyFont="1" applyFill="1" applyAlignment="1">
      <alignment horizontal="center"/>
    </xf>
    <xf numFmtId="0" fontId="13" fillId="0" borderId="0" xfId="0" applyFont="1"/>
    <xf numFmtId="0" fontId="19" fillId="0" borderId="0" xfId="0" applyFont="1"/>
    <xf numFmtId="0" fontId="5" fillId="0" borderId="0" xfId="0" applyFont="1"/>
    <xf numFmtId="0" fontId="22" fillId="3" borderId="0" xfId="0" applyFont="1" applyFill="1"/>
    <xf numFmtId="0" fontId="23" fillId="3" borderId="0" xfId="0" applyFont="1" applyFill="1"/>
    <xf numFmtId="0" fontId="12" fillId="3" borderId="0" xfId="0" applyFont="1" applyFill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8" fillId="0" borderId="0" xfId="0" applyFont="1" applyAlignment="1">
      <alignment horizontal="right"/>
    </xf>
    <xf numFmtId="164" fontId="0" fillId="0" borderId="0" xfId="0" applyNumberFormat="1"/>
    <xf numFmtId="0" fontId="18" fillId="0" borderId="0" xfId="0" applyFont="1" applyAlignment="1">
      <alignment horizontal="center"/>
    </xf>
    <xf numFmtId="0" fontId="12" fillId="3" borderId="0" xfId="0" applyNumberFormat="1" applyFont="1" applyFill="1"/>
    <xf numFmtId="0" fontId="0" fillId="4" borderId="0" xfId="0" applyFill="1"/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quotePrefix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27" fillId="0" borderId="0" xfId="0" applyFont="1"/>
    <xf numFmtId="11" fontId="0" fillId="0" borderId="0" xfId="0" applyNumberFormat="1"/>
    <xf numFmtId="0" fontId="30" fillId="0" borderId="0" xfId="0" applyFont="1"/>
    <xf numFmtId="2" fontId="32" fillId="0" borderId="0" xfId="0" applyNumberFormat="1" applyFont="1"/>
    <xf numFmtId="0" fontId="32" fillId="0" borderId="0" xfId="0" applyFont="1"/>
    <xf numFmtId="166" fontId="0" fillId="0" borderId="0" xfId="0" applyNumberFormat="1"/>
    <xf numFmtId="0" fontId="12" fillId="6" borderId="0" xfId="0" applyFont="1" applyFill="1"/>
    <xf numFmtId="11" fontId="0" fillId="0" borderId="14" xfId="0" applyNumberFormat="1" applyBorder="1"/>
    <xf numFmtId="0" fontId="0" fillId="0" borderId="20" xfId="0" applyBorder="1"/>
    <xf numFmtId="0" fontId="0" fillId="0" borderId="21" xfId="0" applyBorder="1"/>
    <xf numFmtId="11" fontId="0" fillId="0" borderId="13" xfId="0" applyNumberFormat="1" applyBorder="1"/>
    <xf numFmtId="11" fontId="0" fillId="0" borderId="0" xfId="0" applyNumberFormat="1" applyBorder="1"/>
    <xf numFmtId="11" fontId="0" fillId="0" borderId="16" xfId="0" applyNumberFormat="1" applyBorder="1"/>
    <xf numFmtId="0" fontId="3" fillId="6" borderId="0" xfId="0" applyFont="1" applyFill="1"/>
    <xf numFmtId="0" fontId="27" fillId="0" borderId="0" xfId="0" applyFont="1" applyAlignment="1">
      <alignment horizontal="center"/>
    </xf>
    <xf numFmtId="11" fontId="0" fillId="0" borderId="18" xfId="0" applyNumberFormat="1" applyBorder="1"/>
    <xf numFmtId="0" fontId="2" fillId="6" borderId="0" xfId="0" applyFont="1" applyFill="1"/>
    <xf numFmtId="1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1"/>
    <xf numFmtId="164" fontId="1" fillId="0" borderId="0" xfId="1" applyNumberFormat="1"/>
    <xf numFmtId="0" fontId="15" fillId="0" borderId="0" xfId="1" applyFont="1"/>
    <xf numFmtId="165" fontId="12" fillId="3" borderId="0" xfId="1" applyNumberFormat="1" applyFont="1" applyFill="1"/>
    <xf numFmtId="0" fontId="1" fillId="0" borderId="0" xfId="1" applyAlignment="1">
      <alignment horizontal="center"/>
    </xf>
    <xf numFmtId="0" fontId="1" fillId="2" borderId="0" xfId="1" applyFill="1"/>
    <xf numFmtId="0" fontId="5" fillId="0" borderId="0" xfId="1" applyFont="1" applyAlignment="1">
      <alignment horizontal="center"/>
    </xf>
    <xf numFmtId="165" fontId="1" fillId="4" borderId="0" xfId="1" applyNumberFormat="1" applyFill="1"/>
    <xf numFmtId="0" fontId="17" fillId="0" borderId="0" xfId="1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'Exmpl1.2.1-exact'!$Q$2</c:f>
              <c:strCache>
                <c:ptCount val="1"/>
                <c:pt idx="0">
                  <c:v>I from (1)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'Exmpl1.2.1-exact'!$Q$3:$Q$103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4.9950000000000003E-3</c:v>
                </c:pt>
                <c:pt idx="2">
                  <c:v>4.9900000000000005E-3</c:v>
                </c:pt>
                <c:pt idx="3">
                  <c:v>4.9850000000000007E-3</c:v>
                </c:pt>
                <c:pt idx="4">
                  <c:v>4.9800000000000009E-3</c:v>
                </c:pt>
                <c:pt idx="5">
                  <c:v>4.9749999999999994E-3</c:v>
                </c:pt>
                <c:pt idx="6">
                  <c:v>4.9699999999999996E-3</c:v>
                </c:pt>
                <c:pt idx="7">
                  <c:v>4.9649999999999998E-3</c:v>
                </c:pt>
                <c:pt idx="8">
                  <c:v>4.96E-3</c:v>
                </c:pt>
                <c:pt idx="9">
                  <c:v>4.9550000000000002E-3</c:v>
                </c:pt>
                <c:pt idx="10">
                  <c:v>4.9500000000000004E-3</c:v>
                </c:pt>
                <c:pt idx="11">
                  <c:v>4.9450000000000006E-3</c:v>
                </c:pt>
                <c:pt idx="12">
                  <c:v>4.9400000000000008E-3</c:v>
                </c:pt>
                <c:pt idx="13">
                  <c:v>4.9349999999999993E-3</c:v>
                </c:pt>
                <c:pt idx="14">
                  <c:v>4.9299999999999995E-3</c:v>
                </c:pt>
                <c:pt idx="15">
                  <c:v>4.9249999999999997E-3</c:v>
                </c:pt>
                <c:pt idx="16">
                  <c:v>4.9199999999999999E-3</c:v>
                </c:pt>
                <c:pt idx="17">
                  <c:v>4.9150000000000001E-3</c:v>
                </c:pt>
                <c:pt idx="18">
                  <c:v>4.9100000000000003E-3</c:v>
                </c:pt>
                <c:pt idx="19">
                  <c:v>4.9050000000000005E-3</c:v>
                </c:pt>
                <c:pt idx="20">
                  <c:v>4.9000000000000007E-3</c:v>
                </c:pt>
                <c:pt idx="21">
                  <c:v>4.895E-3</c:v>
                </c:pt>
                <c:pt idx="22">
                  <c:v>4.8899999999999994E-3</c:v>
                </c:pt>
                <c:pt idx="23">
                  <c:v>4.8849999999999996E-3</c:v>
                </c:pt>
                <c:pt idx="24">
                  <c:v>4.8799999999999998E-3</c:v>
                </c:pt>
                <c:pt idx="25">
                  <c:v>4.875E-3</c:v>
                </c:pt>
                <c:pt idx="26">
                  <c:v>4.8700000000000002E-3</c:v>
                </c:pt>
                <c:pt idx="27">
                  <c:v>4.8650000000000004E-3</c:v>
                </c:pt>
                <c:pt idx="28">
                  <c:v>4.8600000000000006E-3</c:v>
                </c:pt>
                <c:pt idx="29">
                  <c:v>4.8550000000000008E-3</c:v>
                </c:pt>
                <c:pt idx="30">
                  <c:v>4.8500000000000001E-3</c:v>
                </c:pt>
                <c:pt idx="31">
                  <c:v>4.8449999999999995E-3</c:v>
                </c:pt>
                <c:pt idx="32">
                  <c:v>4.8399999999999997E-3</c:v>
                </c:pt>
                <c:pt idx="33">
                  <c:v>4.8349999999999999E-3</c:v>
                </c:pt>
                <c:pt idx="34">
                  <c:v>4.8300000000000001E-3</c:v>
                </c:pt>
                <c:pt idx="35">
                  <c:v>4.8250000000000003E-3</c:v>
                </c:pt>
                <c:pt idx="36">
                  <c:v>4.8200000000000005E-3</c:v>
                </c:pt>
                <c:pt idx="37">
                  <c:v>4.8150000000000007E-3</c:v>
                </c:pt>
                <c:pt idx="38">
                  <c:v>4.81E-3</c:v>
                </c:pt>
                <c:pt idx="39">
                  <c:v>4.8050000000000002E-3</c:v>
                </c:pt>
                <c:pt idx="40">
                  <c:v>4.7999999999999996E-3</c:v>
                </c:pt>
                <c:pt idx="41">
                  <c:v>4.7949999999999998E-3</c:v>
                </c:pt>
                <c:pt idx="42">
                  <c:v>4.79E-3</c:v>
                </c:pt>
                <c:pt idx="43">
                  <c:v>4.7850000000000002E-3</c:v>
                </c:pt>
                <c:pt idx="44">
                  <c:v>4.7800000000000004E-3</c:v>
                </c:pt>
                <c:pt idx="45">
                  <c:v>4.7750000000000006E-3</c:v>
                </c:pt>
                <c:pt idx="46">
                  <c:v>4.7699999999999999E-3</c:v>
                </c:pt>
                <c:pt idx="47">
                  <c:v>4.7650000000000001E-3</c:v>
                </c:pt>
                <c:pt idx="48">
                  <c:v>4.7599999999999995E-3</c:v>
                </c:pt>
                <c:pt idx="49">
                  <c:v>4.7549999999999997E-3</c:v>
                </c:pt>
                <c:pt idx="50">
                  <c:v>4.7499999999999999E-3</c:v>
                </c:pt>
                <c:pt idx="51">
                  <c:v>4.7450000000000001E-3</c:v>
                </c:pt>
                <c:pt idx="52">
                  <c:v>4.7400000000000003E-3</c:v>
                </c:pt>
                <c:pt idx="53">
                  <c:v>4.7350000000000005E-3</c:v>
                </c:pt>
                <c:pt idx="54">
                  <c:v>4.7300000000000007E-3</c:v>
                </c:pt>
                <c:pt idx="55">
                  <c:v>4.725E-3</c:v>
                </c:pt>
                <c:pt idx="56">
                  <c:v>4.7200000000000002E-3</c:v>
                </c:pt>
                <c:pt idx="57">
                  <c:v>4.7149999999999996E-3</c:v>
                </c:pt>
                <c:pt idx="58">
                  <c:v>4.7099999999999998E-3</c:v>
                </c:pt>
                <c:pt idx="59">
                  <c:v>4.705E-3</c:v>
                </c:pt>
                <c:pt idx="60">
                  <c:v>4.7000000000000002E-3</c:v>
                </c:pt>
                <c:pt idx="61">
                  <c:v>4.6950000000000004E-3</c:v>
                </c:pt>
                <c:pt idx="62">
                  <c:v>4.6900000000000006E-3</c:v>
                </c:pt>
                <c:pt idx="63">
                  <c:v>4.6849999999999999E-3</c:v>
                </c:pt>
                <c:pt idx="64">
                  <c:v>4.6800000000000001E-3</c:v>
                </c:pt>
                <c:pt idx="65">
                  <c:v>4.6750000000000003E-3</c:v>
                </c:pt>
                <c:pt idx="66">
                  <c:v>4.6699999999999997E-3</c:v>
                </c:pt>
                <c:pt idx="67">
                  <c:v>4.6649999999999999E-3</c:v>
                </c:pt>
                <c:pt idx="68">
                  <c:v>4.6600000000000001E-3</c:v>
                </c:pt>
                <c:pt idx="69">
                  <c:v>4.6550000000000003E-3</c:v>
                </c:pt>
                <c:pt idx="70">
                  <c:v>4.6500000000000005E-3</c:v>
                </c:pt>
                <c:pt idx="71">
                  <c:v>4.6449999999999998E-3</c:v>
                </c:pt>
                <c:pt idx="72">
                  <c:v>4.64E-3</c:v>
                </c:pt>
                <c:pt idx="73">
                  <c:v>4.6350000000000002E-3</c:v>
                </c:pt>
                <c:pt idx="74">
                  <c:v>4.6299999999999996E-3</c:v>
                </c:pt>
                <c:pt idx="75">
                  <c:v>4.6249999999999998E-3</c:v>
                </c:pt>
                <c:pt idx="76">
                  <c:v>4.62E-3</c:v>
                </c:pt>
                <c:pt idx="77">
                  <c:v>4.6150000000000002E-3</c:v>
                </c:pt>
                <c:pt idx="78">
                  <c:v>4.6100000000000004E-3</c:v>
                </c:pt>
                <c:pt idx="79">
                  <c:v>4.6050000000000006E-3</c:v>
                </c:pt>
                <c:pt idx="80">
                  <c:v>4.5999999999999999E-3</c:v>
                </c:pt>
                <c:pt idx="81">
                  <c:v>4.5950000000000001E-3</c:v>
                </c:pt>
                <c:pt idx="82">
                  <c:v>4.5900000000000003E-3</c:v>
                </c:pt>
                <c:pt idx="83">
                  <c:v>4.5849999999999997E-3</c:v>
                </c:pt>
                <c:pt idx="84">
                  <c:v>4.5799999999999999E-3</c:v>
                </c:pt>
                <c:pt idx="85">
                  <c:v>4.5750000000000001E-3</c:v>
                </c:pt>
                <c:pt idx="86">
                  <c:v>4.5700000000000003E-3</c:v>
                </c:pt>
                <c:pt idx="87">
                  <c:v>4.5650000000000005E-3</c:v>
                </c:pt>
                <c:pt idx="88">
                  <c:v>4.5599999999999998E-3</c:v>
                </c:pt>
                <c:pt idx="89">
                  <c:v>4.555E-3</c:v>
                </c:pt>
                <c:pt idx="90">
                  <c:v>4.5500000000000002E-3</c:v>
                </c:pt>
                <c:pt idx="91">
                  <c:v>4.5450000000000004E-3</c:v>
                </c:pt>
                <c:pt idx="92">
                  <c:v>4.5399999999999998E-3</c:v>
                </c:pt>
                <c:pt idx="93">
                  <c:v>4.535E-3</c:v>
                </c:pt>
                <c:pt idx="94">
                  <c:v>4.5300000000000002E-3</c:v>
                </c:pt>
                <c:pt idx="95">
                  <c:v>4.5250000000000004E-3</c:v>
                </c:pt>
                <c:pt idx="96">
                  <c:v>4.5199999999999997E-3</c:v>
                </c:pt>
                <c:pt idx="97">
                  <c:v>4.5149999999999999E-3</c:v>
                </c:pt>
                <c:pt idx="98">
                  <c:v>4.5100000000000001E-3</c:v>
                </c:pt>
                <c:pt idx="99">
                  <c:v>4.5050000000000003E-3</c:v>
                </c:pt>
                <c:pt idx="100">
                  <c:v>4.5000000000000005E-3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'Exmpl1.2.1-exact'!$R$2</c:f>
              <c:strCache>
                <c:ptCount val="1"/>
                <c:pt idx="0">
                  <c:v>I from VAH(D)</c:v>
                </c:pt>
              </c:strCache>
            </c:strRef>
          </c:tx>
          <c:marker>
            <c:symbol val="none"/>
          </c:marker>
          <c:cat>
            <c:numRef>
              <c:f>'Exmpl1.2.1-exact'!$P$3:$P$103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'Exmpl1.2.1-exact'!$R$3:$R$103</c:f>
              <c:numCache>
                <c:formatCode>General</c:formatCode>
                <c:ptCount val="101"/>
                <c:pt idx="0">
                  <c:v>0</c:v>
                </c:pt>
                <c:pt idx="1">
                  <c:v>3.2006777948325877E-10</c:v>
                </c:pt>
                <c:pt idx="2">
                  <c:v>7.0843114794208026E-10</c:v>
                </c:pt>
                <c:pt idx="3">
                  <c:v>1.1796629170510709E-9</c:v>
                </c:pt>
                <c:pt idx="4">
                  <c:v>1.7514454234671828E-9</c:v>
                </c:pt>
                <c:pt idx="5">
                  <c:v>2.44523403466728E-9</c:v>
                </c:pt>
                <c:pt idx="6">
                  <c:v>3.287062232679103E-9</c:v>
                </c:pt>
                <c:pt idx="7">
                  <c:v>4.3085184853869498E-9</c:v>
                </c:pt>
                <c:pt idx="8">
                  <c:v>5.5479315611904591E-9</c:v>
                </c:pt>
                <c:pt idx="9">
                  <c:v>7.0518087643505954E-9</c:v>
                </c:pt>
                <c:pt idx="10">
                  <c:v>8.8765810588647096E-9</c:v>
                </c:pt>
                <c:pt idx="11">
                  <c:v>1.109072056429062E-8</c:v>
                </c:pt>
                <c:pt idx="12">
                  <c:v>1.3777309879695089E-8</c:v>
                </c:pt>
                <c:pt idx="13">
                  <c:v>1.7037159646142861E-8</c:v>
                </c:pt>
                <c:pt idx="14">
                  <c:v>2.0992591330054607E-8</c:v>
                </c:pt>
                <c:pt idx="15">
                  <c:v>2.5792027171277912E-8</c:v>
                </c:pt>
                <c:pt idx="16">
                  <c:v>3.161555952748305E-8</c:v>
                </c:pt>
                <c:pt idx="17">
                  <c:v>3.8681708597021169E-8</c:v>
                </c:pt>
                <c:pt idx="18">
                  <c:v>4.7255622094682436E-8</c:v>
                </c:pt>
                <c:pt idx="19">
                  <c:v>5.7659024562129056E-8</c:v>
                </c:pt>
                <c:pt idx="20">
                  <c:v>7.0282289647459898E-8</c:v>
                </c:pt>
                <c:pt idx="21">
                  <c:v>8.5599088349917595E-8</c:v>
                </c:pt>
                <c:pt idx="22">
                  <c:v>1.0418416288536714E-7</c:v>
                </c:pt>
                <c:pt idx="23">
                  <c:v>1.2673489311287814E-7</c:v>
                </c:pt>
                <c:pt idx="24">
                  <c:v>1.540974647734861E-7</c:v>
                </c:pt>
                <c:pt idx="25">
                  <c:v>1.8729862146900229E-7</c:v>
                </c:pt>
                <c:pt idx="26">
                  <c:v>2.2758419183105821E-7</c:v>
                </c:pt>
                <c:pt idx="27">
                  <c:v>2.7646583756044732E-7</c:v>
                </c:pt>
                <c:pt idx="28">
                  <c:v>3.3577777649389839E-7</c:v>
                </c:pt>
                <c:pt idx="29">
                  <c:v>4.0774560915486667E-7</c:v>
                </c:pt>
                <c:pt idx="30">
                  <c:v>4.9506983141184793E-7</c:v>
                </c:pt>
                <c:pt idx="31">
                  <c:v>6.0102716694409204E-7</c:v>
                </c:pt>
                <c:pt idx="32">
                  <c:v>7.2959352187884896E-7</c:v>
                </c:pt>
                <c:pt idx="33">
                  <c:v>8.8559317530708794E-7</c:v>
                </c:pt>
                <c:pt idx="34">
                  <c:v>1.0748798038506165E-6</c:v>
                </c:pt>
                <c:pt idx="35">
                  <c:v>1.3045561329833437E-6</c:v>
                </c:pt>
                <c:pt idx="36">
                  <c:v>1.5832404572263241E-6</c:v>
                </c:pt>
                <c:pt idx="37">
                  <c:v>1.9213900300274667E-6</c:v>
                </c:pt>
                <c:pt idx="38">
                  <c:v>2.3316934580950589E-6</c:v>
                </c:pt>
                <c:pt idx="39">
                  <c:v>2.8295468242532931E-6</c:v>
                </c:pt>
                <c:pt idx="40">
                  <c:v>3.4336314046878852E-6</c:v>
                </c:pt>
                <c:pt idx="41">
                  <c:v>4.1666146586423174E-6</c:v>
                </c:pt>
                <c:pt idx="42">
                  <c:v>5.0560007942578331E-6</c:v>
                </c:pt>
                <c:pt idx="43">
                  <c:v>6.1351628268931147E-6</c:v>
                </c:pt>
                <c:pt idx="44">
                  <c:v>7.4445948565205405E-6</c:v>
                </c:pt>
                <c:pt idx="45">
                  <c:v>9.0334315542193702E-6</c:v>
                </c:pt>
                <c:pt idx="46">
                  <c:v>1.0961291874447518E-5</c:v>
                </c:pt>
                <c:pt idx="47">
                  <c:v>1.3300516175908538E-5</c:v>
                </c:pt>
                <c:pt idx="48">
                  <c:v>1.6138880695957493E-5</c:v>
                </c:pt>
                <c:pt idx="49">
                  <c:v>1.958289123553721E-5</c:v>
                </c:pt>
                <c:pt idx="50">
                  <c:v>2.3761779645730403E-5</c:v>
                </c:pt>
                <c:pt idx="51">
                  <c:v>2.8832353078696171E-5</c:v>
                </c:pt>
                <c:pt idx="52">
                  <c:v>3.4984877964592713E-5</c:v>
                </c:pt>
                <c:pt idx="53">
                  <c:v>4.2450219502785518E-5</c:v>
                </c:pt>
                <c:pt idx="54">
                  <c:v>5.1508504567120658E-5</c:v>
                </c:pt>
                <c:pt idx="55">
                  <c:v>6.2499633089101202E-5</c:v>
                </c:pt>
                <c:pt idx="56">
                  <c:v>7.5836032344445383E-5</c:v>
                </c:pt>
                <c:pt idx="57">
                  <c:v>9.2018132730429511E-5</c:v>
                </c:pt>
                <c:pt idx="58">
                  <c:v>1.1165314574169192E-4</c:v>
                </c:pt>
                <c:pt idx="59">
                  <c:v>1.3547784876271406E-4</c:v>
                </c:pt>
                <c:pt idx="60">
                  <c:v>1.6438623164559399E-4</c:v>
                </c:pt>
                <c:pt idx="61">
                  <c:v>1.9946304247365736E-4</c:v>
                </c:pt>
                <c:pt idx="62">
                  <c:v>2.4202449127044915E-4</c:v>
                </c:pt>
                <c:pt idx="63">
                  <c:v>2.9366763900589454E-4</c:v>
                </c:pt>
                <c:pt idx="64">
                  <c:v>3.5633032515547928E-4</c:v>
                </c:pt>
                <c:pt idx="65">
                  <c:v>4.3236388251330002E-4</c:v>
                </c:pt>
                <c:pt idx="66">
                  <c:v>5.2462136778427457E-4</c:v>
                </c:pt>
                <c:pt idx="67">
                  <c:v>6.3656461868950918E-4</c:v>
                </c:pt>
                <c:pt idx="68">
                  <c:v>7.7239415475832771E-4</c:v>
                </c:pt>
                <c:pt idx="69">
                  <c:v>9.3720679615900331E-4</c:v>
                </c:pt>
                <c:pt idx="70">
                  <c:v>1.1371869150022702E-3</c:v>
                </c:pt>
                <c:pt idx="71">
                  <c:v>1.3798384955648457E-3</c:v>
                </c:pt>
                <c:pt idx="72">
                  <c:v>1.6742667111799326E-3</c:v>
                </c:pt>
                <c:pt idx="73">
                  <c:v>2.0315195835877782E-3</c:v>
                </c:pt>
                <c:pt idx="74">
                  <c:v>2.4650025450526874E-3</c:v>
                </c:pt>
                <c:pt idx="75">
                  <c:v>2.9909814591308642E-3</c:v>
                </c:pt>
                <c:pt idx="76">
                  <c:v>3.6291929752650526E-3</c:v>
                </c:pt>
                <c:pt idx="77">
                  <c:v>4.4035851199390498E-3</c:v>
                </c:pt>
                <c:pt idx="78">
                  <c:v>5.3432159140764371E-3</c:v>
                </c:pt>
                <c:pt idx="79">
                  <c:v>6.4833437360895876E-3</c:v>
                </c:pt>
                <c:pt idx="80">
                  <c:v>7.866750344981974E-3</c:v>
                </c:pt>
                <c:pt idx="81">
                  <c:v>9.5453462081614478E-3</c:v>
                </c:pt>
                <c:pt idx="82">
                  <c:v>1.1582118371725972E-2</c:v>
                </c:pt>
                <c:pt idx="83">
                  <c:v>1.4053493964427502E-2</c:v>
                </c:pt>
                <c:pt idx="84">
                  <c:v>1.7052208022612408E-2</c:v>
                </c:pt>
                <c:pt idx="85">
                  <c:v>2.0690783247402963E-2</c:v>
                </c:pt>
                <c:pt idx="86">
                  <c:v>2.510575226731453E-2</c:v>
                </c:pt>
                <c:pt idx="87">
                  <c:v>3.0462780841019745E-2</c:v>
                </c:pt>
                <c:pt idx="88">
                  <c:v>3.6962884241534426E-2</c:v>
                </c:pt>
                <c:pt idx="89">
                  <c:v>4.4849970083258646E-2</c:v>
                </c:pt>
                <c:pt idx="90">
                  <c:v>5.4419990626285879E-2</c:v>
                </c:pt>
                <c:pt idx="91">
                  <c:v>6.6032047985857045E-2</c:v>
                </c:pt>
                <c:pt idx="92">
                  <c:v>8.0121868954968339E-2</c:v>
                </c:pt>
                <c:pt idx="93">
                  <c:v>9.7218155064679693E-2</c:v>
                </c:pt>
                <c:pt idx="94">
                  <c:v>0.11796242139608826</c:v>
                </c:pt>
                <c:pt idx="95">
                  <c:v>0.14313306856863231</c:v>
                </c:pt>
                <c:pt idx="96">
                  <c:v>0.17367459117362488</c:v>
                </c:pt>
                <c:pt idx="97">
                  <c:v>0.21073301866009589</c:v>
                </c:pt>
                <c:pt idx="98">
                  <c:v>0.25569891854439109</c:v>
                </c:pt>
                <c:pt idx="99">
                  <c:v>0.31025957558097478</c:v>
                </c:pt>
                <c:pt idx="100">
                  <c:v>0.37646230484745652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74468448"/>
        <c:axId val="-574467360"/>
      </c:lineChart>
      <c:catAx>
        <c:axId val="-5744684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57446736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-574467360"/>
        <c:scaling>
          <c:orientation val="minMax"/>
          <c:max val="1.000000000000000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744684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'P1.1.3-1.1.5'!$J$34:$J$45</c:f>
              <c:numCache>
                <c:formatCode>0.00E+00</c:formatCode>
                <c:ptCount val="12"/>
                <c:pt idx="0">
                  <c:v>2.0669920621115863E-9</c:v>
                </c:pt>
                <c:pt idx="1">
                  <c:v>5.6947413190949221E-8</c:v>
                </c:pt>
                <c:pt idx="2">
                  <c:v>4.4658038164595958E-7</c:v>
                </c:pt>
                <c:pt idx="3">
                  <c:v>3.1124407184099671E-6</c:v>
                </c:pt>
                <c:pt idx="4">
                  <c:v>2.1352199441373682E-5</c:v>
                </c:pt>
                <c:pt idx="5">
                  <c:v>1.461482338336963E-4</c:v>
                </c:pt>
                <c:pt idx="6">
                  <c:v>1E-3</c:v>
                </c:pt>
                <c:pt idx="7">
                  <c:v>6.8420353029276003E-3</c:v>
                </c:pt>
                <c:pt idx="8">
                  <c:v>4.6813114397709396E-2</c:v>
                </c:pt>
                <c:pt idx="9">
                  <c:v>0.32029437241076086</c:v>
                </c:pt>
                <c:pt idx="10" formatCode="0.000E+00">
                  <c:v>2.1914472203749034</c:v>
                </c:pt>
                <c:pt idx="11" formatCode="0.000E+00">
                  <c:v>14.993834506004774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'P1.1.3-1.1.5'!$K$34:$K$45</c:f>
              <c:numCache>
                <c:formatCode>0.00E+00</c:formatCode>
                <c:ptCount val="12"/>
                <c:pt idx="0">
                  <c:v>1.1897058945978716E-9</c:v>
                </c:pt>
                <c:pt idx="1">
                  <c:v>2.1085535112879384E-8</c:v>
                </c:pt>
                <c:pt idx="2">
                  <c:v>8.7780558178416236E-8</c:v>
                </c:pt>
                <c:pt idx="3">
                  <c:v>2.9874158325552899E-7</c:v>
                </c:pt>
                <c:pt idx="4">
                  <c:v>9.6602606800418144E-7</c:v>
                </c:pt>
                <c:pt idx="5">
                  <c:v>3.076693587862481E-6</c:v>
                </c:pt>
                <c:pt idx="6">
                  <c:v>9.7528826514562942E-6</c:v>
                </c:pt>
                <c:pt idx="7">
                  <c:v>3.0870135839605021E-5</c:v>
                </c:pt>
                <c:pt idx="8">
                  <c:v>9.7665485396756149E-5</c:v>
                </c:pt>
                <c:pt idx="9">
                  <c:v>3.0894385018739683E-4</c:v>
                </c:pt>
                <c:pt idx="10">
                  <c:v>9.7723210265643259E-4</c:v>
                </c:pt>
                <c:pt idx="11">
                  <c:v>3.0910746100550105E-3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'P1.1.3-1.1.5'!$I$34:$I$45</c:f>
              <c:numCache>
                <c:formatCode>General</c:formatCode>
                <c:ptCount val="12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</c:numCache>
            </c:numRef>
          </c:cat>
          <c:val>
            <c:numRef>
              <c:f>'P1.1.3-1.1.5'!$L$34:$L$45</c:f>
              <c:numCache>
                <c:formatCode>0.00E+00</c:formatCode>
                <c:ptCount val="12"/>
                <c:pt idx="0">
                  <c:v>9.8384696876807993E-10</c:v>
                </c:pt>
                <c:pt idx="1">
                  <c:v>1.5749961726950727E-8</c:v>
                </c:pt>
                <c:pt idx="2">
                  <c:v>5.6947413190949221E-8</c:v>
                </c:pt>
                <c:pt idx="3">
                  <c:v>1.647083104269264E-7</c:v>
                </c:pt>
                <c:pt idx="4">
                  <c:v>4.4658038164595958E-7</c:v>
                </c:pt>
                <c:pt idx="5">
                  <c:v>1.1838781081053275E-6</c:v>
                </c:pt>
                <c:pt idx="6">
                  <c:v>3.1124407184099671E-6</c:v>
                </c:pt>
                <c:pt idx="7">
                  <c:v>8.157015804414948E-6</c:v>
                </c:pt>
                <c:pt idx="8">
                  <c:v>2.1352199441373682E-5</c:v>
                </c:pt>
                <c:pt idx="9">
                  <c:v>5.5867072992587037E-5</c:v>
                </c:pt>
                <c:pt idx="10">
                  <c:v>1.461482338336963E-4</c:v>
                </c:pt>
                <c:pt idx="11">
                  <c:v>3.8229825161441517E-4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74460832"/>
        <c:axId val="-574463008"/>
      </c:lineChart>
      <c:catAx>
        <c:axId val="-57446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7446300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-5744630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7446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'P1.1.6'!$B$12:$B$672</c:f>
              <c:numCache>
                <c:formatCode>General</c:formatCode>
                <c:ptCount val="661"/>
                <c:pt idx="0">
                  <c:v>-0.28999999999999998</c:v>
                </c:pt>
                <c:pt idx="1">
                  <c:v>-0.28949999999999998</c:v>
                </c:pt>
                <c:pt idx="2">
                  <c:v>-0.28899999999999998</c:v>
                </c:pt>
                <c:pt idx="3">
                  <c:v>-0.28849999999999998</c:v>
                </c:pt>
                <c:pt idx="4">
                  <c:v>-0.28799999999999998</c:v>
                </c:pt>
                <c:pt idx="5">
                  <c:v>-0.28749999999999998</c:v>
                </c:pt>
                <c:pt idx="6">
                  <c:v>-0.28699999999999998</c:v>
                </c:pt>
                <c:pt idx="7">
                  <c:v>-0.28649999999999998</c:v>
                </c:pt>
                <c:pt idx="8">
                  <c:v>-0.28599999999999998</c:v>
                </c:pt>
                <c:pt idx="9">
                  <c:v>-0.28549999999999998</c:v>
                </c:pt>
                <c:pt idx="10">
                  <c:v>-0.28499999999999998</c:v>
                </c:pt>
                <c:pt idx="11">
                  <c:v>-0.28449999999999998</c:v>
                </c:pt>
                <c:pt idx="12">
                  <c:v>-0.28399999999999997</c:v>
                </c:pt>
                <c:pt idx="13">
                  <c:v>-0.28349999999999997</c:v>
                </c:pt>
                <c:pt idx="14">
                  <c:v>-0.28299999999999997</c:v>
                </c:pt>
                <c:pt idx="15">
                  <c:v>-0.28249999999999997</c:v>
                </c:pt>
                <c:pt idx="16">
                  <c:v>-0.28199999999999997</c:v>
                </c:pt>
                <c:pt idx="17">
                  <c:v>-0.28149999999999997</c:v>
                </c:pt>
                <c:pt idx="18">
                  <c:v>-0.28100000000000003</c:v>
                </c:pt>
                <c:pt idx="19">
                  <c:v>-0.28050000000000003</c:v>
                </c:pt>
                <c:pt idx="20">
                  <c:v>-0.28000000000000003</c:v>
                </c:pt>
                <c:pt idx="21">
                  <c:v>-0.27950000000000003</c:v>
                </c:pt>
                <c:pt idx="22">
                  <c:v>-0.27900000000000003</c:v>
                </c:pt>
                <c:pt idx="23">
                  <c:v>-0.27850000000000003</c:v>
                </c:pt>
                <c:pt idx="24">
                  <c:v>-0.27800000000000002</c:v>
                </c:pt>
                <c:pt idx="25">
                  <c:v>-0.27750000000000002</c:v>
                </c:pt>
                <c:pt idx="26">
                  <c:v>-0.27700000000000002</c:v>
                </c:pt>
                <c:pt idx="27">
                  <c:v>-0.27650000000000002</c:v>
                </c:pt>
                <c:pt idx="28">
                  <c:v>-0.27600000000000002</c:v>
                </c:pt>
                <c:pt idx="29">
                  <c:v>-0.27550000000000002</c:v>
                </c:pt>
                <c:pt idx="30">
                  <c:v>-0.27500000000000002</c:v>
                </c:pt>
                <c:pt idx="31">
                  <c:v>-0.27450000000000002</c:v>
                </c:pt>
                <c:pt idx="32">
                  <c:v>-0.27400000000000002</c:v>
                </c:pt>
                <c:pt idx="33">
                  <c:v>-0.27350000000000002</c:v>
                </c:pt>
                <c:pt idx="34">
                  <c:v>-0.27300000000000002</c:v>
                </c:pt>
                <c:pt idx="35">
                  <c:v>-0.27250000000000002</c:v>
                </c:pt>
                <c:pt idx="36">
                  <c:v>-0.27200000000000002</c:v>
                </c:pt>
                <c:pt idx="37">
                  <c:v>-0.27150000000000002</c:v>
                </c:pt>
                <c:pt idx="38">
                  <c:v>-0.27100000000000002</c:v>
                </c:pt>
                <c:pt idx="39">
                  <c:v>-0.27050000000000002</c:v>
                </c:pt>
                <c:pt idx="40">
                  <c:v>-0.27</c:v>
                </c:pt>
                <c:pt idx="41">
                  <c:v>-0.26950000000000002</c:v>
                </c:pt>
                <c:pt idx="42">
                  <c:v>-0.26900000000000002</c:v>
                </c:pt>
                <c:pt idx="43">
                  <c:v>-0.26850000000000002</c:v>
                </c:pt>
                <c:pt idx="44">
                  <c:v>-0.26800000000000002</c:v>
                </c:pt>
                <c:pt idx="45">
                  <c:v>-0.26750000000000002</c:v>
                </c:pt>
                <c:pt idx="46">
                  <c:v>-0.26700000000000002</c:v>
                </c:pt>
                <c:pt idx="47">
                  <c:v>-0.26650000000000001</c:v>
                </c:pt>
                <c:pt idx="48">
                  <c:v>-0.26600000000000001</c:v>
                </c:pt>
                <c:pt idx="49">
                  <c:v>-0.26550000000000001</c:v>
                </c:pt>
                <c:pt idx="50">
                  <c:v>-0.26500000000000001</c:v>
                </c:pt>
                <c:pt idx="51">
                  <c:v>-0.26450000000000001</c:v>
                </c:pt>
                <c:pt idx="52">
                  <c:v>-0.26400000000000001</c:v>
                </c:pt>
                <c:pt idx="53">
                  <c:v>-0.26350000000000001</c:v>
                </c:pt>
                <c:pt idx="54">
                  <c:v>-0.26300000000000001</c:v>
                </c:pt>
                <c:pt idx="55">
                  <c:v>-0.26250000000000001</c:v>
                </c:pt>
                <c:pt idx="56">
                  <c:v>-0.26200000000000001</c:v>
                </c:pt>
                <c:pt idx="57">
                  <c:v>-0.26150000000000001</c:v>
                </c:pt>
                <c:pt idx="58">
                  <c:v>-0.26100000000000001</c:v>
                </c:pt>
                <c:pt idx="59">
                  <c:v>-0.26050000000000001</c:v>
                </c:pt>
                <c:pt idx="60">
                  <c:v>-0.26</c:v>
                </c:pt>
                <c:pt idx="61">
                  <c:v>-0.25950000000000001</c:v>
                </c:pt>
                <c:pt idx="62">
                  <c:v>-0.25900000000000001</c:v>
                </c:pt>
                <c:pt idx="63">
                  <c:v>-0.25850000000000001</c:v>
                </c:pt>
                <c:pt idx="64">
                  <c:v>-0.25800000000000001</c:v>
                </c:pt>
                <c:pt idx="65">
                  <c:v>-0.25750000000000001</c:v>
                </c:pt>
                <c:pt idx="66">
                  <c:v>-0.25700000000000001</c:v>
                </c:pt>
                <c:pt idx="67">
                  <c:v>-0.25650000000000001</c:v>
                </c:pt>
                <c:pt idx="68">
                  <c:v>-0.25600000000000001</c:v>
                </c:pt>
                <c:pt idx="69">
                  <c:v>-0.2555</c:v>
                </c:pt>
                <c:pt idx="70">
                  <c:v>-0.255</c:v>
                </c:pt>
                <c:pt idx="71">
                  <c:v>-0.2545</c:v>
                </c:pt>
                <c:pt idx="72">
                  <c:v>-0.254</c:v>
                </c:pt>
                <c:pt idx="73">
                  <c:v>-0.2535</c:v>
                </c:pt>
                <c:pt idx="74">
                  <c:v>-0.253</c:v>
                </c:pt>
                <c:pt idx="75">
                  <c:v>-0.2525</c:v>
                </c:pt>
                <c:pt idx="76">
                  <c:v>-0.252</c:v>
                </c:pt>
                <c:pt idx="77">
                  <c:v>-0.2515</c:v>
                </c:pt>
                <c:pt idx="78">
                  <c:v>-0.251</c:v>
                </c:pt>
                <c:pt idx="79">
                  <c:v>-0.2505</c:v>
                </c:pt>
                <c:pt idx="80">
                  <c:v>-0.25</c:v>
                </c:pt>
                <c:pt idx="81">
                  <c:v>-0.2495</c:v>
                </c:pt>
                <c:pt idx="82">
                  <c:v>-0.249</c:v>
                </c:pt>
                <c:pt idx="83">
                  <c:v>-0.2485</c:v>
                </c:pt>
                <c:pt idx="84">
                  <c:v>-0.248</c:v>
                </c:pt>
                <c:pt idx="85">
                  <c:v>-0.2475</c:v>
                </c:pt>
                <c:pt idx="86">
                  <c:v>-0.247</c:v>
                </c:pt>
                <c:pt idx="87">
                  <c:v>-0.2465</c:v>
                </c:pt>
                <c:pt idx="88">
                  <c:v>-0.246</c:v>
                </c:pt>
                <c:pt idx="89">
                  <c:v>-0.2455</c:v>
                </c:pt>
                <c:pt idx="90">
                  <c:v>-0.245</c:v>
                </c:pt>
                <c:pt idx="91">
                  <c:v>-0.2445</c:v>
                </c:pt>
                <c:pt idx="92">
                  <c:v>-0.24399999999999999</c:v>
                </c:pt>
                <c:pt idx="93">
                  <c:v>-0.24349999999999999</c:v>
                </c:pt>
                <c:pt idx="94">
                  <c:v>-0.24299999999999999</c:v>
                </c:pt>
                <c:pt idx="95">
                  <c:v>-0.24249999999999999</c:v>
                </c:pt>
                <c:pt idx="96">
                  <c:v>-0.24199999999999999</c:v>
                </c:pt>
                <c:pt idx="97">
                  <c:v>-0.24149999999999999</c:v>
                </c:pt>
                <c:pt idx="98">
                  <c:v>-0.24099999999999999</c:v>
                </c:pt>
                <c:pt idx="99">
                  <c:v>-0.24049999999999999</c:v>
                </c:pt>
                <c:pt idx="100">
                  <c:v>-0.24</c:v>
                </c:pt>
                <c:pt idx="101">
                  <c:v>-0.23949999999999999</c:v>
                </c:pt>
                <c:pt idx="102">
                  <c:v>-0.23899999999999999</c:v>
                </c:pt>
                <c:pt idx="103">
                  <c:v>-0.23849999999999999</c:v>
                </c:pt>
                <c:pt idx="104">
                  <c:v>-0.23799999999999999</c:v>
                </c:pt>
                <c:pt idx="105">
                  <c:v>-0.23749999999999999</c:v>
                </c:pt>
                <c:pt idx="106">
                  <c:v>-0.23699999999999999</c:v>
                </c:pt>
                <c:pt idx="107">
                  <c:v>-0.23649999999999999</c:v>
                </c:pt>
                <c:pt idx="108">
                  <c:v>-0.23599999999999999</c:v>
                </c:pt>
                <c:pt idx="109">
                  <c:v>-0.23549999999999999</c:v>
                </c:pt>
                <c:pt idx="110">
                  <c:v>-0.23499999999999999</c:v>
                </c:pt>
                <c:pt idx="111">
                  <c:v>-0.23449999999999999</c:v>
                </c:pt>
                <c:pt idx="112">
                  <c:v>-0.23400000000000001</c:v>
                </c:pt>
                <c:pt idx="113">
                  <c:v>-0.23350000000000001</c:v>
                </c:pt>
                <c:pt idx="114">
                  <c:v>-0.23300000000000001</c:v>
                </c:pt>
                <c:pt idx="115">
                  <c:v>-0.23250000000000001</c:v>
                </c:pt>
                <c:pt idx="116">
                  <c:v>-0.23200000000000001</c:v>
                </c:pt>
                <c:pt idx="117">
                  <c:v>-0.23150000000000001</c:v>
                </c:pt>
                <c:pt idx="118">
                  <c:v>-0.23100000000000001</c:v>
                </c:pt>
                <c:pt idx="119">
                  <c:v>-0.23050000000000001</c:v>
                </c:pt>
                <c:pt idx="120">
                  <c:v>-0.23</c:v>
                </c:pt>
                <c:pt idx="121">
                  <c:v>-0.22950000000000001</c:v>
                </c:pt>
                <c:pt idx="122">
                  <c:v>-0.22900000000000001</c:v>
                </c:pt>
                <c:pt idx="123">
                  <c:v>-0.22850000000000001</c:v>
                </c:pt>
                <c:pt idx="124">
                  <c:v>-0.22800000000000001</c:v>
                </c:pt>
                <c:pt idx="125">
                  <c:v>-0.22750000000000001</c:v>
                </c:pt>
                <c:pt idx="126">
                  <c:v>-0.22700000000000001</c:v>
                </c:pt>
                <c:pt idx="127">
                  <c:v>-0.22650000000000001</c:v>
                </c:pt>
                <c:pt idx="128">
                  <c:v>-0.22600000000000001</c:v>
                </c:pt>
                <c:pt idx="129">
                  <c:v>-0.22550000000000001</c:v>
                </c:pt>
                <c:pt idx="130">
                  <c:v>-0.22500000000000001</c:v>
                </c:pt>
                <c:pt idx="131">
                  <c:v>-0.22450000000000001</c:v>
                </c:pt>
                <c:pt idx="132">
                  <c:v>-0.224</c:v>
                </c:pt>
                <c:pt idx="133">
                  <c:v>-0.2235</c:v>
                </c:pt>
                <c:pt idx="134">
                  <c:v>-0.223</c:v>
                </c:pt>
                <c:pt idx="135">
                  <c:v>-0.2225</c:v>
                </c:pt>
                <c:pt idx="136">
                  <c:v>-0.222</c:v>
                </c:pt>
                <c:pt idx="137">
                  <c:v>-0.2215</c:v>
                </c:pt>
                <c:pt idx="138">
                  <c:v>-0.221</c:v>
                </c:pt>
                <c:pt idx="139">
                  <c:v>-0.2205</c:v>
                </c:pt>
                <c:pt idx="140">
                  <c:v>-0.22</c:v>
                </c:pt>
                <c:pt idx="141">
                  <c:v>-0.2195</c:v>
                </c:pt>
                <c:pt idx="142">
                  <c:v>-0.219</c:v>
                </c:pt>
                <c:pt idx="143">
                  <c:v>-0.2185</c:v>
                </c:pt>
                <c:pt idx="144">
                  <c:v>-0.218</c:v>
                </c:pt>
                <c:pt idx="145">
                  <c:v>-0.2175</c:v>
                </c:pt>
                <c:pt idx="146">
                  <c:v>-0.217</c:v>
                </c:pt>
                <c:pt idx="147">
                  <c:v>-0.2165</c:v>
                </c:pt>
                <c:pt idx="148">
                  <c:v>-0.216</c:v>
                </c:pt>
                <c:pt idx="149">
                  <c:v>-0.2155</c:v>
                </c:pt>
                <c:pt idx="150">
                  <c:v>-0.215</c:v>
                </c:pt>
                <c:pt idx="151">
                  <c:v>-0.2145</c:v>
                </c:pt>
                <c:pt idx="152">
                  <c:v>-0.214</c:v>
                </c:pt>
                <c:pt idx="153">
                  <c:v>-0.2135</c:v>
                </c:pt>
                <c:pt idx="154">
                  <c:v>-0.21299999999999999</c:v>
                </c:pt>
                <c:pt idx="155">
                  <c:v>-0.21249999999999999</c:v>
                </c:pt>
                <c:pt idx="156">
                  <c:v>-0.21199999999999999</c:v>
                </c:pt>
                <c:pt idx="157">
                  <c:v>-0.21149999999999999</c:v>
                </c:pt>
                <c:pt idx="158">
                  <c:v>-0.21099999999999999</c:v>
                </c:pt>
                <c:pt idx="159">
                  <c:v>-0.21049999999999999</c:v>
                </c:pt>
                <c:pt idx="160">
                  <c:v>-0.21</c:v>
                </c:pt>
                <c:pt idx="161">
                  <c:v>-0.20949999999999999</c:v>
                </c:pt>
                <c:pt idx="162">
                  <c:v>-0.20899999999999999</c:v>
                </c:pt>
                <c:pt idx="163">
                  <c:v>-0.20849999999999999</c:v>
                </c:pt>
                <c:pt idx="164">
                  <c:v>-0.20799999999999999</c:v>
                </c:pt>
                <c:pt idx="165">
                  <c:v>-0.20749999999999999</c:v>
                </c:pt>
                <c:pt idx="166">
                  <c:v>-0.20699999999999999</c:v>
                </c:pt>
                <c:pt idx="167">
                  <c:v>-0.20649999999999999</c:v>
                </c:pt>
                <c:pt idx="168">
                  <c:v>-0.20599999999999999</c:v>
                </c:pt>
                <c:pt idx="169">
                  <c:v>-0.20549999999999999</c:v>
                </c:pt>
                <c:pt idx="170">
                  <c:v>-0.20499999999999999</c:v>
                </c:pt>
                <c:pt idx="171">
                  <c:v>-0.20449999999999999</c:v>
                </c:pt>
                <c:pt idx="172">
                  <c:v>-0.20399999999999999</c:v>
                </c:pt>
                <c:pt idx="173">
                  <c:v>-0.20349999999999999</c:v>
                </c:pt>
                <c:pt idx="174">
                  <c:v>-0.20300000000000001</c:v>
                </c:pt>
                <c:pt idx="175">
                  <c:v>-0.20250000000000001</c:v>
                </c:pt>
                <c:pt idx="176">
                  <c:v>-0.20200000000000001</c:v>
                </c:pt>
                <c:pt idx="177">
                  <c:v>-0.20150000000000001</c:v>
                </c:pt>
                <c:pt idx="178">
                  <c:v>-0.20100000000000001</c:v>
                </c:pt>
                <c:pt idx="179">
                  <c:v>-0.20050000000000001</c:v>
                </c:pt>
                <c:pt idx="180">
                  <c:v>-0.2</c:v>
                </c:pt>
                <c:pt idx="181">
                  <c:v>-0.19950000000000001</c:v>
                </c:pt>
                <c:pt idx="182">
                  <c:v>-0.19900000000000001</c:v>
                </c:pt>
                <c:pt idx="183">
                  <c:v>-0.19850000000000001</c:v>
                </c:pt>
                <c:pt idx="184">
                  <c:v>-0.19800000000000001</c:v>
                </c:pt>
                <c:pt idx="185">
                  <c:v>-0.19750000000000001</c:v>
                </c:pt>
                <c:pt idx="186">
                  <c:v>-0.19700000000000001</c:v>
                </c:pt>
                <c:pt idx="187">
                  <c:v>-0.19650000000000001</c:v>
                </c:pt>
                <c:pt idx="188">
                  <c:v>-0.19600000000000001</c:v>
                </c:pt>
                <c:pt idx="189">
                  <c:v>-0.19550000000000001</c:v>
                </c:pt>
                <c:pt idx="190">
                  <c:v>-0.19500000000000001</c:v>
                </c:pt>
                <c:pt idx="191">
                  <c:v>-0.19450000000000001</c:v>
                </c:pt>
                <c:pt idx="192">
                  <c:v>-0.19400000000000001</c:v>
                </c:pt>
                <c:pt idx="193">
                  <c:v>-0.19350000000000001</c:v>
                </c:pt>
                <c:pt idx="194">
                  <c:v>-0.193</c:v>
                </c:pt>
                <c:pt idx="195">
                  <c:v>-0.1925</c:v>
                </c:pt>
                <c:pt idx="196">
                  <c:v>-0.192</c:v>
                </c:pt>
                <c:pt idx="197">
                  <c:v>-0.1915</c:v>
                </c:pt>
                <c:pt idx="198">
                  <c:v>-0.191</c:v>
                </c:pt>
                <c:pt idx="199">
                  <c:v>-0.1905</c:v>
                </c:pt>
                <c:pt idx="200">
                  <c:v>-0.19</c:v>
                </c:pt>
                <c:pt idx="201">
                  <c:v>-0.1895</c:v>
                </c:pt>
                <c:pt idx="202">
                  <c:v>-0.189</c:v>
                </c:pt>
                <c:pt idx="203">
                  <c:v>-0.1885</c:v>
                </c:pt>
                <c:pt idx="204">
                  <c:v>-0.188</c:v>
                </c:pt>
                <c:pt idx="205">
                  <c:v>-0.1875</c:v>
                </c:pt>
                <c:pt idx="206">
                  <c:v>-0.187</c:v>
                </c:pt>
                <c:pt idx="207">
                  <c:v>-0.1865</c:v>
                </c:pt>
                <c:pt idx="208">
                  <c:v>-0.186</c:v>
                </c:pt>
                <c:pt idx="209">
                  <c:v>-0.1855</c:v>
                </c:pt>
                <c:pt idx="210">
                  <c:v>-0.185</c:v>
                </c:pt>
                <c:pt idx="211">
                  <c:v>-0.1845</c:v>
                </c:pt>
                <c:pt idx="212">
                  <c:v>-0.184</c:v>
                </c:pt>
                <c:pt idx="213">
                  <c:v>-0.1835</c:v>
                </c:pt>
                <c:pt idx="214">
                  <c:v>-0.183</c:v>
                </c:pt>
                <c:pt idx="215">
                  <c:v>-0.1825</c:v>
                </c:pt>
                <c:pt idx="216">
                  <c:v>-0.182</c:v>
                </c:pt>
                <c:pt idx="217">
                  <c:v>-0.18149999999999999</c:v>
                </c:pt>
                <c:pt idx="218">
                  <c:v>-0.18099999999999999</c:v>
                </c:pt>
                <c:pt idx="219">
                  <c:v>-0.18049999999999999</c:v>
                </c:pt>
                <c:pt idx="220">
                  <c:v>-0.18</c:v>
                </c:pt>
                <c:pt idx="221">
                  <c:v>-0.17949999999999999</c:v>
                </c:pt>
                <c:pt idx="222">
                  <c:v>-0.17899999999999999</c:v>
                </c:pt>
                <c:pt idx="223">
                  <c:v>-0.17849999999999999</c:v>
                </c:pt>
                <c:pt idx="224">
                  <c:v>-0.17799999999999999</c:v>
                </c:pt>
                <c:pt idx="225">
                  <c:v>-0.17749999999999999</c:v>
                </c:pt>
                <c:pt idx="226">
                  <c:v>-0.17699999999999999</c:v>
                </c:pt>
                <c:pt idx="227">
                  <c:v>-0.17649999999999999</c:v>
                </c:pt>
                <c:pt idx="228">
                  <c:v>-0.17599999999999999</c:v>
                </c:pt>
                <c:pt idx="229">
                  <c:v>-0.17549999999999999</c:v>
                </c:pt>
                <c:pt idx="230">
                  <c:v>-0.17499999999999999</c:v>
                </c:pt>
                <c:pt idx="231">
                  <c:v>-0.17449999999999999</c:v>
                </c:pt>
                <c:pt idx="232">
                  <c:v>-0.17399999999999999</c:v>
                </c:pt>
                <c:pt idx="233">
                  <c:v>-0.17349999999999999</c:v>
                </c:pt>
                <c:pt idx="234">
                  <c:v>-0.17299999999999999</c:v>
                </c:pt>
                <c:pt idx="235">
                  <c:v>-0.17249999999999999</c:v>
                </c:pt>
                <c:pt idx="236">
                  <c:v>-0.17199999999999999</c:v>
                </c:pt>
                <c:pt idx="237">
                  <c:v>-0.17150000000000001</c:v>
                </c:pt>
                <c:pt idx="238">
                  <c:v>-0.17100000000000001</c:v>
                </c:pt>
                <c:pt idx="239">
                  <c:v>-0.17050000000000001</c:v>
                </c:pt>
                <c:pt idx="240">
                  <c:v>-0.17</c:v>
                </c:pt>
                <c:pt idx="241">
                  <c:v>-0.16950000000000001</c:v>
                </c:pt>
                <c:pt idx="242">
                  <c:v>-0.16900000000000001</c:v>
                </c:pt>
                <c:pt idx="243">
                  <c:v>-0.16850000000000001</c:v>
                </c:pt>
                <c:pt idx="244">
                  <c:v>-0.16800000000000001</c:v>
                </c:pt>
                <c:pt idx="245">
                  <c:v>-0.16750000000000001</c:v>
                </c:pt>
                <c:pt idx="246">
                  <c:v>-0.16700000000000001</c:v>
                </c:pt>
                <c:pt idx="247">
                  <c:v>-0.16650000000000001</c:v>
                </c:pt>
                <c:pt idx="248">
                  <c:v>-0.16600000000000001</c:v>
                </c:pt>
                <c:pt idx="249">
                  <c:v>-0.16550000000000001</c:v>
                </c:pt>
                <c:pt idx="250">
                  <c:v>-0.16500000000000001</c:v>
                </c:pt>
                <c:pt idx="251">
                  <c:v>-0.16450000000000001</c:v>
                </c:pt>
                <c:pt idx="252">
                  <c:v>-0.16400000000000001</c:v>
                </c:pt>
                <c:pt idx="253">
                  <c:v>-0.16350000000000001</c:v>
                </c:pt>
                <c:pt idx="254">
                  <c:v>-0.16300000000000001</c:v>
                </c:pt>
                <c:pt idx="255">
                  <c:v>-0.16250000000000001</c:v>
                </c:pt>
                <c:pt idx="256">
                  <c:v>-0.16200000000000001</c:v>
                </c:pt>
                <c:pt idx="257">
                  <c:v>-0.1615</c:v>
                </c:pt>
                <c:pt idx="258">
                  <c:v>-0.161</c:v>
                </c:pt>
                <c:pt idx="259">
                  <c:v>-0.1605</c:v>
                </c:pt>
                <c:pt idx="260">
                  <c:v>-0.16</c:v>
                </c:pt>
                <c:pt idx="261">
                  <c:v>-0.1595</c:v>
                </c:pt>
                <c:pt idx="262">
                  <c:v>-0.159</c:v>
                </c:pt>
                <c:pt idx="263">
                  <c:v>-0.1585</c:v>
                </c:pt>
                <c:pt idx="264">
                  <c:v>-0.158</c:v>
                </c:pt>
                <c:pt idx="265">
                  <c:v>-0.1575</c:v>
                </c:pt>
                <c:pt idx="266">
                  <c:v>-0.157</c:v>
                </c:pt>
                <c:pt idx="267">
                  <c:v>-0.1565</c:v>
                </c:pt>
                <c:pt idx="268">
                  <c:v>-0.156</c:v>
                </c:pt>
                <c:pt idx="269">
                  <c:v>-0.1555</c:v>
                </c:pt>
                <c:pt idx="270">
                  <c:v>-0.155</c:v>
                </c:pt>
                <c:pt idx="271">
                  <c:v>-0.1545</c:v>
                </c:pt>
                <c:pt idx="272">
                  <c:v>-0.154</c:v>
                </c:pt>
                <c:pt idx="273">
                  <c:v>-0.1535</c:v>
                </c:pt>
                <c:pt idx="274">
                  <c:v>-0.153</c:v>
                </c:pt>
                <c:pt idx="275">
                  <c:v>-0.1525</c:v>
                </c:pt>
                <c:pt idx="276">
                  <c:v>-0.152</c:v>
                </c:pt>
                <c:pt idx="277">
                  <c:v>-0.1515</c:v>
                </c:pt>
                <c:pt idx="278">
                  <c:v>-0.151</c:v>
                </c:pt>
                <c:pt idx="279">
                  <c:v>-0.15049999999999999</c:v>
                </c:pt>
                <c:pt idx="280">
                  <c:v>-0.15</c:v>
                </c:pt>
                <c:pt idx="281">
                  <c:v>-0.14949999999999999</c:v>
                </c:pt>
                <c:pt idx="282">
                  <c:v>-0.14899999999999999</c:v>
                </c:pt>
                <c:pt idx="283">
                  <c:v>-0.14849999999999999</c:v>
                </c:pt>
                <c:pt idx="284">
                  <c:v>-0.14799999999999999</c:v>
                </c:pt>
                <c:pt idx="285">
                  <c:v>-0.14749999999999999</c:v>
                </c:pt>
                <c:pt idx="286">
                  <c:v>-0.14699999999999999</c:v>
                </c:pt>
                <c:pt idx="287">
                  <c:v>-0.14649999999999999</c:v>
                </c:pt>
                <c:pt idx="288">
                  <c:v>-0.14599999999999999</c:v>
                </c:pt>
                <c:pt idx="289">
                  <c:v>-0.14549999999999999</c:v>
                </c:pt>
                <c:pt idx="290">
                  <c:v>-0.14499999999999999</c:v>
                </c:pt>
                <c:pt idx="291">
                  <c:v>-0.14449999999999999</c:v>
                </c:pt>
                <c:pt idx="292">
                  <c:v>-0.14399999999999999</c:v>
                </c:pt>
                <c:pt idx="293">
                  <c:v>-0.14349999999999999</c:v>
                </c:pt>
                <c:pt idx="294">
                  <c:v>-0.14299999999999999</c:v>
                </c:pt>
                <c:pt idx="295">
                  <c:v>-0.14249999999999999</c:v>
                </c:pt>
                <c:pt idx="296">
                  <c:v>-0.14199999999999999</c:v>
                </c:pt>
                <c:pt idx="297">
                  <c:v>-0.14149999999999999</c:v>
                </c:pt>
                <c:pt idx="298">
                  <c:v>-0.14099999999999999</c:v>
                </c:pt>
                <c:pt idx="299">
                  <c:v>-0.14050000000000001</c:v>
                </c:pt>
                <c:pt idx="300">
                  <c:v>-0.14000000000000001</c:v>
                </c:pt>
                <c:pt idx="301">
                  <c:v>-0.13950000000000001</c:v>
                </c:pt>
                <c:pt idx="302">
                  <c:v>-0.13900000000000001</c:v>
                </c:pt>
                <c:pt idx="303">
                  <c:v>-0.13850000000000001</c:v>
                </c:pt>
                <c:pt idx="304">
                  <c:v>-0.13800000000000001</c:v>
                </c:pt>
                <c:pt idx="305">
                  <c:v>-0.13750000000000001</c:v>
                </c:pt>
                <c:pt idx="306">
                  <c:v>-0.13700000000000001</c:v>
                </c:pt>
                <c:pt idx="307">
                  <c:v>-0.13650000000000001</c:v>
                </c:pt>
                <c:pt idx="308">
                  <c:v>-0.13600000000000001</c:v>
                </c:pt>
                <c:pt idx="309">
                  <c:v>-0.13550000000000001</c:v>
                </c:pt>
                <c:pt idx="310">
                  <c:v>-0.13500000000000001</c:v>
                </c:pt>
                <c:pt idx="311">
                  <c:v>-0.13450000000000001</c:v>
                </c:pt>
                <c:pt idx="312">
                  <c:v>-0.13400000000000001</c:v>
                </c:pt>
                <c:pt idx="313">
                  <c:v>-0.13350000000000001</c:v>
                </c:pt>
                <c:pt idx="314">
                  <c:v>-0.13300000000000001</c:v>
                </c:pt>
                <c:pt idx="315">
                  <c:v>-0.13250000000000001</c:v>
                </c:pt>
                <c:pt idx="316">
                  <c:v>-0.13200000000000001</c:v>
                </c:pt>
                <c:pt idx="317">
                  <c:v>-0.13150000000000001</c:v>
                </c:pt>
                <c:pt idx="318">
                  <c:v>-0.13100000000000001</c:v>
                </c:pt>
                <c:pt idx="319">
                  <c:v>-0.1305</c:v>
                </c:pt>
                <c:pt idx="320">
                  <c:v>-0.13</c:v>
                </c:pt>
                <c:pt idx="321">
                  <c:v>-0.1295</c:v>
                </c:pt>
                <c:pt idx="322">
                  <c:v>-0.129</c:v>
                </c:pt>
                <c:pt idx="323">
                  <c:v>-0.1285</c:v>
                </c:pt>
                <c:pt idx="324">
                  <c:v>-0.128</c:v>
                </c:pt>
                <c:pt idx="325">
                  <c:v>-0.1275</c:v>
                </c:pt>
                <c:pt idx="326">
                  <c:v>-0.127</c:v>
                </c:pt>
                <c:pt idx="327">
                  <c:v>-0.1265</c:v>
                </c:pt>
                <c:pt idx="328">
                  <c:v>-0.126</c:v>
                </c:pt>
                <c:pt idx="329">
                  <c:v>-0.1255</c:v>
                </c:pt>
                <c:pt idx="330">
                  <c:v>-0.125</c:v>
                </c:pt>
                <c:pt idx="331">
                  <c:v>-0.1245</c:v>
                </c:pt>
                <c:pt idx="332">
                  <c:v>-0.124</c:v>
                </c:pt>
                <c:pt idx="333">
                  <c:v>-0.1235</c:v>
                </c:pt>
                <c:pt idx="334">
                  <c:v>-0.123</c:v>
                </c:pt>
                <c:pt idx="335">
                  <c:v>-0.1225</c:v>
                </c:pt>
                <c:pt idx="336">
                  <c:v>-0.122</c:v>
                </c:pt>
                <c:pt idx="337">
                  <c:v>-0.1215</c:v>
                </c:pt>
                <c:pt idx="338">
                  <c:v>-0.121</c:v>
                </c:pt>
                <c:pt idx="339">
                  <c:v>-0.1205</c:v>
                </c:pt>
                <c:pt idx="340">
                  <c:v>-0.12</c:v>
                </c:pt>
                <c:pt idx="341">
                  <c:v>-0.1195</c:v>
                </c:pt>
                <c:pt idx="342">
                  <c:v>-0.11899999999999999</c:v>
                </c:pt>
                <c:pt idx="343">
                  <c:v>-0.11849999999999999</c:v>
                </c:pt>
                <c:pt idx="344">
                  <c:v>-0.11799999999999999</c:v>
                </c:pt>
                <c:pt idx="345">
                  <c:v>-0.11749999999999999</c:v>
                </c:pt>
                <c:pt idx="346">
                  <c:v>-0.11700000000000001</c:v>
                </c:pt>
                <c:pt idx="347">
                  <c:v>-0.11650000000000001</c:v>
                </c:pt>
                <c:pt idx="348">
                  <c:v>-0.11600000000000001</c:v>
                </c:pt>
                <c:pt idx="349">
                  <c:v>-0.11550000000000001</c:v>
                </c:pt>
                <c:pt idx="350">
                  <c:v>-0.115</c:v>
                </c:pt>
                <c:pt idx="351">
                  <c:v>-0.1145</c:v>
                </c:pt>
                <c:pt idx="352">
                  <c:v>-0.114</c:v>
                </c:pt>
                <c:pt idx="353">
                  <c:v>-0.1135</c:v>
                </c:pt>
                <c:pt idx="354">
                  <c:v>-0.113</c:v>
                </c:pt>
                <c:pt idx="355">
                  <c:v>-0.1125</c:v>
                </c:pt>
                <c:pt idx="356">
                  <c:v>-0.112</c:v>
                </c:pt>
                <c:pt idx="357">
                  <c:v>-0.1115</c:v>
                </c:pt>
                <c:pt idx="358">
                  <c:v>-0.111</c:v>
                </c:pt>
                <c:pt idx="359">
                  <c:v>-0.1105</c:v>
                </c:pt>
                <c:pt idx="360">
                  <c:v>-0.11</c:v>
                </c:pt>
                <c:pt idx="361">
                  <c:v>-0.1095</c:v>
                </c:pt>
                <c:pt idx="362">
                  <c:v>-0.109</c:v>
                </c:pt>
                <c:pt idx="363">
                  <c:v>-0.1085</c:v>
                </c:pt>
                <c:pt idx="364">
                  <c:v>-0.108</c:v>
                </c:pt>
                <c:pt idx="365">
                  <c:v>-0.1075</c:v>
                </c:pt>
                <c:pt idx="366">
                  <c:v>-0.107</c:v>
                </c:pt>
                <c:pt idx="367">
                  <c:v>-0.1065</c:v>
                </c:pt>
                <c:pt idx="368">
                  <c:v>-0.106</c:v>
                </c:pt>
                <c:pt idx="369">
                  <c:v>-0.1055</c:v>
                </c:pt>
                <c:pt idx="370">
                  <c:v>-0.105</c:v>
                </c:pt>
                <c:pt idx="371">
                  <c:v>-0.1045</c:v>
                </c:pt>
                <c:pt idx="372">
                  <c:v>-0.104</c:v>
                </c:pt>
                <c:pt idx="373">
                  <c:v>-0.10349999999999999</c:v>
                </c:pt>
                <c:pt idx="374">
                  <c:v>-0.10299999999999999</c:v>
                </c:pt>
                <c:pt idx="375">
                  <c:v>-0.10249999999999999</c:v>
                </c:pt>
                <c:pt idx="376">
                  <c:v>-0.10199999999999999</c:v>
                </c:pt>
                <c:pt idx="377">
                  <c:v>-0.10150000000000001</c:v>
                </c:pt>
                <c:pt idx="378">
                  <c:v>-0.10100000000000001</c:v>
                </c:pt>
                <c:pt idx="379">
                  <c:v>-0.10050000000000001</c:v>
                </c:pt>
                <c:pt idx="380">
                  <c:v>-0.1</c:v>
                </c:pt>
                <c:pt idx="381">
                  <c:v>-9.9500000000000005E-2</c:v>
                </c:pt>
                <c:pt idx="382">
                  <c:v>-9.9000000000000005E-2</c:v>
                </c:pt>
                <c:pt idx="383">
                  <c:v>-9.8500000000000004E-2</c:v>
                </c:pt>
                <c:pt idx="384">
                  <c:v>-9.8000000000000004E-2</c:v>
                </c:pt>
                <c:pt idx="385">
                  <c:v>-9.7500000000000003E-2</c:v>
                </c:pt>
                <c:pt idx="386">
                  <c:v>-9.7000000000000003E-2</c:v>
                </c:pt>
                <c:pt idx="387">
                  <c:v>-9.6500000000000002E-2</c:v>
                </c:pt>
                <c:pt idx="388">
                  <c:v>-9.6000000000000002E-2</c:v>
                </c:pt>
                <c:pt idx="389">
                  <c:v>-9.5500000000000002E-2</c:v>
                </c:pt>
                <c:pt idx="390">
                  <c:v>-9.5000000000000001E-2</c:v>
                </c:pt>
                <c:pt idx="391">
                  <c:v>-9.4500000000000001E-2</c:v>
                </c:pt>
                <c:pt idx="392">
                  <c:v>-9.4E-2</c:v>
                </c:pt>
                <c:pt idx="393">
                  <c:v>-9.35E-2</c:v>
                </c:pt>
                <c:pt idx="394">
                  <c:v>-9.2999999999999999E-2</c:v>
                </c:pt>
                <c:pt idx="395">
                  <c:v>-9.2499999999999999E-2</c:v>
                </c:pt>
                <c:pt idx="396">
                  <c:v>-9.1999999999999998E-2</c:v>
                </c:pt>
                <c:pt idx="397">
                  <c:v>-9.1499999999999998E-2</c:v>
                </c:pt>
                <c:pt idx="398">
                  <c:v>-9.0999999999999998E-2</c:v>
                </c:pt>
                <c:pt idx="399">
                  <c:v>-9.0499999999999997E-2</c:v>
                </c:pt>
                <c:pt idx="400">
                  <c:v>-0.09</c:v>
                </c:pt>
                <c:pt idx="401">
                  <c:v>-8.9499999999999996E-2</c:v>
                </c:pt>
                <c:pt idx="402">
                  <c:v>-8.8999999999999996E-2</c:v>
                </c:pt>
                <c:pt idx="403">
                  <c:v>-8.8499999999999995E-2</c:v>
                </c:pt>
                <c:pt idx="404">
                  <c:v>-8.7999999999999995E-2</c:v>
                </c:pt>
                <c:pt idx="405">
                  <c:v>-8.7499999999999994E-2</c:v>
                </c:pt>
                <c:pt idx="406">
                  <c:v>-8.6999999999999994E-2</c:v>
                </c:pt>
                <c:pt idx="407">
                  <c:v>-8.6499999999999994E-2</c:v>
                </c:pt>
                <c:pt idx="408">
                  <c:v>-8.5999999999999993E-2</c:v>
                </c:pt>
                <c:pt idx="409">
                  <c:v>-8.5500000000000007E-2</c:v>
                </c:pt>
                <c:pt idx="410">
                  <c:v>-8.5000000000000006E-2</c:v>
                </c:pt>
                <c:pt idx="411">
                  <c:v>-8.4500000000000006E-2</c:v>
                </c:pt>
                <c:pt idx="412">
                  <c:v>-8.4000000000000005E-2</c:v>
                </c:pt>
                <c:pt idx="413">
                  <c:v>-8.3500000000000005E-2</c:v>
                </c:pt>
                <c:pt idx="414">
                  <c:v>-8.3000000000000004E-2</c:v>
                </c:pt>
                <c:pt idx="415">
                  <c:v>-8.2500000000000004E-2</c:v>
                </c:pt>
                <c:pt idx="416">
                  <c:v>-8.2000000000000003E-2</c:v>
                </c:pt>
                <c:pt idx="417">
                  <c:v>-8.1500000000000003E-2</c:v>
                </c:pt>
                <c:pt idx="418">
                  <c:v>-8.1000000000000003E-2</c:v>
                </c:pt>
                <c:pt idx="419">
                  <c:v>-8.0500000000000002E-2</c:v>
                </c:pt>
                <c:pt idx="420">
                  <c:v>-0.08</c:v>
                </c:pt>
                <c:pt idx="421">
                  <c:v>-7.9500000000000001E-2</c:v>
                </c:pt>
                <c:pt idx="422">
                  <c:v>-7.9000000000000001E-2</c:v>
                </c:pt>
                <c:pt idx="423">
                  <c:v>-7.85E-2</c:v>
                </c:pt>
                <c:pt idx="424">
                  <c:v>-7.8E-2</c:v>
                </c:pt>
                <c:pt idx="425">
                  <c:v>-7.7499999999999999E-2</c:v>
                </c:pt>
                <c:pt idx="426">
                  <c:v>-7.6999999999999999E-2</c:v>
                </c:pt>
                <c:pt idx="427">
                  <c:v>-7.6499999999999999E-2</c:v>
                </c:pt>
                <c:pt idx="428">
                  <c:v>-7.5999999999999998E-2</c:v>
                </c:pt>
                <c:pt idx="429">
                  <c:v>-7.5499999999999998E-2</c:v>
                </c:pt>
                <c:pt idx="430">
                  <c:v>-7.4999999999999997E-2</c:v>
                </c:pt>
                <c:pt idx="431">
                  <c:v>-7.4499999999999997E-2</c:v>
                </c:pt>
                <c:pt idx="432">
                  <c:v>-7.3999999999999996E-2</c:v>
                </c:pt>
                <c:pt idx="433">
                  <c:v>-7.3499999999999996E-2</c:v>
                </c:pt>
                <c:pt idx="434">
                  <c:v>-7.2999999999999995E-2</c:v>
                </c:pt>
                <c:pt idx="435">
                  <c:v>-7.2499999999999995E-2</c:v>
                </c:pt>
                <c:pt idx="436">
                  <c:v>-7.1999999999999995E-2</c:v>
                </c:pt>
                <c:pt idx="437">
                  <c:v>-7.1499999999999994E-2</c:v>
                </c:pt>
                <c:pt idx="438">
                  <c:v>-7.0999999999999994E-2</c:v>
                </c:pt>
                <c:pt idx="439">
                  <c:v>-7.0499999999999993E-2</c:v>
                </c:pt>
                <c:pt idx="440">
                  <c:v>-7.0000000000000007E-2</c:v>
                </c:pt>
                <c:pt idx="441">
                  <c:v>-6.9500000000000006E-2</c:v>
                </c:pt>
                <c:pt idx="442">
                  <c:v>-6.9000000000000006E-2</c:v>
                </c:pt>
                <c:pt idx="443">
                  <c:v>-6.8500000000000005E-2</c:v>
                </c:pt>
                <c:pt idx="444">
                  <c:v>-6.8000000000000005E-2</c:v>
                </c:pt>
                <c:pt idx="445">
                  <c:v>-6.7500000000000004E-2</c:v>
                </c:pt>
                <c:pt idx="446">
                  <c:v>-6.7000000000000004E-2</c:v>
                </c:pt>
                <c:pt idx="447">
                  <c:v>-6.6500000000000004E-2</c:v>
                </c:pt>
                <c:pt idx="448">
                  <c:v>-6.6000000000000003E-2</c:v>
                </c:pt>
                <c:pt idx="449">
                  <c:v>-6.5500000000000003E-2</c:v>
                </c:pt>
                <c:pt idx="450">
                  <c:v>-6.5000000000000002E-2</c:v>
                </c:pt>
                <c:pt idx="451">
                  <c:v>-6.4500000000000002E-2</c:v>
                </c:pt>
                <c:pt idx="452">
                  <c:v>-6.4000000000000001E-2</c:v>
                </c:pt>
                <c:pt idx="453">
                  <c:v>-6.3500000000000001E-2</c:v>
                </c:pt>
                <c:pt idx="454">
                  <c:v>-6.3E-2</c:v>
                </c:pt>
                <c:pt idx="455">
                  <c:v>-6.25E-2</c:v>
                </c:pt>
                <c:pt idx="456">
                  <c:v>-6.2E-2</c:v>
                </c:pt>
                <c:pt idx="457">
                  <c:v>-6.1499999999999999E-2</c:v>
                </c:pt>
                <c:pt idx="458">
                  <c:v>-6.0999999999999999E-2</c:v>
                </c:pt>
                <c:pt idx="459">
                  <c:v>-6.0499999999999998E-2</c:v>
                </c:pt>
                <c:pt idx="460">
                  <c:v>-0.06</c:v>
                </c:pt>
                <c:pt idx="461">
                  <c:v>-5.9499999999999997E-2</c:v>
                </c:pt>
                <c:pt idx="462">
                  <c:v>-5.8999999999999997E-2</c:v>
                </c:pt>
                <c:pt idx="463">
                  <c:v>-5.8500000000000003E-2</c:v>
                </c:pt>
                <c:pt idx="464">
                  <c:v>-5.8000000000000003E-2</c:v>
                </c:pt>
                <c:pt idx="465">
                  <c:v>-5.7500000000000002E-2</c:v>
                </c:pt>
                <c:pt idx="466">
                  <c:v>-5.7000000000000002E-2</c:v>
                </c:pt>
                <c:pt idx="467">
                  <c:v>-5.6500000000000002E-2</c:v>
                </c:pt>
                <c:pt idx="468">
                  <c:v>-5.6000000000000001E-2</c:v>
                </c:pt>
                <c:pt idx="469">
                  <c:v>-5.5500000000000001E-2</c:v>
                </c:pt>
                <c:pt idx="470">
                  <c:v>-5.5E-2</c:v>
                </c:pt>
                <c:pt idx="471">
                  <c:v>-5.45E-2</c:v>
                </c:pt>
                <c:pt idx="472">
                  <c:v>-5.3999999999999999E-2</c:v>
                </c:pt>
                <c:pt idx="473">
                  <c:v>-5.3499999999999999E-2</c:v>
                </c:pt>
                <c:pt idx="474">
                  <c:v>-5.2999999999999999E-2</c:v>
                </c:pt>
                <c:pt idx="475">
                  <c:v>-5.2499999999999998E-2</c:v>
                </c:pt>
                <c:pt idx="476">
                  <c:v>-5.1999999999999998E-2</c:v>
                </c:pt>
                <c:pt idx="477">
                  <c:v>-5.1499999999999997E-2</c:v>
                </c:pt>
                <c:pt idx="478">
                  <c:v>-5.0999999999999997E-2</c:v>
                </c:pt>
                <c:pt idx="479">
                  <c:v>-5.0500000000000003E-2</c:v>
                </c:pt>
                <c:pt idx="480">
                  <c:v>-0.05</c:v>
                </c:pt>
                <c:pt idx="481">
                  <c:v>-4.9500000000000002E-2</c:v>
                </c:pt>
                <c:pt idx="482">
                  <c:v>-4.9000000000000002E-2</c:v>
                </c:pt>
                <c:pt idx="483">
                  <c:v>-4.8500000000000001E-2</c:v>
                </c:pt>
                <c:pt idx="484">
                  <c:v>-4.8000000000000001E-2</c:v>
                </c:pt>
                <c:pt idx="485">
                  <c:v>-4.7500000000000001E-2</c:v>
                </c:pt>
                <c:pt idx="486">
                  <c:v>-4.7E-2</c:v>
                </c:pt>
                <c:pt idx="487">
                  <c:v>-4.65E-2</c:v>
                </c:pt>
                <c:pt idx="488">
                  <c:v>-4.5999999999999999E-2</c:v>
                </c:pt>
                <c:pt idx="489">
                  <c:v>-4.5499999999999999E-2</c:v>
                </c:pt>
                <c:pt idx="490">
                  <c:v>-4.4999999999999998E-2</c:v>
                </c:pt>
                <c:pt idx="491">
                  <c:v>-4.4499999999999998E-2</c:v>
                </c:pt>
                <c:pt idx="492">
                  <c:v>-4.3999999999999997E-2</c:v>
                </c:pt>
                <c:pt idx="493">
                  <c:v>-4.3499999999999997E-2</c:v>
                </c:pt>
                <c:pt idx="494">
                  <c:v>-4.2999999999999997E-2</c:v>
                </c:pt>
                <c:pt idx="495">
                  <c:v>-4.2500000000000003E-2</c:v>
                </c:pt>
                <c:pt idx="496">
                  <c:v>-4.2000000000000003E-2</c:v>
                </c:pt>
                <c:pt idx="497">
                  <c:v>-4.1500000000000002E-2</c:v>
                </c:pt>
                <c:pt idx="498">
                  <c:v>-4.1000000000000002E-2</c:v>
                </c:pt>
                <c:pt idx="499">
                  <c:v>-4.0500000000000001E-2</c:v>
                </c:pt>
                <c:pt idx="500">
                  <c:v>-0.04</c:v>
                </c:pt>
                <c:pt idx="501">
                  <c:v>-3.95E-2</c:v>
                </c:pt>
                <c:pt idx="502">
                  <c:v>-3.9E-2</c:v>
                </c:pt>
                <c:pt idx="503">
                  <c:v>-3.85E-2</c:v>
                </c:pt>
                <c:pt idx="504">
                  <c:v>-3.7999999999999999E-2</c:v>
                </c:pt>
                <c:pt idx="505">
                  <c:v>-3.7499999999999999E-2</c:v>
                </c:pt>
                <c:pt idx="506">
                  <c:v>-3.6999999999999998E-2</c:v>
                </c:pt>
                <c:pt idx="507">
                  <c:v>-3.6499999999999998E-2</c:v>
                </c:pt>
                <c:pt idx="508">
                  <c:v>-3.5999999999999997E-2</c:v>
                </c:pt>
                <c:pt idx="509">
                  <c:v>-3.5499999999999997E-2</c:v>
                </c:pt>
                <c:pt idx="510">
                  <c:v>-3.5000000000000003E-2</c:v>
                </c:pt>
                <c:pt idx="511">
                  <c:v>-3.4500000000000003E-2</c:v>
                </c:pt>
                <c:pt idx="512">
                  <c:v>-3.4000000000000002E-2</c:v>
                </c:pt>
                <c:pt idx="513">
                  <c:v>-3.3500000000000002E-2</c:v>
                </c:pt>
                <c:pt idx="514">
                  <c:v>-3.3000000000000002E-2</c:v>
                </c:pt>
                <c:pt idx="515">
                  <c:v>-3.2500000000000001E-2</c:v>
                </c:pt>
                <c:pt idx="516">
                  <c:v>-3.2000000000000001E-2</c:v>
                </c:pt>
                <c:pt idx="517">
                  <c:v>-3.15E-2</c:v>
                </c:pt>
                <c:pt idx="518">
                  <c:v>-3.1E-2</c:v>
                </c:pt>
                <c:pt idx="519">
                  <c:v>-3.0499999999999999E-2</c:v>
                </c:pt>
                <c:pt idx="520">
                  <c:v>-0.03</c:v>
                </c:pt>
                <c:pt idx="521">
                  <c:v>-2.9499999999999998E-2</c:v>
                </c:pt>
                <c:pt idx="522">
                  <c:v>-2.9000000000000001E-2</c:v>
                </c:pt>
                <c:pt idx="523">
                  <c:v>-2.8500000000000001E-2</c:v>
                </c:pt>
                <c:pt idx="524">
                  <c:v>-2.8000000000000001E-2</c:v>
                </c:pt>
                <c:pt idx="525">
                  <c:v>-2.75E-2</c:v>
                </c:pt>
                <c:pt idx="526">
                  <c:v>-2.7E-2</c:v>
                </c:pt>
                <c:pt idx="527">
                  <c:v>-2.6499999999999999E-2</c:v>
                </c:pt>
                <c:pt idx="528">
                  <c:v>-2.5999999999999999E-2</c:v>
                </c:pt>
                <c:pt idx="529">
                  <c:v>-2.5499999999999998E-2</c:v>
                </c:pt>
                <c:pt idx="530">
                  <c:v>-2.5000000000000001E-2</c:v>
                </c:pt>
                <c:pt idx="531">
                  <c:v>-2.4500000000000001E-2</c:v>
                </c:pt>
                <c:pt idx="532">
                  <c:v>-2.4E-2</c:v>
                </c:pt>
                <c:pt idx="533">
                  <c:v>-2.35E-2</c:v>
                </c:pt>
                <c:pt idx="534">
                  <c:v>-2.3E-2</c:v>
                </c:pt>
                <c:pt idx="535">
                  <c:v>-2.2499999999999999E-2</c:v>
                </c:pt>
                <c:pt idx="536">
                  <c:v>-2.1999999999999999E-2</c:v>
                </c:pt>
                <c:pt idx="537">
                  <c:v>-2.1499999999999998E-2</c:v>
                </c:pt>
                <c:pt idx="538">
                  <c:v>-2.1000000000000001E-2</c:v>
                </c:pt>
                <c:pt idx="539">
                  <c:v>-2.0500000000000001E-2</c:v>
                </c:pt>
                <c:pt idx="540">
                  <c:v>-0.02</c:v>
                </c:pt>
                <c:pt idx="541">
                  <c:v>-1.95E-2</c:v>
                </c:pt>
                <c:pt idx="542">
                  <c:v>-1.9E-2</c:v>
                </c:pt>
                <c:pt idx="543">
                  <c:v>-1.8499999999999999E-2</c:v>
                </c:pt>
                <c:pt idx="544">
                  <c:v>-1.7999999999999999E-2</c:v>
                </c:pt>
                <c:pt idx="545">
                  <c:v>-1.7500000000000002E-2</c:v>
                </c:pt>
                <c:pt idx="546">
                  <c:v>-1.7000000000000001E-2</c:v>
                </c:pt>
                <c:pt idx="547">
                  <c:v>-1.6500000000000001E-2</c:v>
                </c:pt>
                <c:pt idx="548">
                  <c:v>-1.6E-2</c:v>
                </c:pt>
                <c:pt idx="549">
                  <c:v>-1.55E-2</c:v>
                </c:pt>
                <c:pt idx="550">
                  <c:v>-1.4999999999999999E-2</c:v>
                </c:pt>
                <c:pt idx="551">
                  <c:v>-1.4500000000000001E-2</c:v>
                </c:pt>
                <c:pt idx="552">
                  <c:v>-1.4E-2</c:v>
                </c:pt>
                <c:pt idx="553">
                  <c:v>-1.35E-2</c:v>
                </c:pt>
                <c:pt idx="554">
                  <c:v>-1.2999999999999999E-2</c:v>
                </c:pt>
                <c:pt idx="555">
                  <c:v>-1.2500000000000001E-2</c:v>
                </c:pt>
                <c:pt idx="556">
                  <c:v>-1.2E-2</c:v>
                </c:pt>
                <c:pt idx="557">
                  <c:v>-1.15E-2</c:v>
                </c:pt>
                <c:pt idx="558">
                  <c:v>-1.0999999999999999E-2</c:v>
                </c:pt>
                <c:pt idx="559">
                  <c:v>-1.0500000000000001E-2</c:v>
                </c:pt>
                <c:pt idx="560">
                  <c:v>-9.9999999999999499E-3</c:v>
                </c:pt>
                <c:pt idx="561">
                  <c:v>-9.4999999999999495E-3</c:v>
                </c:pt>
                <c:pt idx="562">
                  <c:v>-8.9999999999999507E-3</c:v>
                </c:pt>
                <c:pt idx="563">
                  <c:v>-8.5000000000000093E-3</c:v>
                </c:pt>
                <c:pt idx="564">
                  <c:v>-8.0000000000000106E-3</c:v>
                </c:pt>
                <c:pt idx="565">
                  <c:v>-7.5000000000000101E-3</c:v>
                </c:pt>
                <c:pt idx="566">
                  <c:v>-7.0000000000000097E-3</c:v>
                </c:pt>
                <c:pt idx="567">
                  <c:v>-6.5000000000000101E-3</c:v>
                </c:pt>
                <c:pt idx="568">
                  <c:v>-6.0000000000000097E-3</c:v>
                </c:pt>
                <c:pt idx="569">
                  <c:v>-5.4999999999999997E-3</c:v>
                </c:pt>
                <c:pt idx="570">
                  <c:v>-5.0000000000000001E-3</c:v>
                </c:pt>
                <c:pt idx="571">
                  <c:v>-4.4999999999999997E-3</c:v>
                </c:pt>
                <c:pt idx="572">
                  <c:v>-4.0000000000000001E-3</c:v>
                </c:pt>
                <c:pt idx="573">
                  <c:v>-3.5000000000000001E-3</c:v>
                </c:pt>
                <c:pt idx="574">
                  <c:v>-3.0000000000000001E-3</c:v>
                </c:pt>
                <c:pt idx="575">
                  <c:v>-2.5000000000000001E-3</c:v>
                </c:pt>
                <c:pt idx="576">
                  <c:v>-2E-3</c:v>
                </c:pt>
                <c:pt idx="577">
                  <c:v>-1.5E-3</c:v>
                </c:pt>
                <c:pt idx="578">
                  <c:v>-1E-3</c:v>
                </c:pt>
                <c:pt idx="579">
                  <c:v>-5.0000000000000001E-4</c:v>
                </c:pt>
                <c:pt idx="580">
                  <c:v>0</c:v>
                </c:pt>
                <c:pt idx="581">
                  <c:v>5.0000000000000001E-4</c:v>
                </c:pt>
                <c:pt idx="582">
                  <c:v>1E-3</c:v>
                </c:pt>
                <c:pt idx="583">
                  <c:v>1.5E-3</c:v>
                </c:pt>
                <c:pt idx="584">
                  <c:v>2E-3</c:v>
                </c:pt>
                <c:pt idx="585">
                  <c:v>2.5000000000000001E-3</c:v>
                </c:pt>
                <c:pt idx="586">
                  <c:v>3.0000000000000001E-3</c:v>
                </c:pt>
                <c:pt idx="587">
                  <c:v>3.5000000000000001E-3</c:v>
                </c:pt>
                <c:pt idx="588">
                  <c:v>4.0000000000000001E-3</c:v>
                </c:pt>
                <c:pt idx="589">
                  <c:v>4.4999999999999997E-3</c:v>
                </c:pt>
                <c:pt idx="590">
                  <c:v>5.0000000000000001E-3</c:v>
                </c:pt>
                <c:pt idx="591">
                  <c:v>5.4999999999999997E-3</c:v>
                </c:pt>
                <c:pt idx="592">
                  <c:v>6.0000000000000097E-3</c:v>
                </c:pt>
                <c:pt idx="593">
                  <c:v>6.5000000000000101E-3</c:v>
                </c:pt>
                <c:pt idx="594">
                  <c:v>7.0000000000000097E-3</c:v>
                </c:pt>
                <c:pt idx="595">
                  <c:v>7.5000000000000101E-3</c:v>
                </c:pt>
                <c:pt idx="596">
                  <c:v>8.0000000000000106E-3</c:v>
                </c:pt>
                <c:pt idx="597">
                  <c:v>8.5000000000000093E-3</c:v>
                </c:pt>
                <c:pt idx="598">
                  <c:v>9.0000000000000097E-3</c:v>
                </c:pt>
                <c:pt idx="599">
                  <c:v>9.5000000000000102E-3</c:v>
                </c:pt>
                <c:pt idx="600">
                  <c:v>0.01</c:v>
                </c:pt>
                <c:pt idx="601">
                  <c:v>1.0500000000000001E-2</c:v>
                </c:pt>
                <c:pt idx="602">
                  <c:v>1.0999999999999999E-2</c:v>
                </c:pt>
                <c:pt idx="603">
                  <c:v>1.15E-2</c:v>
                </c:pt>
                <c:pt idx="604">
                  <c:v>1.2E-2</c:v>
                </c:pt>
                <c:pt idx="605">
                  <c:v>1.2500000000000001E-2</c:v>
                </c:pt>
                <c:pt idx="606">
                  <c:v>1.2999999999999999E-2</c:v>
                </c:pt>
                <c:pt idx="607">
                  <c:v>1.35E-2</c:v>
                </c:pt>
                <c:pt idx="608">
                  <c:v>1.4E-2</c:v>
                </c:pt>
                <c:pt idx="609">
                  <c:v>1.4500000000000001E-2</c:v>
                </c:pt>
                <c:pt idx="610">
                  <c:v>1.4999999999999999E-2</c:v>
                </c:pt>
                <c:pt idx="611">
                  <c:v>1.55E-2</c:v>
                </c:pt>
                <c:pt idx="612">
                  <c:v>1.6E-2</c:v>
                </c:pt>
                <c:pt idx="613">
                  <c:v>1.6500000000000001E-2</c:v>
                </c:pt>
                <c:pt idx="614">
                  <c:v>1.7000000000000001E-2</c:v>
                </c:pt>
                <c:pt idx="615">
                  <c:v>1.7500000000000002E-2</c:v>
                </c:pt>
                <c:pt idx="616">
                  <c:v>1.7999999999999999E-2</c:v>
                </c:pt>
                <c:pt idx="617">
                  <c:v>1.8499999999999999E-2</c:v>
                </c:pt>
                <c:pt idx="618">
                  <c:v>1.9E-2</c:v>
                </c:pt>
                <c:pt idx="619">
                  <c:v>1.95E-2</c:v>
                </c:pt>
                <c:pt idx="620">
                  <c:v>0.02</c:v>
                </c:pt>
                <c:pt idx="621">
                  <c:v>2.0500000000000001E-2</c:v>
                </c:pt>
                <c:pt idx="622">
                  <c:v>2.1000000000000001E-2</c:v>
                </c:pt>
                <c:pt idx="623">
                  <c:v>2.1499999999999998E-2</c:v>
                </c:pt>
                <c:pt idx="624">
                  <c:v>2.1999999999999999E-2</c:v>
                </c:pt>
                <c:pt idx="625">
                  <c:v>2.2499999999999999E-2</c:v>
                </c:pt>
                <c:pt idx="626">
                  <c:v>2.3E-2</c:v>
                </c:pt>
                <c:pt idx="627">
                  <c:v>2.35E-2</c:v>
                </c:pt>
                <c:pt idx="628">
                  <c:v>2.4E-2</c:v>
                </c:pt>
                <c:pt idx="629">
                  <c:v>2.4500000000000001E-2</c:v>
                </c:pt>
                <c:pt idx="630">
                  <c:v>2.5000000000000001E-2</c:v>
                </c:pt>
                <c:pt idx="631">
                  <c:v>2.5499999999999998E-2</c:v>
                </c:pt>
                <c:pt idx="632">
                  <c:v>2.5999999999999999E-2</c:v>
                </c:pt>
                <c:pt idx="633">
                  <c:v>2.6499999999999999E-2</c:v>
                </c:pt>
                <c:pt idx="634">
                  <c:v>2.7E-2</c:v>
                </c:pt>
                <c:pt idx="635">
                  <c:v>2.75E-2</c:v>
                </c:pt>
                <c:pt idx="636">
                  <c:v>2.8000000000000001E-2</c:v>
                </c:pt>
                <c:pt idx="637">
                  <c:v>2.8500000000000001E-2</c:v>
                </c:pt>
                <c:pt idx="638">
                  <c:v>2.9000000000000001E-2</c:v>
                </c:pt>
                <c:pt idx="639">
                  <c:v>2.9499999999999998E-2</c:v>
                </c:pt>
                <c:pt idx="640">
                  <c:v>0.03</c:v>
                </c:pt>
                <c:pt idx="641">
                  <c:v>3.0499999999999999E-2</c:v>
                </c:pt>
                <c:pt idx="642">
                  <c:v>3.1E-2</c:v>
                </c:pt>
                <c:pt idx="643">
                  <c:v>3.15E-2</c:v>
                </c:pt>
                <c:pt idx="644">
                  <c:v>3.2000000000000001E-2</c:v>
                </c:pt>
                <c:pt idx="645">
                  <c:v>3.2500000000000001E-2</c:v>
                </c:pt>
                <c:pt idx="646">
                  <c:v>3.3000000000000002E-2</c:v>
                </c:pt>
                <c:pt idx="647">
                  <c:v>3.3500000000000002E-2</c:v>
                </c:pt>
                <c:pt idx="648">
                  <c:v>3.4000000000000002E-2</c:v>
                </c:pt>
                <c:pt idx="649">
                  <c:v>3.4500000000000003E-2</c:v>
                </c:pt>
                <c:pt idx="650">
                  <c:v>3.5000000000000003E-2</c:v>
                </c:pt>
                <c:pt idx="651">
                  <c:v>3.5499999999999997E-2</c:v>
                </c:pt>
                <c:pt idx="652">
                  <c:v>3.5999999999999997E-2</c:v>
                </c:pt>
                <c:pt idx="653">
                  <c:v>3.6499999999999998E-2</c:v>
                </c:pt>
                <c:pt idx="654">
                  <c:v>3.6999999999999998E-2</c:v>
                </c:pt>
                <c:pt idx="655">
                  <c:v>3.7499999999999999E-2</c:v>
                </c:pt>
                <c:pt idx="656">
                  <c:v>3.7999999999999999E-2</c:v>
                </c:pt>
                <c:pt idx="657">
                  <c:v>3.85E-2</c:v>
                </c:pt>
                <c:pt idx="658">
                  <c:v>3.9E-2</c:v>
                </c:pt>
                <c:pt idx="659">
                  <c:v>3.95E-2</c:v>
                </c:pt>
                <c:pt idx="660">
                  <c:v>0.04</c:v>
                </c:pt>
              </c:numCache>
            </c:numRef>
          </c:cat>
          <c:val>
            <c:numRef>
              <c:f>'P1.1.6'!$C$12:$C$672</c:f>
              <c:numCache>
                <c:formatCode>General</c:formatCode>
                <c:ptCount val="661"/>
                <c:pt idx="0">
                  <c:v>-9.9621580871067528E-11</c:v>
                </c:pt>
                <c:pt idx="1">
                  <c:v>-9.9617924675905284E-11</c:v>
                </c:pt>
                <c:pt idx="2">
                  <c:v>-9.9614233155459381E-11</c:v>
                </c:pt>
                <c:pt idx="3">
                  <c:v>-9.9610505968425405E-11</c:v>
                </c:pt>
                <c:pt idx="4">
                  <c:v>-9.9606742770201296E-11</c:v>
                </c:pt>
                <c:pt idx="5">
                  <c:v>-9.9602943212855527E-11</c:v>
                </c:pt>
                <c:pt idx="6">
                  <c:v>-9.9599106945094974E-11</c:v>
                </c:pt>
                <c:pt idx="7">
                  <c:v>-9.9595233612232384E-11</c:v>
                </c:pt>
                <c:pt idx="8">
                  <c:v>-9.9591322856153611E-11</c:v>
                </c:pt>
                <c:pt idx="9">
                  <c:v>-9.9587374315284464E-11</c:v>
                </c:pt>
                <c:pt idx="10">
                  <c:v>-9.9583387624557349E-11</c:v>
                </c:pt>
                <c:pt idx="11">
                  <c:v>-9.9579362415377443E-11</c:v>
                </c:pt>
                <c:pt idx="12">
                  <c:v>-9.9575298315588681E-11</c:v>
                </c:pt>
                <c:pt idx="13">
                  <c:v>-9.957119494943928E-11</c:v>
                </c:pt>
                <c:pt idx="14">
                  <c:v>-9.9567051937547065E-11</c:v>
                </c:pt>
                <c:pt idx="15">
                  <c:v>-9.9562868896864328E-11</c:v>
                </c:pt>
                <c:pt idx="16">
                  <c:v>-9.9558645440642488E-11</c:v>
                </c:pt>
                <c:pt idx="17">
                  <c:v>-9.9554381178396243E-11</c:v>
                </c:pt>
                <c:pt idx="18">
                  <c:v>-9.9550075715867557E-11</c:v>
                </c:pt>
                <c:pt idx="19">
                  <c:v>-9.9545728654989136E-11</c:v>
                </c:pt>
                <c:pt idx="20">
                  <c:v>-9.9541339593847686E-11</c:v>
                </c:pt>
                <c:pt idx="21">
                  <c:v>-9.9536908126646688E-11</c:v>
                </c:pt>
                <c:pt idx="22">
                  <c:v>-9.9532433843668952E-11</c:v>
                </c:pt>
                <c:pt idx="23">
                  <c:v>-9.9527916331238663E-11</c:v>
                </c:pt>
                <c:pt idx="24">
                  <c:v>-9.9523355171683185E-11</c:v>
                </c:pt>
                <c:pt idx="25">
                  <c:v>-9.9518749943294428E-11</c:v>
                </c:pt>
                <c:pt idx="26">
                  <c:v>-9.951410022028987E-11</c:v>
                </c:pt>
                <c:pt idx="27">
                  <c:v>-9.9509405572773176E-11</c:v>
                </c:pt>
                <c:pt idx="28">
                  <c:v>-9.9504665566694423E-11</c:v>
                </c:pt>
                <c:pt idx="29">
                  <c:v>-9.9499879763810028E-11</c:v>
                </c:pt>
                <c:pt idx="30">
                  <c:v>-9.9495047721642237E-11</c:v>
                </c:pt>
                <c:pt idx="31">
                  <c:v>-9.9490168993438116E-11</c:v>
                </c:pt>
                <c:pt idx="32">
                  <c:v>-9.9485243128128349E-11</c:v>
                </c:pt>
                <c:pt idx="33">
                  <c:v>-9.94802696702855E-11</c:v>
                </c:pt>
                <c:pt idx="34">
                  <c:v>-9.9475248160081884E-11</c:v>
                </c:pt>
                <c:pt idx="35">
                  <c:v>-9.9470178133247067E-11</c:v>
                </c:pt>
                <c:pt idx="36">
                  <c:v>-9.9465059121024968E-11</c:v>
                </c:pt>
                <c:pt idx="37">
                  <c:v>-9.9459890650130499E-11</c:v>
                </c:pt>
                <c:pt idx="38">
                  <c:v>-9.9454672242705763E-11</c:v>
                </c:pt>
                <c:pt idx="39">
                  <c:v>-9.9449403416275956E-11</c:v>
                </c:pt>
                <c:pt idx="40">
                  <c:v>-9.9444083683704719E-11</c:v>
                </c:pt>
                <c:pt idx="41">
                  <c:v>-9.9438712553149054E-11</c:v>
                </c:pt>
                <c:pt idx="42">
                  <c:v>-9.9433289528013934E-11</c:v>
                </c:pt>
                <c:pt idx="43">
                  <c:v>-9.9427814106906326E-11</c:v>
                </c:pt>
                <c:pt idx="44">
                  <c:v>-9.9422285783588903E-11</c:v>
                </c:pt>
                <c:pt idx="45">
                  <c:v>-9.9416704046933118E-11</c:v>
                </c:pt>
                <c:pt idx="46">
                  <c:v>-9.94110683808721E-11</c:v>
                </c:pt>
                <c:pt idx="47">
                  <c:v>-9.9405378264352813E-11</c:v>
                </c:pt>
                <c:pt idx="48">
                  <c:v>-9.9399633171287936E-11</c:v>
                </c:pt>
                <c:pt idx="49">
                  <c:v>-9.9393832570507238E-11</c:v>
                </c:pt>
                <c:pt idx="50">
                  <c:v>-9.9387975925708441E-11</c:v>
                </c:pt>
                <c:pt idx="51">
                  <c:v>-9.9382062695407624E-11</c:v>
                </c:pt>
                <c:pt idx="52">
                  <c:v>-9.9376092332889224E-11</c:v>
                </c:pt>
                <c:pt idx="53">
                  <c:v>-9.9370064286155391E-11</c:v>
                </c:pt>
                <c:pt idx="54">
                  <c:v>-9.9363977997875014E-11</c:v>
                </c:pt>
                <c:pt idx="55">
                  <c:v>-9.9357832905332206E-11</c:v>
                </c:pt>
                <c:pt idx="56">
                  <c:v>-9.9351628440374241E-11</c:v>
                </c:pt>
                <c:pt idx="57">
                  <c:v>-9.9345364029359041E-11</c:v>
                </c:pt>
                <c:pt idx="58">
                  <c:v>-9.9339039093102122E-11</c:v>
                </c:pt>
                <c:pt idx="59">
                  <c:v>-9.9332653046823083E-11</c:v>
                </c:pt>
                <c:pt idx="60">
                  <c:v>-9.9326205300091466E-11</c:v>
                </c:pt>
                <c:pt idx="61">
                  <c:v>-9.9319695256772279E-11</c:v>
                </c:pt>
                <c:pt idx="62">
                  <c:v>-9.931312231497078E-11</c:v>
                </c:pt>
                <c:pt idx="63">
                  <c:v>-9.9306485866976864E-11</c:v>
                </c:pt>
                <c:pt idx="64">
                  <c:v>-9.9299785299208864E-11</c:v>
                </c:pt>
                <c:pt idx="65">
                  <c:v>-9.9293019992156892E-11</c:v>
                </c:pt>
                <c:pt idx="66">
                  <c:v>-9.9286189320325425E-11</c:v>
                </c:pt>
                <c:pt idx="67">
                  <c:v>-9.9279292652175597E-11</c:v>
                </c:pt>
                <c:pt idx="68">
                  <c:v>-9.9272329350066768E-11</c:v>
                </c:pt>
                <c:pt idx="69">
                  <c:v>-9.9265298770197546E-11</c:v>
                </c:pt>
                <c:pt idx="70">
                  <c:v>-9.9258200262546296E-11</c:v>
                </c:pt>
                <c:pt idx="71">
                  <c:v>-9.9251033170811027E-11</c:v>
                </c:pt>
                <c:pt idx="72">
                  <c:v>-9.92437968323487E-11</c:v>
                </c:pt>
                <c:pt idx="73">
                  <c:v>-9.9236490578114011E-11</c:v>
                </c:pt>
                <c:pt idx="74">
                  <c:v>-9.9229113732597487E-11</c:v>
                </c:pt>
                <c:pt idx="75">
                  <c:v>-9.9221665613763018E-11</c:v>
                </c:pt>
                <c:pt idx="76">
                  <c:v>-9.9214145532984852E-11</c:v>
                </c:pt>
                <c:pt idx="77">
                  <c:v>-9.9206552794983873E-11</c:v>
                </c:pt>
                <c:pt idx="78">
                  <c:v>-9.9198886697763405E-11</c:v>
                </c:pt>
                <c:pt idx="79">
                  <c:v>-9.9191146532544163E-11</c:v>
                </c:pt>
                <c:pt idx="80">
                  <c:v>-9.9183331583698879E-11</c:v>
                </c:pt>
                <c:pt idx="81">
                  <c:v>-9.9175441128686025E-11</c:v>
                </c:pt>
                <c:pt idx="82">
                  <c:v>-9.9167474437983056E-11</c:v>
                </c:pt>
                <c:pt idx="83">
                  <c:v>-9.9159430775018956E-11</c:v>
                </c:pt>
                <c:pt idx="84">
                  <c:v>-9.9151309396106139E-11</c:v>
                </c:pt>
                <c:pt idx="85">
                  <c:v>-9.9143109550371701E-11</c:v>
                </c:pt>
                <c:pt idx="86">
                  <c:v>-9.9134830479687951E-11</c:v>
                </c:pt>
                <c:pt idx="87">
                  <c:v>-9.9126471418602384E-11</c:v>
                </c:pt>
                <c:pt idx="88">
                  <c:v>-9.9118031594266841E-11</c:v>
                </c:pt>
                <c:pt idx="89">
                  <c:v>-9.9109510226366126E-11</c:v>
                </c:pt>
                <c:pt idx="90">
                  <c:v>-9.9100906527045784E-11</c:v>
                </c:pt>
                <c:pt idx="91">
                  <c:v>-9.9092219700839345E-11</c:v>
                </c:pt>
                <c:pt idx="92">
                  <c:v>-9.9083448944594683E-11</c:v>
                </c:pt>
                <c:pt idx="93">
                  <c:v>-9.9074593447399862E-11</c:v>
                </c:pt>
                <c:pt idx="94">
                  <c:v>-9.9065652390508036E-11</c:v>
                </c:pt>
                <c:pt idx="95">
                  <c:v>-9.90566249472619E-11</c:v>
                </c:pt>
                <c:pt idx="96">
                  <c:v>-9.9047510283017139E-11</c:v>
                </c:pt>
                <c:pt idx="97">
                  <c:v>-9.903830755506532E-11</c:v>
                </c:pt>
                <c:pt idx="98">
                  <c:v>-9.9029015912555952E-11</c:v>
                </c:pt>
                <c:pt idx="99">
                  <c:v>-9.9019634496417833E-11</c:v>
                </c:pt>
                <c:pt idx="100">
                  <c:v>-9.9010162439279633E-11</c:v>
                </c:pt>
                <c:pt idx="101">
                  <c:v>-9.9000598865389652E-11</c:v>
                </c:pt>
                <c:pt idx="102">
                  <c:v>-9.8990942890534944E-11</c:v>
                </c:pt>
                <c:pt idx="103">
                  <c:v>-9.8981193621959443E-11</c:v>
                </c:pt>
                <c:pt idx="104">
                  <c:v>-9.8971350158281552E-11</c:v>
                </c:pt>
                <c:pt idx="105">
                  <c:v>-9.8961411589410706E-11</c:v>
                </c:pt>
                <c:pt idx="106">
                  <c:v>-9.8951376996463226E-11</c:v>
                </c:pt>
                <c:pt idx="107">
                  <c:v>-9.8941245451677486E-11</c:v>
                </c:pt>
                <c:pt idx="108">
                  <c:v>-9.8931016018327989E-11</c:v>
                </c:pt>
                <c:pt idx="109">
                  <c:v>-9.892068775063882E-11</c:v>
                </c:pt>
                <c:pt idx="110">
                  <c:v>-9.8910259693696214E-11</c:v>
                </c:pt>
                <c:pt idx="111">
                  <c:v>-9.8899730883360278E-11</c:v>
                </c:pt>
                <c:pt idx="112">
                  <c:v>-9.8889100346175789E-11</c:v>
                </c:pt>
                <c:pt idx="113">
                  <c:v>-9.8878367099282269E-11</c:v>
                </c:pt>
                <c:pt idx="114">
                  <c:v>-9.8867530150323054E-11</c:v>
                </c:pt>
                <c:pt idx="115">
                  <c:v>-9.8856588497353591E-11</c:v>
                </c:pt>
                <c:pt idx="116">
                  <c:v>-9.8845541128748728E-11</c:v>
                </c:pt>
                <c:pt idx="117">
                  <c:v>-9.8834387023109309E-11</c:v>
                </c:pt>
                <c:pt idx="118">
                  <c:v>-9.8823125149167601E-11</c:v>
                </c:pt>
                <c:pt idx="119">
                  <c:v>-9.8811754465692019E-11</c:v>
                </c:pt>
                <c:pt idx="120">
                  <c:v>-9.8800273921390881E-11</c:v>
                </c:pt>
                <c:pt idx="121">
                  <c:v>-9.8788682454815144E-11</c:v>
                </c:pt>
                <c:pt idx="122">
                  <c:v>-9.8776978994260298E-11</c:v>
                </c:pt>
                <c:pt idx="123">
                  <c:v>-9.8765162457667295E-11</c:v>
                </c:pt>
                <c:pt idx="124">
                  <c:v>-9.8753231752522488E-11</c:v>
                </c:pt>
                <c:pt idx="125">
                  <c:v>-9.8741185775756621E-11</c:v>
                </c:pt>
                <c:pt idx="126">
                  <c:v>-9.8729023413642835E-11</c:v>
                </c:pt>
                <c:pt idx="127">
                  <c:v>-9.8716743541693748E-11</c:v>
                </c:pt>
                <c:pt idx="128">
                  <c:v>-9.8704345024557403E-11</c:v>
                </c:pt>
                <c:pt idx="129">
                  <c:v>-9.8691826715912352E-11</c:v>
                </c:pt>
                <c:pt idx="130">
                  <c:v>-9.8679187458361694E-11</c:v>
                </c:pt>
                <c:pt idx="131">
                  <c:v>-9.8666426083325999E-11</c:v>
                </c:pt>
                <c:pt idx="132">
                  <c:v>-9.8653541410935352E-11</c:v>
                </c:pt>
                <c:pt idx="133">
                  <c:v>-9.8640532249920154E-11</c:v>
                </c:pt>
                <c:pt idx="134">
                  <c:v>-9.8627397397501064E-11</c:v>
                </c:pt>
                <c:pt idx="135">
                  <c:v>-9.8614135639277811E-11</c:v>
                </c:pt>
                <c:pt idx="136">
                  <c:v>-9.8600745749116849E-11</c:v>
                </c:pt>
                <c:pt idx="137">
                  <c:v>-9.8587226489038012E-11</c:v>
                </c:pt>
                <c:pt idx="138">
                  <c:v>-9.857357660910009E-11</c:v>
                </c:pt>
                <c:pt idx="139">
                  <c:v>-9.8559794847285228E-11</c:v>
                </c:pt>
                <c:pt idx="140">
                  <c:v>-9.8545879929382245E-11</c:v>
                </c:pt>
                <c:pt idx="141">
                  <c:v>-9.8531830568868862E-11</c:v>
                </c:pt>
                <c:pt idx="142">
                  <c:v>-9.8517645466792732E-11</c:v>
                </c:pt>
                <c:pt idx="143">
                  <c:v>-9.850332331165129E-11</c:v>
                </c:pt>
                <c:pt idx="144">
                  <c:v>-9.8488862779270599E-11</c:v>
                </c:pt>
                <c:pt idx="145">
                  <c:v>-9.8474262532682848E-11</c:v>
                </c:pt>
                <c:pt idx="146">
                  <c:v>-9.8459521222002768E-11</c:v>
                </c:pt>
                <c:pt idx="147">
                  <c:v>-9.8444637484302829E-11</c:v>
                </c:pt>
                <c:pt idx="148">
                  <c:v>-9.8429609943487212E-11</c:v>
                </c:pt>
                <c:pt idx="149">
                  <c:v>-9.8414437210164578E-11</c:v>
                </c:pt>
                <c:pt idx="150">
                  <c:v>-9.8399117881519637E-11</c:v>
                </c:pt>
                <c:pt idx="151">
                  <c:v>-9.8383650541183421E-11</c:v>
                </c:pt>
                <c:pt idx="152">
                  <c:v>-9.8368033759102369E-11</c:v>
                </c:pt>
                <c:pt idx="153">
                  <c:v>-9.835226609140606E-11</c:v>
                </c:pt>
                <c:pt idx="154">
                  <c:v>-9.8336346080273759E-11</c:v>
                </c:pt>
                <c:pt idx="155">
                  <c:v>-9.8320272253799567E-11</c:v>
                </c:pt>
                <c:pt idx="156">
                  <c:v>-9.8304043125856474E-11</c:v>
                </c:pt>
                <c:pt idx="157">
                  <c:v>-9.8287657195958766E-11</c:v>
                </c:pt>
                <c:pt idx="158">
                  <c:v>-9.8271112949123471E-11</c:v>
                </c:pt>
                <c:pt idx="159">
                  <c:v>-9.8254408855730165E-11</c:v>
                </c:pt>
                <c:pt idx="160">
                  <c:v>-9.8237543371379627E-11</c:v>
                </c:pt>
                <c:pt idx="161">
                  <c:v>-9.8220514936751009E-11</c:v>
                </c:pt>
                <c:pt idx="162">
                  <c:v>-9.820332197745766E-11</c:v>
                </c:pt>
                <c:pt idx="163">
                  <c:v>-9.8185962903901635E-11</c:v>
                </c:pt>
                <c:pt idx="164">
                  <c:v>-9.8168436111126594E-11</c:v>
                </c:pt>
                <c:pt idx="165">
                  <c:v>-9.8150739978669577E-11</c:v>
                </c:pt>
                <c:pt idx="166">
                  <c:v>-9.8132872870411028E-11</c:v>
                </c:pt>
                <c:pt idx="167">
                  <c:v>-9.811483313442365E-11</c:v>
                </c:pt>
                <c:pt idx="168">
                  <c:v>-9.8096619102819567E-11</c:v>
                </c:pt>
                <c:pt idx="169">
                  <c:v>-9.8078229091596208E-11</c:v>
                </c:pt>
                <c:pt idx="170">
                  <c:v>-9.8059661400480566E-11</c:v>
                </c:pt>
                <c:pt idx="171">
                  <c:v>-9.8040914312771998E-11</c:v>
                </c:pt>
                <c:pt idx="172">
                  <c:v>-9.8021986095183477E-11</c:v>
                </c:pt>
                <c:pt idx="173">
                  <c:v>-9.8002874997681448E-11</c:v>
                </c:pt>
                <c:pt idx="174">
                  <c:v>-9.798357925332388E-11</c:v>
                </c:pt>
                <c:pt idx="175">
                  <c:v>-9.7964097078096988E-11</c:v>
                </c:pt>
                <c:pt idx="176">
                  <c:v>-9.7944426670750286E-11</c:v>
                </c:pt>
                <c:pt idx="177">
                  <c:v>-9.7924566212630042E-11</c:v>
                </c:pt>
                <c:pt idx="178">
                  <c:v>-9.7904513867511102E-11</c:v>
                </c:pt>
                <c:pt idx="179">
                  <c:v>-9.7884267781427149E-11</c:v>
                </c:pt>
                <c:pt idx="180">
                  <c:v>-9.7863826082499308E-11</c:v>
                </c:pt>
                <c:pt idx="181">
                  <c:v>-9.7843186880763032E-11</c:v>
                </c:pt>
                <c:pt idx="182">
                  <c:v>-9.7822348267993416E-11</c:v>
                </c:pt>
                <c:pt idx="183">
                  <c:v>-9.7801308317528691E-11</c:v>
                </c:pt>
                <c:pt idx="184">
                  <c:v>-9.7780065084092218E-11</c:v>
                </c:pt>
                <c:pt idx="185">
                  <c:v>-9.7758616603612482E-11</c:v>
                </c:pt>
                <c:pt idx="186">
                  <c:v>-9.7736960893041644E-11</c:v>
                </c:pt>
                <c:pt idx="187">
                  <c:v>-9.7715095950172087E-11</c:v>
                </c:pt>
                <c:pt idx="188">
                  <c:v>-9.769301975345136E-11</c:v>
                </c:pt>
                <c:pt idx="189">
                  <c:v>-9.7670730261795263E-11</c:v>
                </c:pt>
                <c:pt idx="190">
                  <c:v>-9.7648225414399105E-11</c:v>
                </c:pt>
                <c:pt idx="191">
                  <c:v>-9.762550313054722E-11</c:v>
                </c:pt>
                <c:pt idx="192">
                  <c:v>-9.7602561309420521E-11</c:v>
                </c:pt>
                <c:pt idx="193">
                  <c:v>-9.7579397829902381E-11</c:v>
                </c:pt>
                <c:pt idx="194">
                  <c:v>-9.7556010550382399E-11</c:v>
                </c:pt>
                <c:pt idx="195">
                  <c:v>-9.7532397308558433E-11</c:v>
                </c:pt>
                <c:pt idx="196">
                  <c:v>-9.7508555921236742E-11</c:v>
                </c:pt>
                <c:pt idx="197">
                  <c:v>-9.7484484184130055E-11</c:v>
                </c:pt>
                <c:pt idx="198">
                  <c:v>-9.7460179871653822E-11</c:v>
                </c:pt>
                <c:pt idx="199">
                  <c:v>-9.7435640736720404E-11</c:v>
                </c:pt>
                <c:pt idx="200">
                  <c:v>-9.7410864510531374E-11</c:v>
                </c:pt>
                <c:pt idx="201">
                  <c:v>-9.7385848902367679E-11</c:v>
                </c:pt>
                <c:pt idx="202">
                  <c:v>-9.7360591599377927E-11</c:v>
                </c:pt>
                <c:pt idx="203">
                  <c:v>-9.7335090266364467E-11</c:v>
                </c:pt>
                <c:pt idx="204">
                  <c:v>-9.7309342545567548E-11</c:v>
                </c:pt>
                <c:pt idx="205">
                  <c:v>-9.7283346056447314E-11</c:v>
                </c:pt>
                <c:pt idx="206">
                  <c:v>-9.7257098395463691E-11</c:v>
                </c:pt>
                <c:pt idx="207">
                  <c:v>-9.7230597135854165E-11</c:v>
                </c:pt>
                <c:pt idx="208">
                  <c:v>-9.7203839827409455E-11</c:v>
                </c:pt>
                <c:pt idx="209">
                  <c:v>-9.717682399624691E-11</c:v>
                </c:pt>
                <c:pt idx="210">
                  <c:v>-9.7149547144581838E-11</c:v>
                </c:pt>
                <c:pt idx="211">
                  <c:v>-9.7122006750496528E-11</c:v>
                </c:pt>
                <c:pt idx="212">
                  <c:v>-9.7094200267707136E-11</c:v>
                </c:pt>
                <c:pt idx="213">
                  <c:v>-9.7066125125328202E-11</c:v>
                </c:pt>
                <c:pt idx="214">
                  <c:v>-9.7037778727635001E-11</c:v>
                </c:pt>
                <c:pt idx="215">
                  <c:v>-9.7009158453823507E-11</c:v>
                </c:pt>
                <c:pt idx="216">
                  <c:v>-9.6980261657768168E-11</c:v>
                </c:pt>
                <c:pt idx="217">
                  <c:v>-9.6951085667777142E-11</c:v>
                </c:pt>
                <c:pt idx="218">
                  <c:v>-9.6921627786345383E-11</c:v>
                </c:pt>
                <c:pt idx="219">
                  <c:v>-9.6891885289905166E-11</c:v>
                </c:pt>
                <c:pt idx="220">
                  <c:v>-9.6861855428574315E-11</c:v>
                </c:pt>
                <c:pt idx="221">
                  <c:v>-9.683153542590195E-11</c:v>
                </c:pt>
                <c:pt idx="222">
                  <c:v>-9.6800922478611801E-11</c:v>
                </c:pt>
                <c:pt idx="223">
                  <c:v>-9.6770013756342978E-11</c:v>
                </c:pt>
                <c:pt idx="224">
                  <c:v>-9.6738806401388374E-11</c:v>
                </c:pt>
                <c:pt idx="225">
                  <c:v>-9.6707297528430342E-11</c:v>
                </c:pt>
                <c:pt idx="226">
                  <c:v>-9.6675484224274022E-11</c:v>
                </c:pt>
                <c:pt idx="227">
                  <c:v>-9.664336354757795E-11</c:v>
                </c:pt>
                <c:pt idx="228">
                  <c:v>-9.661093252858211E-11</c:v>
                </c:pt>
                <c:pt idx="229">
                  <c:v>-9.6578188168833423E-11</c:v>
                </c:pt>
                <c:pt idx="230">
                  <c:v>-9.6545127440908389E-11</c:v>
                </c:pt>
                <c:pt idx="231">
                  <c:v>-9.6511747288133353E-11</c:v>
                </c:pt>
                <c:pt idx="232">
                  <c:v>-9.6478044624301779E-11</c:v>
                </c:pt>
                <c:pt idx="233">
                  <c:v>-9.6444016333388926E-11</c:v>
                </c:pt>
                <c:pt idx="234">
                  <c:v>-9.6409659269263752E-11</c:v>
                </c:pt>
                <c:pt idx="235">
                  <c:v>-9.6374970255398101E-11</c:v>
                </c:pt>
                <c:pt idx="236">
                  <c:v>-9.6339946084572918E-11</c:v>
                </c:pt>
                <c:pt idx="237">
                  <c:v>-9.6304583518581804E-11</c:v>
                </c:pt>
                <c:pt idx="238">
                  <c:v>-9.6268879287931529E-11</c:v>
                </c:pt>
                <c:pt idx="239">
                  <c:v>-9.6232830091539844E-11</c:v>
                </c:pt>
                <c:pt idx="240">
                  <c:v>-9.6196432596430228E-11</c:v>
                </c:pt>
                <c:pt idx="241">
                  <c:v>-9.6159683437423718E-11</c:v>
                </c:pt>
                <c:pt idx="242">
                  <c:v>-9.6122579216827816E-11</c:v>
                </c:pt>
                <c:pt idx="243">
                  <c:v>-9.6085116504122316E-11</c:v>
                </c:pt>
                <c:pt idx="244">
                  <c:v>-9.6047291835642167E-11</c:v>
                </c:pt>
                <c:pt idx="245">
                  <c:v>-9.6009101714257177E-11</c:v>
                </c:pt>
                <c:pt idx="246">
                  <c:v>-9.5970542609048751E-11</c:v>
                </c:pt>
                <c:pt idx="247">
                  <c:v>-9.5931610954983401E-11</c:v>
                </c:pt>
                <c:pt idx="248">
                  <c:v>-9.5892303152583115E-11</c:v>
                </c:pt>
                <c:pt idx="249">
                  <c:v>-9.5852615567592635E-11</c:v>
                </c:pt>
                <c:pt idx="250">
                  <c:v>-9.5812544530643315E-11</c:v>
                </c:pt>
                <c:pt idx="251">
                  <c:v>-9.5772086336914009E-11</c:v>
                </c:pt>
                <c:pt idx="252">
                  <c:v>-9.5731237245788472E-11</c:v>
                </c:pt>
                <c:pt idx="253">
                  <c:v>-9.5689993480509512E-11</c:v>
                </c:pt>
                <c:pt idx="254">
                  <c:v>-9.5648351227829786E-11</c:v>
                </c:pt>
                <c:pt idx="255">
                  <c:v>-9.5606306637659272E-11</c:v>
                </c:pt>
                <c:pt idx="256">
                  <c:v>-9.5563855822709352E-11</c:v>
                </c:pt>
                <c:pt idx="257">
                  <c:v>-9.5520994858133299E-11</c:v>
                </c:pt>
                <c:pt idx="258">
                  <c:v>-9.5477719781163454E-11</c:v>
                </c:pt>
                <c:pt idx="259">
                  <c:v>-9.5434026590744901E-11</c:v>
                </c:pt>
                <c:pt idx="260">
                  <c:v>-9.5389911247165406E-11</c:v>
                </c:pt>
                <c:pt idx="261">
                  <c:v>-9.5345369671682077E-11</c:v>
                </c:pt>
                <c:pt idx="262">
                  <c:v>-9.5300397746144144E-11</c:v>
                </c:pt>
                <c:pt idx="263">
                  <c:v>-9.5254991312612246E-11</c:v>
                </c:pt>
                <c:pt idx="264">
                  <c:v>-9.5209146172974024E-11</c:v>
                </c:pt>
                <c:pt idx="265">
                  <c:v>-9.5162858088555933E-11</c:v>
                </c:pt>
                <c:pt idx="266">
                  <c:v>-9.5116122779731414E-11</c:v>
                </c:pt>
                <c:pt idx="267">
                  <c:v>-9.506893592552515E-11</c:v>
                </c:pt>
                <c:pt idx="268">
                  <c:v>-9.5021293163213619E-11</c:v>
                </c:pt>
                <c:pt idx="269">
                  <c:v>-9.4973190087921689E-11</c:v>
                </c:pt>
                <c:pt idx="270">
                  <c:v>-9.4924622252215381E-11</c:v>
                </c:pt>
                <c:pt idx="271">
                  <c:v>-9.4875585165690665E-11</c:v>
                </c:pt>
                <c:pt idx="272">
                  <c:v>-9.4826074294558324E-11</c:v>
                </c:pt>
                <c:pt idx="273">
                  <c:v>-9.477608506122472E-11</c:v>
                </c:pt>
                <c:pt idx="274">
                  <c:v>-9.4725612843868612E-11</c:v>
                </c:pt>
                <c:pt idx="275">
                  <c:v>-9.4674652976013868E-11</c:v>
                </c:pt>
                <c:pt idx="276">
                  <c:v>-9.4623200746097904E-11</c:v>
                </c:pt>
                <c:pt idx="277">
                  <c:v>-9.457125139703622E-11</c:v>
                </c:pt>
                <c:pt idx="278">
                  <c:v>-9.4518800125782434E-11</c:v>
                </c:pt>
                <c:pt idx="279">
                  <c:v>-9.4465842082884326E-11</c:v>
                </c:pt>
                <c:pt idx="280">
                  <c:v>-9.4412372372035414E-11</c:v>
                </c:pt>
                <c:pt idx="281">
                  <c:v>-9.4358386049622277E-11</c:v>
                </c:pt>
                <c:pt idx="282">
                  <c:v>-9.4303878124267475E-11</c:v>
                </c:pt>
                <c:pt idx="283">
                  <c:v>-9.424884355636806E-11</c:v>
                </c:pt>
                <c:pt idx="284">
                  <c:v>-9.4193277257629678E-11</c:v>
                </c:pt>
                <c:pt idx="285">
                  <c:v>-9.4137174090596072E-11</c:v>
                </c:pt>
                <c:pt idx="286">
                  <c:v>-9.4080528868174101E-11</c:v>
                </c:pt>
                <c:pt idx="287">
                  <c:v>-9.4023336353154179E-11</c:v>
                </c:pt>
                <c:pt idx="288">
                  <c:v>-9.3965591257726079E-11</c:v>
                </c:pt>
                <c:pt idx="289">
                  <c:v>-9.3907288242989979E-11</c:v>
                </c:pt>
                <c:pt idx="290">
                  <c:v>-9.3848421918462892E-11</c:v>
                </c:pt>
                <c:pt idx="291">
                  <c:v>-9.3788986841580279E-11</c:v>
                </c:pt>
                <c:pt idx="292">
                  <c:v>-9.3728977517192849E-11</c:v>
                </c:pt>
                <c:pt idx="293">
                  <c:v>-9.3668388397058479E-11</c:v>
                </c:pt>
                <c:pt idx="294">
                  <c:v>-9.3607213879329259E-11</c:v>
                </c:pt>
                <c:pt idx="295">
                  <c:v>-9.354544830803358E-11</c:v>
                </c:pt>
                <c:pt idx="296">
                  <c:v>-9.3483085972553147E-11</c:v>
                </c:pt>
                <c:pt idx="297">
                  <c:v>-9.342012110709511E-11</c:v>
                </c:pt>
                <c:pt idx="298">
                  <c:v>-9.3356547890158815E-11</c:v>
                </c:pt>
                <c:pt idx="299">
                  <c:v>-9.3292360443997738E-11</c:v>
                </c:pt>
                <c:pt idx="300">
                  <c:v>-9.3227552834075932E-11</c:v>
                </c:pt>
                <c:pt idx="301">
                  <c:v>-9.316211906851937E-11</c:v>
                </c:pt>
                <c:pt idx="302">
                  <c:v>-9.3096053097562034E-11</c:v>
                </c:pt>
                <c:pt idx="303">
                  <c:v>-9.3029348812986425E-11</c:v>
                </c:pt>
                <c:pt idx="304">
                  <c:v>-9.2962000047558994E-11</c:v>
                </c:pt>
                <c:pt idx="305">
                  <c:v>-9.2894000574459782E-11</c:v>
                </c:pt>
                <c:pt idx="306">
                  <c:v>-9.2825344106706847E-11</c:v>
                </c:pt>
                <c:pt idx="307">
                  <c:v>-9.2756024296574872E-11</c:v>
                </c:pt>
                <c:pt idx="308">
                  <c:v>-9.2686034735008371E-11</c:v>
                </c:pt>
                <c:pt idx="309">
                  <c:v>-9.2615368951029106E-11</c:v>
                </c:pt>
                <c:pt idx="310">
                  <c:v>-9.2544020411137759E-11</c:v>
                </c:pt>
                <c:pt idx="311">
                  <c:v>-9.2471982518709916E-11</c:v>
                </c:pt>
                <c:pt idx="312">
                  <c:v>-9.2399248613386184E-11</c:v>
                </c:pt>
                <c:pt idx="313">
                  <c:v>-9.2325811970456319E-11</c:v>
                </c:pt>
                <c:pt idx="314">
                  <c:v>-9.2251665800237572E-11</c:v>
                </c:pt>
                <c:pt idx="315">
                  <c:v>-9.21768032474469E-11</c:v>
                </c:pt>
                <c:pt idx="316">
                  <c:v>-9.2101217390567125E-11</c:v>
                </c:pt>
                <c:pt idx="317">
                  <c:v>-9.202490124120707E-11</c:v>
                </c:pt>
                <c:pt idx="318">
                  <c:v>-9.194784774345535E-11</c:v>
                </c:pt>
                <c:pt idx="319">
                  <c:v>-9.1870049773228078E-11</c:v>
                </c:pt>
                <c:pt idx="320">
                  <c:v>-9.1791500137610129E-11</c:v>
                </c:pt>
                <c:pt idx="321">
                  <c:v>-9.1712191574190244E-11</c:v>
                </c:pt>
                <c:pt idx="322">
                  <c:v>-9.1632116750389369E-11</c:v>
                </c:pt>
                <c:pt idx="323">
                  <c:v>-9.1551268262782916E-11</c:v>
                </c:pt>
                <c:pt idx="324">
                  <c:v>-9.1469638636416122E-11</c:v>
                </c:pt>
                <c:pt idx="325">
                  <c:v>-9.1387220324113008E-11</c:v>
                </c:pt>
                <c:pt idx="326">
                  <c:v>-9.1304005705778625E-11</c:v>
                </c:pt>
                <c:pt idx="327">
                  <c:v>-9.1219987087694427E-11</c:v>
                </c:pt>
                <c:pt idx="328">
                  <c:v>-9.1135156701807035E-11</c:v>
                </c:pt>
                <c:pt idx="329">
                  <c:v>-9.1049506705009989E-11</c:v>
                </c:pt>
                <c:pt idx="330">
                  <c:v>-9.0963029178418618E-11</c:v>
                </c:pt>
                <c:pt idx="331">
                  <c:v>-9.0875716126637871E-11</c:v>
                </c:pt>
                <c:pt idx="332">
                  <c:v>-9.0787559477023088E-11</c:v>
                </c:pt>
                <c:pt idx="333">
                  <c:v>-9.0698551078933663E-11</c:v>
                </c:pt>
                <c:pt idx="334">
                  <c:v>-9.0608682702979456E-11</c:v>
                </c:pt>
                <c:pt idx="335">
                  <c:v>-9.0517946040259906E-11</c:v>
                </c:pt>
                <c:pt idx="336">
                  <c:v>-9.0426332701595862E-11</c:v>
                </c:pt>
                <c:pt idx="337">
                  <c:v>-9.0333834216753894E-11</c:v>
                </c:pt>
                <c:pt idx="338">
                  <c:v>-9.0240442033663252E-11</c:v>
                </c:pt>
                <c:pt idx="339">
                  <c:v>-9.0146147517625095E-11</c:v>
                </c:pt>
                <c:pt idx="340">
                  <c:v>-9.0050941950514181E-11</c:v>
                </c:pt>
                <c:pt idx="341">
                  <c:v>-8.995481652997282E-11</c:v>
                </c:pt>
                <c:pt idx="342">
                  <c:v>-8.9857762368597072E-11</c:v>
                </c:pt>
                <c:pt idx="343">
                  <c:v>-8.9759770493115016E-11</c:v>
                </c:pt>
                <c:pt idx="344">
                  <c:v>-8.9660831843557107E-11</c:v>
                </c:pt>
                <c:pt idx="345">
                  <c:v>-8.9560937272418561E-11</c:v>
                </c:pt>
                <c:pt idx="346">
                  <c:v>-8.9460077543813589E-11</c:v>
                </c:pt>
                <c:pt idx="347">
                  <c:v>-8.9358243332621437E-11</c:v>
                </c:pt>
                <c:pt idx="348">
                  <c:v>-8.9255425223624336E-11</c:v>
                </c:pt>
                <c:pt idx="349">
                  <c:v>-8.9151613710636878E-11</c:v>
                </c:pt>
                <c:pt idx="350">
                  <c:v>-8.9046799195627193E-11</c:v>
                </c:pt>
                <c:pt idx="351">
                  <c:v>-8.8940971987829495E-11</c:v>
                </c:pt>
                <c:pt idx="352">
                  <c:v>-8.8834122302848161E-11</c:v>
                </c:pt>
                <c:pt idx="353">
                  <c:v>-8.8726240261753073E-11</c:v>
                </c:pt>
                <c:pt idx="354">
                  <c:v>-8.8617315890166236E-11</c:v>
                </c:pt>
                <c:pt idx="355">
                  <c:v>-8.8507339117339611E-11</c:v>
                </c:pt>
                <c:pt idx="356">
                  <c:v>-8.8396299775224005E-11</c:v>
                </c:pt>
                <c:pt idx="357">
                  <c:v>-8.8284187597528945E-11</c:v>
                </c:pt>
                <c:pt idx="358">
                  <c:v>-8.8170992218773525E-11</c:v>
                </c:pt>
                <c:pt idx="359">
                  <c:v>-8.8056703173328053E-11</c:v>
                </c:pt>
                <c:pt idx="360">
                  <c:v>-8.7941309894446405E-11</c:v>
                </c:pt>
                <c:pt idx="361">
                  <c:v>-8.7824801713289073E-11</c:v>
                </c:pt>
                <c:pt idx="362">
                  <c:v>-8.7707167857936816E-11</c:v>
                </c:pt>
                <c:pt idx="363">
                  <c:v>-8.7588397452394632E-11</c:v>
                </c:pt>
                <c:pt idx="364">
                  <c:v>-8.7468479515586293E-11</c:v>
                </c:pt>
                <c:pt idx="365">
                  <c:v>-8.7347402960339023E-11</c:v>
                </c:pt>
                <c:pt idx="366">
                  <c:v>-8.7225156592358423E-11</c:v>
                </c:pt>
                <c:pt idx="367">
                  <c:v>-8.7101729109193526E-11</c:v>
                </c:pt>
                <c:pt idx="368">
                  <c:v>-8.6977109099191749E-11</c:v>
                </c:pt>
                <c:pt idx="369">
                  <c:v>-8.6851285040443899E-11</c:v>
                </c:pt>
                <c:pt idx="370">
                  <c:v>-8.6724245299718788E-11</c:v>
                </c:pt>
                <c:pt idx="371">
                  <c:v>-8.6595978131387761E-11</c:v>
                </c:pt>
                <c:pt idx="372">
                  <c:v>-8.6466471676338746E-11</c:v>
                </c:pt>
                <c:pt idx="373">
                  <c:v>-8.6335713960879698E-11</c:v>
                </c:pt>
                <c:pt idx="374">
                  <c:v>-8.6203692895631639E-11</c:v>
                </c:pt>
                <c:pt idx="375">
                  <c:v>-8.6070396274410941E-11</c:v>
                </c:pt>
                <c:pt idx="376">
                  <c:v>-8.5935811773100689E-11</c:v>
                </c:pt>
                <c:pt idx="377">
                  <c:v>-8.5799926948511361E-11</c:v>
                </c:pt>
                <c:pt idx="378">
                  <c:v>-8.5662729237230252E-11</c:v>
                </c:pt>
                <c:pt idx="379">
                  <c:v>-8.5524205954460015E-11</c:v>
                </c:pt>
                <c:pt idx="380">
                  <c:v>-8.5384344292845777E-11</c:v>
                </c:pt>
                <c:pt idx="381">
                  <c:v>-8.5243131321291089E-11</c:v>
                </c:pt>
                <c:pt idx="382">
                  <c:v>-8.5100553983762359E-11</c:v>
                </c:pt>
                <c:pt idx="383">
                  <c:v>-8.4956599098081692E-11</c:v>
                </c:pt>
                <c:pt idx="384">
                  <c:v>-8.4811253354708135E-11</c:v>
                </c:pt>
                <c:pt idx="385">
                  <c:v>-8.4664503315507174E-11</c:v>
                </c:pt>
                <c:pt idx="386">
                  <c:v>-8.451633541250818E-11</c:v>
                </c:pt>
                <c:pt idx="387">
                  <c:v>-8.4366735946650125E-11</c:v>
                </c:pt>
                <c:pt idx="388">
                  <c:v>-8.4215691086514841E-11</c:v>
                </c:pt>
                <c:pt idx="389">
                  <c:v>-8.4063186867048387E-11</c:v>
                </c:pt>
                <c:pt idx="390">
                  <c:v>-8.3909209188269719E-11</c:v>
                </c:pt>
                <c:pt idx="391">
                  <c:v>-8.375374381396722E-11</c:v>
                </c:pt>
                <c:pt idx="392">
                  <c:v>-8.3596776370382373E-11</c:v>
                </c:pt>
                <c:pt idx="393">
                  <c:v>-8.3438292344880841E-11</c:v>
                </c:pt>
                <c:pt idx="394">
                  <c:v>-8.3278277084610705E-11</c:v>
                </c:pt>
                <c:pt idx="395">
                  <c:v>-8.311671579514762E-11</c:v>
                </c:pt>
                <c:pt idx="396">
                  <c:v>-8.2953593539127173E-11</c:v>
                </c:pt>
                <c:pt idx="397">
                  <c:v>-8.2788895234863583E-11</c:v>
                </c:pt>
                <c:pt idx="398">
                  <c:v>-8.2622605654955502E-11</c:v>
                </c:pt>
                <c:pt idx="399">
                  <c:v>-8.2454709424878046E-11</c:v>
                </c:pt>
                <c:pt idx="400">
                  <c:v>-8.2285191021561371E-11</c:v>
                </c:pt>
                <c:pt idx="401">
                  <c:v>-8.2114034771955376E-11</c:v>
                </c:pt>
                <c:pt idx="402">
                  <c:v>-8.1941224851580785E-11</c:v>
                </c:pt>
                <c:pt idx="403">
                  <c:v>-8.176674528306593E-11</c:v>
                </c:pt>
                <c:pt idx="404">
                  <c:v>-8.1590579934669597E-11</c:v>
                </c:pt>
                <c:pt idx="405">
                  <c:v>-8.1412712518789581E-11</c:v>
                </c:pt>
                <c:pt idx="406">
                  <c:v>-8.1233126590456703E-11</c:v>
                </c:pt>
                <c:pt idx="407">
                  <c:v>-8.105180554581449E-11</c:v>
                </c:pt>
                <c:pt idx="408">
                  <c:v>-8.086873262058395E-11</c:v>
                </c:pt>
                <c:pt idx="409">
                  <c:v>-8.0683890888513595E-11</c:v>
                </c:pt>
                <c:pt idx="410">
                  <c:v>-8.0497263259814584E-11</c:v>
                </c:pt>
                <c:pt idx="411">
                  <c:v>-8.030883247958062E-11</c:v>
                </c:pt>
                <c:pt idx="412">
                  <c:v>-8.0118581126192598E-11</c:v>
                </c:pt>
                <c:pt idx="413">
                  <c:v>-7.9926491609707927E-11</c:v>
                </c:pt>
                <c:pt idx="414">
                  <c:v>-7.9732546170234185E-11</c:v>
                </c:pt>
                <c:pt idx="415">
                  <c:v>-7.9536726876287108E-11</c:v>
                </c:pt>
                <c:pt idx="416">
                  <c:v>-7.9339015623132734E-11</c:v>
                </c:pt>
                <c:pt idx="417">
                  <c:v>-7.9139394131113462E-11</c:v>
                </c:pt>
                <c:pt idx="418">
                  <c:v>-7.8937843943958019E-11</c:v>
                </c:pt>
                <c:pt idx="419">
                  <c:v>-7.8734346427075067E-11</c:v>
                </c:pt>
                <c:pt idx="420">
                  <c:v>-7.8528882765830294E-11</c:v>
                </c:pt>
                <c:pt idx="421">
                  <c:v>-7.8321433963806862E-11</c:v>
                </c:pt>
                <c:pt idx="422">
                  <c:v>-7.8111980841049143E-11</c:v>
                </c:pt>
                <c:pt idx="423">
                  <c:v>-7.7900504032289335E-11</c:v>
                </c:pt>
                <c:pt idx="424">
                  <c:v>-7.7686983985157028E-11</c:v>
                </c:pt>
                <c:pt idx="425">
                  <c:v>-7.7471400958371534E-11</c:v>
                </c:pt>
                <c:pt idx="426">
                  <c:v>-7.7253735019916579E-11</c:v>
                </c:pt>
                <c:pt idx="427">
                  <c:v>-7.7033966045197543E-11</c:v>
                </c:pt>
                <c:pt idx="428">
                  <c:v>-7.6812073715180789E-11</c:v>
                </c:pt>
                <c:pt idx="429">
                  <c:v>-7.6588037514514989E-11</c:v>
                </c:pt>
                <c:pt idx="430">
                  <c:v>-7.6361836729634442E-11</c:v>
                </c:pt>
                <c:pt idx="431">
                  <c:v>-7.6133450446843937E-11</c:v>
                </c:pt>
                <c:pt idx="432">
                  <c:v>-7.5902857550385086E-11</c:v>
                </c:pt>
                <c:pt idx="433">
                  <c:v>-7.5670036720484114E-11</c:v>
                </c:pt>
                <c:pt idx="434">
                  <c:v>-7.5434966431380702E-11</c:v>
                </c:pt>
                <c:pt idx="435">
                  <c:v>-7.5197624949337787E-11</c:v>
                </c:pt>
                <c:pt idx="436">
                  <c:v>-7.4957990330632087E-11</c:v>
                </c:pt>
                <c:pt idx="437">
                  <c:v>-7.4716040419525369E-11</c:v>
                </c:pt>
                <c:pt idx="438">
                  <c:v>-7.4471752846215918E-11</c:v>
                </c:pt>
                <c:pt idx="439">
                  <c:v>-7.4225105024770347E-11</c:v>
                </c:pt>
                <c:pt idx="440">
                  <c:v>-7.3976074151035394E-11</c:v>
                </c:pt>
                <c:pt idx="441">
                  <c:v>-7.3724637200529493E-11</c:v>
                </c:pt>
                <c:pt idx="442">
                  <c:v>-7.3470770926314084E-11</c:v>
                </c:pt>
                <c:pt idx="443">
                  <c:v>-7.3214451856844216E-11</c:v>
                </c:pt>
                <c:pt idx="444">
                  <c:v>-7.2955656293798461E-11</c:v>
                </c:pt>
                <c:pt idx="445">
                  <c:v>-7.2694360309887907E-11</c:v>
                </c:pt>
                <c:pt idx="446">
                  <c:v>-7.2430539746643888E-11</c:v>
                </c:pt>
                <c:pt idx="447">
                  <c:v>-7.2164170212184393E-11</c:v>
                </c:pt>
                <c:pt idx="448">
                  <c:v>-7.1895227078958858E-11</c:v>
                </c:pt>
                <c:pt idx="449">
                  <c:v>-7.162368548147125E-11</c:v>
                </c:pt>
                <c:pt idx="450">
                  <c:v>-7.1349520313980996E-11</c:v>
                </c:pt>
                <c:pt idx="451">
                  <c:v>-7.1072706228181951E-11</c:v>
                </c:pt>
                <c:pt idx="452">
                  <c:v>-7.0793217630858598E-11</c:v>
                </c:pt>
                <c:pt idx="453">
                  <c:v>-7.0511028681519958E-11</c:v>
                </c:pt>
                <c:pt idx="454">
                  <c:v>-7.0226113290010374E-11</c:v>
                </c:pt>
                <c:pt idx="455">
                  <c:v>-6.9938445114097333E-11</c:v>
                </c:pt>
                <c:pt idx="456">
                  <c:v>-6.9647997557036001E-11</c:v>
                </c:pt>
                <c:pt idx="457">
                  <c:v>-6.9354743765110145E-11</c:v>
                </c:pt>
                <c:pt idx="458">
                  <c:v>-6.9058656625149326E-11</c:v>
                </c:pt>
                <c:pt idx="459">
                  <c:v>-6.8759708762022164E-11</c:v>
                </c:pt>
                <c:pt idx="460">
                  <c:v>-6.8457872536105256E-11</c:v>
                </c:pt>
                <c:pt idx="461">
                  <c:v>-6.8153120040727785E-11</c:v>
                </c:pt>
                <c:pt idx="462">
                  <c:v>-6.7845423099591413E-11</c:v>
                </c:pt>
                <c:pt idx="463">
                  <c:v>-6.7534753264165036E-11</c:v>
                </c:pt>
                <c:pt idx="464">
                  <c:v>-6.7221081811054738E-11</c:v>
                </c:pt>
                <c:pt idx="465">
                  <c:v>-6.6904379739347962E-11</c:v>
                </c:pt>
                <c:pt idx="466">
                  <c:v>-6.6584617767932328E-11</c:v>
                </c:pt>
                <c:pt idx="467">
                  <c:v>-6.6261766332788303E-11</c:v>
                </c:pt>
                <c:pt idx="468">
                  <c:v>-6.5935795584255893E-11</c:v>
                </c:pt>
                <c:pt idx="469">
                  <c:v>-6.5606675384274812E-11</c:v>
                </c:pt>
                <c:pt idx="470">
                  <c:v>-6.5274375303598055E-11</c:v>
                </c:pt>
                <c:pt idx="471">
                  <c:v>-6.4938864618978478E-11</c:v>
                </c:pt>
                <c:pt idx="472">
                  <c:v>-6.4600112310328286E-11</c:v>
                </c:pt>
                <c:pt idx="473">
                  <c:v>-6.4258087057851003E-11</c:v>
                </c:pt>
                <c:pt idx="474">
                  <c:v>-6.3912757239145784E-11</c:v>
                </c:pt>
                <c:pt idx="475">
                  <c:v>-6.3564090926283694E-11</c:v>
                </c:pt>
                <c:pt idx="476">
                  <c:v>-6.3212055882855772E-11</c:v>
                </c:pt>
                <c:pt idx="477">
                  <c:v>-6.2856619560992608E-11</c:v>
                </c:pt>
                <c:pt idx="478">
                  <c:v>-6.2497749098355022E-11</c:v>
                </c:pt>
                <c:pt idx="479">
                  <c:v>-6.2135411315095803E-11</c:v>
                </c:pt>
                <c:pt idx="480">
                  <c:v>-6.176957271079194E-11</c:v>
                </c:pt>
                <c:pt idx="481">
                  <c:v>-6.1400199461347418E-11</c:v>
                </c:pt>
                <c:pt idx="482">
                  <c:v>-6.1027257415865823E-11</c:v>
                </c:pt>
                <c:pt idx="483">
                  <c:v>-6.0650712093492957E-11</c:v>
                </c:pt>
                <c:pt idx="484">
                  <c:v>-6.0270528680228885E-11</c:v>
                </c:pt>
                <c:pt idx="485">
                  <c:v>-5.9886672025709114E-11</c:v>
                </c:pt>
                <c:pt idx="486">
                  <c:v>-5.9499106639954681E-11</c:v>
                </c:pt>
                <c:pt idx="487">
                  <c:v>-5.9107796690091024E-11</c:v>
                </c:pt>
                <c:pt idx="488">
                  <c:v>-5.8712705997034824E-11</c:v>
                </c:pt>
                <c:pt idx="489">
                  <c:v>-5.8313798032149162E-11</c:v>
                </c:pt>
                <c:pt idx="490">
                  <c:v>-5.7911035913866162E-11</c:v>
                </c:pt>
                <c:pt idx="491">
                  <c:v>-5.7504382404277E-11</c:v>
                </c:pt>
                <c:pt idx="492">
                  <c:v>-5.7093799905689148E-11</c:v>
                </c:pt>
                <c:pt idx="493">
                  <c:v>-5.6679250457150108E-11</c:v>
                </c:pt>
                <c:pt idx="494">
                  <c:v>-5.6260695730937756E-11</c:v>
                </c:pt>
                <c:pt idx="495">
                  <c:v>-5.5838097029016718E-11</c:v>
                </c:pt>
                <c:pt idx="496">
                  <c:v>-5.5411415279460361E-11</c:v>
                </c:pt>
                <c:pt idx="497">
                  <c:v>-5.4980611032838519E-11</c:v>
                </c:pt>
                <c:pt idx="498">
                  <c:v>-5.4545644458570017E-11</c:v>
                </c:pt>
                <c:pt idx="499">
                  <c:v>-5.4106475341240142E-11</c:v>
                </c:pt>
                <c:pt idx="500">
                  <c:v>-5.3663063076882473E-11</c:v>
                </c:pt>
                <c:pt idx="501">
                  <c:v>-5.321536666922476E-11</c:v>
                </c:pt>
                <c:pt idx="502">
                  <c:v>-5.2763344725898543E-11</c:v>
                </c:pt>
                <c:pt idx="503">
                  <c:v>-5.230695545461222E-11</c:v>
                </c:pt>
                <c:pt idx="504">
                  <c:v>-5.1846156659287077E-11</c:v>
                </c:pt>
                <c:pt idx="505">
                  <c:v>-5.1380905736155933E-11</c:v>
                </c:pt>
                <c:pt idx="506">
                  <c:v>-5.0911159669824221E-11</c:v>
                </c:pt>
                <c:pt idx="507">
                  <c:v>-5.043687502929289E-11</c:v>
                </c:pt>
                <c:pt idx="508">
                  <c:v>-4.9958007963943005E-11</c:v>
                </c:pt>
                <c:pt idx="509">
                  <c:v>-4.9474514199481377E-11</c:v>
                </c:pt>
                <c:pt idx="510">
                  <c:v>-4.8986349033847206E-11</c:v>
                </c:pt>
                <c:pt idx="511">
                  <c:v>-4.8493467333079082E-11</c:v>
                </c:pt>
                <c:pt idx="512">
                  <c:v>-4.799582352714203E-11</c:v>
                </c:pt>
                <c:pt idx="513">
                  <c:v>-4.749337160571427E-11</c:v>
                </c:pt>
                <c:pt idx="514">
                  <c:v>-4.6986065113933344E-11</c:v>
                </c:pt>
                <c:pt idx="515">
                  <c:v>-4.6473857148100982E-11</c:v>
                </c:pt>
                <c:pt idx="516">
                  <c:v>-4.5956700351346597E-11</c:v>
                </c:pt>
                <c:pt idx="517">
                  <c:v>-4.5434546909248858E-11</c:v>
                </c:pt>
                <c:pt idx="518">
                  <c:v>-4.4907348545414879E-11</c:v>
                </c:pt>
                <c:pt idx="519">
                  <c:v>-4.4375056517016875E-11</c:v>
                </c:pt>
                <c:pt idx="520">
                  <c:v>-4.3837621610285459E-11</c:v>
                </c:pt>
                <c:pt idx="521">
                  <c:v>-4.3294994135959568E-11</c:v>
                </c:pt>
                <c:pt idx="522">
                  <c:v>-4.2747123924692419E-11</c:v>
                </c:pt>
                <c:pt idx="523">
                  <c:v>-4.2193960322412957E-11</c:v>
                </c:pt>
                <c:pt idx="524">
                  <c:v>-4.1635452185642603E-11</c:v>
                </c:pt>
                <c:pt idx="525">
                  <c:v>-4.1071547876766744E-11</c:v>
                </c:pt>
                <c:pt idx="526">
                  <c:v>-4.050219525926043E-11</c:v>
                </c:pt>
                <c:pt idx="527">
                  <c:v>-3.9927341692868105E-11</c:v>
                </c:pt>
                <c:pt idx="528">
                  <c:v>-3.9346934028736661E-11</c:v>
                </c:pt>
                <c:pt idx="529">
                  <c:v>-3.8760918604501443E-11</c:v>
                </c:pt>
                <c:pt idx="530">
                  <c:v>-3.8169241239324862E-11</c:v>
                </c:pt>
                <c:pt idx="531">
                  <c:v>-3.757184722888704E-11</c:v>
                </c:pt>
                <c:pt idx="532">
                  <c:v>-3.6968681340328028E-11</c:v>
                </c:pt>
                <c:pt idx="533">
                  <c:v>-3.6359687807141197E-11</c:v>
                </c:pt>
                <c:pt idx="534">
                  <c:v>-3.5744810324017265E-11</c:v>
                </c:pt>
                <c:pt idx="535">
                  <c:v>-3.5123992041638503E-11</c:v>
                </c:pt>
                <c:pt idx="536">
                  <c:v>-3.449717556142265E-11</c:v>
                </c:pt>
                <c:pt idx="537">
                  <c:v>-3.3864302930216086E-11</c:v>
                </c:pt>
                <c:pt idx="538">
                  <c:v>-3.3225315634935684E-11</c:v>
                </c:pt>
                <c:pt idx="539">
                  <c:v>-3.2580154597158865E-11</c:v>
                </c:pt>
                <c:pt idx="540">
                  <c:v>-3.1928760167661466E-11</c:v>
                </c:pt>
                <c:pt idx="541">
                  <c:v>-3.1271072120902784E-11</c:v>
                </c:pt>
                <c:pt idx="542">
                  <c:v>-3.0607029649457345E-11</c:v>
                </c:pt>
                <c:pt idx="543">
                  <c:v>-2.9936571358392841E-11</c:v>
                </c:pt>
                <c:pt idx="544">
                  <c:v>-2.9259635259593833E-11</c:v>
                </c:pt>
                <c:pt idx="545">
                  <c:v>-2.8576158766030519E-11</c:v>
                </c:pt>
                <c:pt idx="546">
                  <c:v>-2.7886078685972165E-11</c:v>
                </c:pt>
                <c:pt idx="547">
                  <c:v>-2.7189331217144656E-11</c:v>
                </c:pt>
                <c:pt idx="548">
                  <c:v>-2.6485851940831555E-11</c:v>
                </c:pt>
                <c:pt idx="549">
                  <c:v>-2.5775575815918166E-11</c:v>
                </c:pt>
                <c:pt idx="550">
                  <c:v>-2.5058437172878129E-11</c:v>
                </c:pt>
                <c:pt idx="551">
                  <c:v>-2.4334369707701779E-11</c:v>
                </c:pt>
                <c:pt idx="552">
                  <c:v>-2.3603306475765987E-11</c:v>
                </c:pt>
                <c:pt idx="553">
                  <c:v>-2.2865179885644662E-11</c:v>
                </c:pt>
                <c:pt idx="554">
                  <c:v>-2.2119921692859516E-11</c:v>
                </c:pt>
                <c:pt idx="555">
                  <c:v>-2.1367462993570443E-11</c:v>
                </c:pt>
                <c:pt idx="556">
                  <c:v>-2.060773421820488E-11</c:v>
                </c:pt>
                <c:pt idx="557">
                  <c:v>-1.9840665125025683E-11</c:v>
                </c:pt>
                <c:pt idx="558">
                  <c:v>-1.9066184793636877E-11</c:v>
                </c:pt>
                <c:pt idx="559">
                  <c:v>-1.8284221618426525E-11</c:v>
                </c:pt>
                <c:pt idx="560">
                  <c:v>-1.7494703301946327E-11</c:v>
                </c:pt>
                <c:pt idx="561">
                  <c:v>-1.669755684822756E-11</c:v>
                </c:pt>
                <c:pt idx="562">
                  <c:v>-1.5892708556031656E-11</c:v>
                </c:pt>
                <c:pt idx="563">
                  <c:v>-1.508008401203649E-11</c:v>
                </c:pt>
                <c:pt idx="564">
                  <c:v>-1.4259608083955891E-11</c:v>
                </c:pt>
                <c:pt idx="565">
                  <c:v>-1.343120491359381E-11</c:v>
                </c:pt>
                <c:pt idx="566">
                  <c:v>-1.2594797909830338E-11</c:v>
                </c:pt>
                <c:pt idx="567">
                  <c:v>-1.1750309741540478E-11</c:v>
                </c:pt>
                <c:pt idx="568">
                  <c:v>-1.0897662330444381E-11</c:v>
                </c:pt>
                <c:pt idx="569">
                  <c:v>-1.0036776843888519E-11</c:v>
                </c:pt>
                <c:pt idx="570">
                  <c:v>-9.1675736875571526E-12</c:v>
                </c:pt>
                <c:pt idx="571">
                  <c:v>-8.2899724981132413E-12</c:v>
                </c:pt>
                <c:pt idx="572">
                  <c:v>-7.4038921357683991E-12</c:v>
                </c:pt>
                <c:pt idx="573">
                  <c:v>-6.5092506767810321E-12</c:v>
                </c:pt>
                <c:pt idx="574">
                  <c:v>-5.6059654058819088E-12</c:v>
                </c:pt>
                <c:pt idx="575">
                  <c:v>-4.6939528086266458E-12</c:v>
                </c:pt>
                <c:pt idx="576">
                  <c:v>-3.7731285636742779E-12</c:v>
                </c:pt>
                <c:pt idx="577">
                  <c:v>-2.8434075349911718E-12</c:v>
                </c:pt>
                <c:pt idx="578">
                  <c:v>-1.9047037639797319E-12</c:v>
                </c:pt>
                <c:pt idx="579">
                  <c:v>-9.5693046153089178E-13</c:v>
                </c:pt>
                <c:pt idx="580">
                  <c:v>0</c:v>
                </c:pt>
                <c:pt idx="581">
                  <c:v>9.661760948949773E-13</c:v>
                </c:pt>
                <c:pt idx="582">
                  <c:v>1.9416871522534023E-12</c:v>
                </c:pt>
                <c:pt idx="583">
                  <c:v>2.9266233642511133E-12</c:v>
                </c:pt>
                <c:pt idx="584">
                  <c:v>3.9210757944790905E-12</c:v>
                </c:pt>
                <c:pt idx="585">
                  <c:v>4.9251363863630282E-12</c:v>
                </c:pt>
                <c:pt idx="586">
                  <c:v>5.9388979716640045E-12</c:v>
                </c:pt>
                <c:pt idx="587">
                  <c:v>6.9624542790614149E-12</c:v>
                </c:pt>
                <c:pt idx="588">
                  <c:v>7.9958999428186633E-12</c:v>
                </c:pt>
                <c:pt idx="589">
                  <c:v>9.0393305115328735E-12</c:v>
                </c:pt>
                <c:pt idx="590">
                  <c:v>1.0092842456968822E-11</c:v>
                </c:pt>
                <c:pt idx="591">
                  <c:v>1.1156533182978448E-11</c:v>
                </c:pt>
                <c:pt idx="592">
                  <c:v>1.2230501034506404E-11</c:v>
                </c:pt>
                <c:pt idx="593">
                  <c:v>1.3314845306682657E-11</c:v>
                </c:pt>
                <c:pt idx="594">
                  <c:v>1.4409666254003042E-11</c:v>
                </c:pt>
                <c:pt idx="595">
                  <c:v>1.5515065099598349E-11</c:v>
                </c:pt>
                <c:pt idx="596">
                  <c:v>1.6631144044593029E-11</c:v>
                </c:pt>
                <c:pt idx="597">
                  <c:v>1.7758006277554397E-11</c:v>
                </c:pt>
                <c:pt idx="598">
                  <c:v>1.8895755984033062E-11</c:v>
                </c:pt>
                <c:pt idx="599">
                  <c:v>2.0044498356195444E-11</c:v>
                </c:pt>
                <c:pt idx="600">
                  <c:v>2.1204339602549574E-11</c:v>
                </c:pt>
                <c:pt idx="601">
                  <c:v>2.2375386957764734E-11</c:v>
                </c:pt>
                <c:pt idx="602">
                  <c:v>2.355774869258587E-11</c:v>
                </c:pt>
                <c:pt idx="603">
                  <c:v>2.4751534123844036E-11</c:v>
                </c:pt>
                <c:pt idx="604">
                  <c:v>2.5956853624563374E-11</c:v>
                </c:pt>
                <c:pt idx="605">
                  <c:v>2.7173818634165751E-11</c:v>
                </c:pt>
                <c:pt idx="606">
                  <c:v>2.8402541668774146E-11</c:v>
                </c:pt>
                <c:pt idx="607">
                  <c:v>2.9643136331615397E-11</c:v>
                </c:pt>
                <c:pt idx="608">
                  <c:v>3.0895717323523592E-11</c:v>
                </c:pt>
                <c:pt idx="609">
                  <c:v>3.2160400453544765E-11</c:v>
                </c:pt>
                <c:pt idx="610">
                  <c:v>3.3437302649644379E-11</c:v>
                </c:pt>
                <c:pt idx="611">
                  <c:v>3.4726541969517903E-11</c:v>
                </c:pt>
                <c:pt idx="612">
                  <c:v>3.6028237611506025E-11</c:v>
                </c:pt>
                <c:pt idx="613">
                  <c:v>3.7342509925615323E-11</c:v>
                </c:pt>
                <c:pt idx="614">
                  <c:v>3.8669480424645379E-11</c:v>
                </c:pt>
                <c:pt idx="615">
                  <c:v>4.0009271795423383E-11</c:v>
                </c:pt>
                <c:pt idx="616">
                  <c:v>4.1362007910147263E-11</c:v>
                </c:pt>
                <c:pt idx="617">
                  <c:v>4.2727813837838662E-11</c:v>
                </c:pt>
                <c:pt idx="618">
                  <c:v>4.4106815855906062E-11</c:v>
                </c:pt>
                <c:pt idx="619">
                  <c:v>4.5499141461820131E-11</c:v>
                </c:pt>
                <c:pt idx="620">
                  <c:v>4.6904919384901676E-11</c:v>
                </c:pt>
                <c:pt idx="621">
                  <c:v>4.8324279598223329E-11</c:v>
                </c:pt>
                <c:pt idx="622">
                  <c:v>4.9757353330626548E-11</c:v>
                </c:pt>
                <c:pt idx="623">
                  <c:v>5.1204273078854455E-11</c:v>
                </c:pt>
                <c:pt idx="624">
                  <c:v>5.2665172619802067E-11</c:v>
                </c:pt>
                <c:pt idx="625">
                  <c:v>5.4140187022884732E-11</c:v>
                </c:pt>
                <c:pt idx="626">
                  <c:v>5.5629452662526247E-11</c:v>
                </c:pt>
                <c:pt idx="627">
                  <c:v>5.7133107230767465E-11</c:v>
                </c:pt>
                <c:pt idx="628">
                  <c:v>5.8651289749996842E-11</c:v>
                </c:pt>
                <c:pt idx="629">
                  <c:v>6.0184140585803873E-11</c:v>
                </c:pt>
                <c:pt idx="630">
                  <c:v>6.1731801459956858E-11</c:v>
                </c:pt>
                <c:pt idx="631">
                  <c:v>6.3294415463505943E-11</c:v>
                </c:pt>
                <c:pt idx="632">
                  <c:v>6.4872127070012836E-11</c:v>
                </c:pt>
                <c:pt idx="633">
                  <c:v>6.6465082148908145E-11</c:v>
                </c:pt>
                <c:pt idx="634">
                  <c:v>6.8073427978978179E-11</c:v>
                </c:pt>
                <c:pt idx="635">
                  <c:v>6.9697313261981602E-11</c:v>
                </c:pt>
                <c:pt idx="636">
                  <c:v>7.1336888136397905E-11</c:v>
                </c:pt>
                <c:pt idx="637">
                  <c:v>7.2992304191308726E-11</c:v>
                </c:pt>
                <c:pt idx="638">
                  <c:v>7.4663714480413125E-11</c:v>
                </c:pt>
                <c:pt idx="639">
                  <c:v>7.6351273536178491E-11</c:v>
                </c:pt>
                <c:pt idx="640">
                  <c:v>7.805513738412792E-11</c:v>
                </c:pt>
                <c:pt idx="641">
                  <c:v>7.9775463557265743E-11</c:v>
                </c:pt>
                <c:pt idx="642">
                  <c:v>8.1512411110642658E-11</c:v>
                </c:pt>
                <c:pt idx="643">
                  <c:v>8.3266140636061212E-11</c:v>
                </c:pt>
                <c:pt idx="644">
                  <c:v>8.5036814276923416E-11</c:v>
                </c:pt>
                <c:pt idx="645">
                  <c:v>8.6824595743222246E-11</c:v>
                </c:pt>
                <c:pt idx="646">
                  <c:v>8.8629650326677457E-11</c:v>
                </c:pt>
                <c:pt idx="647">
                  <c:v>9.0452144916017773E-11</c:v>
                </c:pt>
                <c:pt idx="648">
                  <c:v>9.2292248012411086E-11</c:v>
                </c:pt>
                <c:pt idx="649">
                  <c:v>9.4150129745043164E-11</c:v>
                </c:pt>
                <c:pt idx="650">
                  <c:v>9.6025961886847326E-11</c:v>
                </c:pt>
                <c:pt idx="651">
                  <c:v>9.7919917870385982E-11</c:v>
                </c:pt>
                <c:pt idx="652">
                  <c:v>9.9832172803885403E-11</c:v>
                </c:pt>
                <c:pt idx="653">
                  <c:v>1.0176290348742574E-10</c:v>
                </c:pt>
                <c:pt idx="654">
                  <c:v>1.037122884292873E-10</c:v>
                </c:pt>
                <c:pt idx="655">
                  <c:v>1.0568050786245455E-10</c:v>
                </c:pt>
                <c:pt idx="656">
                  <c:v>1.0766774376128018E-10</c:v>
                </c:pt>
                <c:pt idx="657">
                  <c:v>1.0967417985830942E-10</c:v>
                </c:pt>
                <c:pt idx="658">
                  <c:v>1.117000016612675E-10</c:v>
                </c:pt>
                <c:pt idx="659">
                  <c:v>1.1374539647021094E-10</c:v>
                </c:pt>
                <c:pt idx="660">
                  <c:v>1.158105533948446E-10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74474976"/>
        <c:axId val="-574467904"/>
      </c:lineChart>
      <c:catAx>
        <c:axId val="-5744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1587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74467904"/>
        <c:crossesAt val="0"/>
        <c:auto val="1"/>
        <c:lblAlgn val="ctr"/>
        <c:lblOffset val="500"/>
        <c:tickLblSkip val="60"/>
        <c:tickMarkSkip val="60"/>
        <c:noMultiLvlLbl val="0"/>
      </c:catAx>
      <c:valAx>
        <c:axId val="-574467904"/>
        <c:scaling>
          <c:orientation val="minMax"/>
          <c:max val="1.2500000000000006E-10"/>
          <c:min val="-1.2500000000000006E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74474976"/>
        <c:crossesAt val="581"/>
        <c:crossBetween val="midCat"/>
        <c:majorUnit val="2.5000000000000014E-11"/>
        <c:minorUnit val="2.5000000000000014E-1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7" Type="http://schemas.openxmlformats.org/officeDocument/2006/relationships/image" Target="../media/image18.emf"/><Relationship Id="rId2" Type="http://schemas.openxmlformats.org/officeDocument/2006/relationships/image" Target="../media/image13.emf"/><Relationship Id="rId1" Type="http://schemas.openxmlformats.org/officeDocument/2006/relationships/image" Target="../media/image12.emf"/><Relationship Id="rId6" Type="http://schemas.openxmlformats.org/officeDocument/2006/relationships/image" Target="../media/image17.emf"/><Relationship Id="rId5" Type="http://schemas.openxmlformats.org/officeDocument/2006/relationships/image" Target="../media/image16.emf"/><Relationship Id="rId4" Type="http://schemas.openxmlformats.org/officeDocument/2006/relationships/image" Target="../media/image1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114299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198120</xdr:colOff>
          <xdr:row>0</xdr:row>
          <xdr:rowOff>76200</xdr:rowOff>
        </xdr:from>
        <xdr:to>
          <xdr:col>12</xdr:col>
          <xdr:colOff>845820</xdr:colOff>
          <xdr:row>3</xdr:row>
          <xdr:rowOff>7620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3</xdr:row>
          <xdr:rowOff>144780</xdr:rowOff>
        </xdr:from>
        <xdr:to>
          <xdr:col>12</xdr:col>
          <xdr:colOff>1143000</xdr:colOff>
          <xdr:row>6</xdr:row>
          <xdr:rowOff>160020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57150</xdr:colOff>
      <xdr:row>7</xdr:row>
      <xdr:rowOff>76200</xdr:rowOff>
    </xdr:from>
    <xdr:to>
      <xdr:col>9</xdr:col>
      <xdr:colOff>485775</xdr:colOff>
      <xdr:row>24</xdr:row>
      <xdr:rowOff>166687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123825</xdr:rowOff>
    </xdr:from>
    <xdr:to>
      <xdr:col>4</xdr:col>
      <xdr:colOff>561973</xdr:colOff>
      <xdr:row>10</xdr:row>
      <xdr:rowOff>123824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4" y="123825"/>
          <a:ext cx="2819399" cy="211454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14</xdr:row>
      <xdr:rowOff>95251</xdr:rowOff>
    </xdr:from>
    <xdr:to>
      <xdr:col>5</xdr:col>
      <xdr:colOff>180975</xdr:colOff>
      <xdr:row>19</xdr:row>
      <xdr:rowOff>50081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3057526"/>
          <a:ext cx="3200400" cy="9073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83820</xdr:rowOff>
        </xdr:from>
        <xdr:to>
          <xdr:col>12</xdr:col>
          <xdr:colOff>601980</xdr:colOff>
          <xdr:row>12</xdr:row>
          <xdr:rowOff>76200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</xdr:colOff>
          <xdr:row>14</xdr:row>
          <xdr:rowOff>60960</xdr:rowOff>
        </xdr:from>
        <xdr:to>
          <xdr:col>14</xdr:col>
          <xdr:colOff>563880</xdr:colOff>
          <xdr:row>15</xdr:row>
          <xdr:rowOff>182880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38100</xdr:rowOff>
        </xdr:from>
        <xdr:to>
          <xdr:col>10</xdr:col>
          <xdr:colOff>190500</xdr:colOff>
          <xdr:row>20</xdr:row>
          <xdr:rowOff>106680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607093</xdr:colOff>
      <xdr:row>3</xdr:row>
      <xdr:rowOff>59906</xdr:rowOff>
    </xdr:from>
    <xdr:ext cx="1692904" cy="4424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𝑖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6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6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11540" y="711617"/>
              <a:ext cx="1692904" cy="4424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𝑖_𝑆=𝐼_𝑆 𝑒^(𝑣_𝐷⁄(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 ))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2</xdr:col>
      <xdr:colOff>21963</xdr:colOff>
      <xdr:row>8</xdr:row>
      <xdr:rowOff>16484</xdr:rowOff>
    </xdr:from>
    <xdr:ext cx="1655987" cy="7975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1=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6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latin typeface="Cambria Math"/>
                              </a:rPr>
                              <m:t>26.9231</m:t>
                            </m:r>
                          </m:num>
                          <m:den>
                            <m:r>
                              <a:rPr lang="el-GR" sz="1600" b="0" i="1">
                                <a:latin typeface="Cambria Math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n-US" sz="16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/>
                      </a:rPr>
                      <m:t>2=</m:t>
                    </m:r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𝑆</m:t>
                        </m:r>
                      </m:sub>
                    </m:sSub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28.0769</m:t>
                            </m:r>
                          </m:num>
                          <m:den>
                            <m: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𝜂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240277" y="1705510"/>
              <a:ext cx="1655987" cy="797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600" b="0" i="0">
                  <a:latin typeface="Cambria Math"/>
                </a:rPr>
                <a:t>1=𝐼_𝑆 𝑒^(26.9231⁄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)</a:t>
              </a:r>
              <a:endParaRPr lang="en-US" sz="1600" b="0"/>
            </a:p>
            <a:p>
              <a:r>
                <a:rPr lang="en-US" sz="1600" b="0" i="0">
                  <a:latin typeface="Cambria Math"/>
                </a:rPr>
                <a:t>2=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𝐼_𝑆 𝑒^(2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8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0769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⁄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</xdr:col>
      <xdr:colOff>16244</xdr:colOff>
      <xdr:row>14</xdr:row>
      <xdr:rowOff>62317</xdr:rowOff>
    </xdr:from>
    <xdr:ext cx="3451284" cy="16031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itchFamily="18" charset="0"/>
                        <a:ea typeface="Cambria Math" pitchFamily="18" charset="0"/>
                      </a:rPr>
                      <m:t>2=</m:t>
                    </m:r>
                    <m:f>
                      <m:fPr>
                        <m:ctrlPr>
                          <a:rPr lang="en-US" sz="16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latin typeface="Cambria Math" pitchFamily="18" charset="0"/>
                                    <a:ea typeface="Cambria Math" pitchFamily="18" charset="0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  <m:t>𝑒</m:t>
                            </m:r>
                          </m:e>
                          <m:sup>
                            <m:f>
                              <m:fPr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m:rPr>
                                    <m:sty m:val="p"/>
                                  </m:rPr>
                                  <a:rPr lang="el-GR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η</m:t>
                                </m:r>
                              </m:den>
                            </m:f>
                          </m:sup>
                        </m:sSup>
                      </m:den>
                    </m:f>
                  </m:oMath>
                </m:oMathPara>
              </a14:m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  <m:t>2</m:t>
                        </m:r>
                      </m:e>
                    </m:func>
                    <m:r>
                      <a:rPr lang="en-US" sz="1400" b="0" i="1">
                        <a:latin typeface="Cambria Math" pitchFamily="18" charset="0"/>
                        <a:ea typeface="Cambria Math" pitchFamily="18" charset="0"/>
                      </a:rPr>
                      <m:t>= </m:t>
                    </m:r>
                    <m:func>
                      <m:funcPr>
                        <m:ctrlPr>
                          <a:rPr lang="en-US" sz="1400" b="0" i="1">
                            <a:latin typeface="Cambria Math" pitchFamily="18" charset="0"/>
                            <a:ea typeface="Cambria Math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itchFamily="18" charset="0"/>
                            <a:ea typeface="Cambria Math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28.0769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n-US" sz="1400" b="0" i="0">
                        <a:solidFill>
                          <a:schemeClr val="tx1"/>
                        </a:solidFill>
                        <a:effectLst/>
                        <a:latin typeface="Cambria Math" pitchFamily="18" charset="0"/>
                        <a:ea typeface="Cambria Math" pitchFamily="18" charset="0"/>
                        <a:cs typeface="+mn-cs"/>
                      </a:rPr>
                      <m:t>−</m:t>
                    </m:r>
                    <m:func>
                      <m:func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itchFamily="18" charset="0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itchFamily="18" charset="0"/>
                                    <a:cs typeface="+mn-cs"/>
                                  </a:rPr>
                                  <m:t>26.9231</m:t>
                                </m:r>
                              </m:num>
                              <m:den>
                                <m:r>
                                  <a:rPr lang="el-G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itchFamily="18" charset="0"/>
                                    <a:ea typeface="Cambria Math" pitchFamily="18" charset="0"/>
                                    <a:cs typeface="+mn-cs"/>
                                  </a:rPr>
                                  <m:t>𝜂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23332" y="2993086"/>
              <a:ext cx="3451284" cy="16031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2=𝑒^(28.0769/</a:t>
              </a:r>
              <a:r>
                <a:rPr lang="el-GR" sz="1600" b="0" i="0">
                  <a:latin typeface="Cambria Math" pitchFamily="18" charset="0"/>
                  <a:ea typeface="Cambria Math" pitchFamily="18" charset="0"/>
                </a:rPr>
                <a:t>η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)/𝑒^(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26.9231/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 </a:t>
              </a:r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endParaRPr lang="en-US" sz="1600">
                <a:latin typeface="Cambria Math" pitchFamily="18" charset="0"/>
                <a:ea typeface="Cambria Math" pitchFamily="18" charset="0"/>
              </a:endParaRPr>
            </a:p>
            <a:p>
              <a:r>
                <a:rPr lang="en-US" sz="1400" b="0" i="0">
                  <a:latin typeface="Cambria Math" pitchFamily="18" charset="0"/>
                  <a:ea typeface="Cambria Math" pitchFamily="18" charset="0"/>
                </a:rPr>
                <a:t>ln⁡2=  ln⁡(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28.0769/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)−ln⁡(26.9231/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𝜂)</a:t>
              </a:r>
              <a:endParaRPr lang="ru-RU" sz="14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45804</xdr:colOff>
      <xdr:row>8</xdr:row>
      <xdr:rowOff>93965</xdr:rowOff>
    </xdr:from>
    <xdr:ext cx="2005733" cy="4970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400" i="1">
                        <a:latin typeface="Cambria Math"/>
                      </a:rPr>
                      <m:t>𝜂</m:t>
                    </m:r>
                    <m:r>
                      <a:rPr lang="en-US" sz="14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/>
                          </a:rPr>
                          <m:t>28.0769−26.9231</m:t>
                        </m:r>
                      </m:num>
                      <m:den>
                        <m:r>
                          <a:rPr lang="en-US" sz="1400" b="0" i="1">
                            <a:latin typeface="Cambria Math"/>
                          </a:rPr>
                          <m:t>0.69315</m:t>
                        </m:r>
                      </m:den>
                    </m:f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431491" y="1789624"/>
              <a:ext cx="2005733" cy="4970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l-GR" sz="1400" i="0">
                  <a:latin typeface="Cambria Math"/>
                </a:rPr>
                <a:t>𝜂</a:t>
              </a:r>
              <a:r>
                <a:rPr lang="en-US" sz="1400" b="0" i="0">
                  <a:latin typeface="Cambria Math"/>
                </a:rPr>
                <a:t>=(28.0769−26.9231)/0.69315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6</xdr:col>
      <xdr:colOff>371929</xdr:colOff>
      <xdr:row>16</xdr:row>
      <xdr:rowOff>19753</xdr:rowOff>
    </xdr:from>
    <xdr:ext cx="1847082" cy="595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6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6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6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6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6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6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150528" y="3327335"/>
              <a:ext cx="1847082" cy="595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0" i="0">
                  <a:latin typeface="Cambria Math"/>
                </a:rPr>
                <a:t>𝑟</a:t>
              </a:r>
              <a:r>
                <a:rPr lang="ru-RU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𝑑=(</a:t>
              </a:r>
              <a:r>
                <a:rPr lang="el-GR" sz="1600" b="0" i="0">
                  <a:latin typeface="Cambria Math"/>
                </a:rPr>
                <a:t>𝜂</a:t>
              </a:r>
              <a:r>
                <a:rPr lang="en-US" sz="1600" b="0" i="0">
                  <a:latin typeface="Cambria Math"/>
                </a:rPr>
                <a:t>𝑉</a:t>
              </a:r>
              <a:r>
                <a:rPr lang="el-GR" sz="1600" b="0" i="0">
                  <a:latin typeface="Cambria Math"/>
                </a:rPr>
                <a:t>_</a:t>
              </a:r>
              <a:r>
                <a:rPr lang="en-US" sz="1600" b="0" i="0">
                  <a:latin typeface="Cambria Math"/>
                </a:rPr>
                <a:t>𝑇)/(𝑖_𝐷+𝐼_𝑆 )</a:t>
              </a:r>
              <a:r>
                <a:rPr lang="en-US" sz="1600" b="0" i="0">
                  <a:latin typeface="Cambria Math"/>
                  <a:ea typeface="Cambria Math"/>
                </a:rPr>
                <a:t>≅</a:t>
              </a:r>
              <a:r>
                <a:rPr lang="en-US" sz="1600" b="0" i="0">
                  <a:latin typeface="Cambria Math" pitchFamily="18" charset="0"/>
                  <a:ea typeface="Cambria Math" pitchFamily="18" charset="0"/>
                </a:rPr>
                <a:t>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𝑇)/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 </a:t>
              </a:r>
              <a:endParaRPr lang="ru-RU" sz="16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840330" y="1002131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3</xdr:row>
      <xdr:rowOff>7520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40330" y="639178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9</xdr:col>
      <xdr:colOff>5514</xdr:colOff>
      <xdr:row>4</xdr:row>
      <xdr:rowOff>159920</xdr:rowOff>
    </xdr:from>
    <xdr:ext cx="616117" cy="3333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>
                            <a:latin typeface="Cambria Math"/>
                          </a:rPr>
                          <m:t>𝑒</m:t>
                        </m:r>
                      </m:e>
                      <m:sup>
                        <m:f>
                          <m:fPr>
                            <m:type m:val="skw"/>
                            <m:ctrlPr>
                              <a:rPr lang="ru-RU" sz="12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𝐷</m:t>
                                </m:r>
                              </m:sub>
                            </m:sSub>
                          </m:num>
                          <m:den>
                            <m:r>
                              <a:rPr lang="el-GR" sz="1200" i="1">
                                <a:latin typeface="Cambria Math"/>
                              </a:rPr>
                              <m:t>𝜂</m:t>
                            </m:r>
                            <m:sSub>
                              <m:sSubPr>
                                <m:ctrlPr>
                                  <a:rPr lang="el-GR" sz="12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latin typeface="Cambria Math"/>
                                  </a:rPr>
                                  <m:t>𝑉</m:t>
                                </m:r>
                              </m:e>
                              <m:sub>
                                <m:r>
                                  <a:rPr lang="en-US" sz="1200" b="0" i="1">
                                    <a:latin typeface="Cambria Math"/>
                                  </a:rPr>
                                  <m:t>𝑇</m:t>
                                </m:r>
                              </m:sub>
                            </m:sSub>
                          </m:den>
                        </m:f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840330" y="1032209"/>
              <a:ext cx="616117" cy="3333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0" i="0">
                  <a:latin typeface="Cambria Math"/>
                </a:rPr>
                <a:t>𝑒</a:t>
              </a:r>
              <a:r>
                <a:rPr lang="ru-RU" sz="1200" b="0" i="0">
                  <a:latin typeface="Cambria Math"/>
                </a:rPr>
                <a:t>^(</a:t>
              </a:r>
              <a:r>
                <a:rPr lang="en-US" sz="1200" b="0" i="0">
                  <a:latin typeface="Cambria Math"/>
                </a:rPr>
                <a:t>𝑣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𝐷</a:t>
              </a:r>
              <a:r>
                <a:rPr lang="ru-RU" sz="1200" b="0" i="0">
                  <a:latin typeface="Cambria Math"/>
                </a:rPr>
                <a:t>⁄(</a:t>
              </a:r>
              <a:r>
                <a:rPr lang="el-GR" sz="1200" i="0">
                  <a:latin typeface="Cambria Math"/>
                </a:rPr>
                <a:t>𝜂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l-GR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𝑇</a:t>
              </a:r>
              <a:r>
                <a:rPr lang="ru-RU" sz="1200" b="0" i="0">
                  <a:latin typeface="Cambria Math"/>
                </a:rPr>
                <a:t>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48126</xdr:colOff>
      <xdr:row>19</xdr:row>
      <xdr:rowOff>56147</xdr:rowOff>
    </xdr:from>
    <xdr:ext cx="3208422" cy="12239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ru-RU" sz="160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𝑘</m:t>
                      </m:r>
                      <m:sSub>
                        <m:sSub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ru-RU" sz="16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e>
                        <m:sub>
                          <m: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</m:t>
                          </m:r>
                        </m:sub>
                      </m:sSub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+∆</m:t>
                              </m:r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num>
                    <m:den>
                      <m:sSub>
                        <m:sSub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𝐼</m:t>
                          </m:r>
                        </m:e>
                        <m: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𝑆</m:t>
                          </m:r>
                        </m:sub>
                      </m:sSub>
                      <m:sSup>
                        <m:sSupPr>
                          <m:ctrlP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type m:val="skw"/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fPr>
                            <m:num>
                              <m:sSub>
                                <m:sSubPr>
                                  <m:ctrlP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𝑣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𝜂</m:t>
                              </m:r>
                              <m:sSub>
                                <m:sSubPr>
                                  <m:ctrlPr>
                                    <a:rPr lang="el-GR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6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𝑇</m:t>
                                  </m:r>
                                </m:sub>
                              </m:sSub>
                            </m:den>
                          </m:f>
                        </m:sup>
                      </m:sSup>
                    </m:den>
                  </m:f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→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</m:t>
                  </m:r>
                  <m:r>
                    <a:rPr lang="en-US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𝑒</m:t>
                      </m:r>
                    </m:e>
                    <m:sup>
                      <m:f>
                        <m:fPr>
                          <m:ctrlPr>
                            <a:rPr lang="en-US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+∆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𝑣</m:t>
                          </m:r>
                          <m:r>
                            <a:rPr lang="en-US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𝑣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𝐷</m:t>
                              </m:r>
                            </m:sub>
                          </m:sSub>
                        </m:num>
                        <m:den>
                          <m:r>
                            <a:rPr lang="el-GR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𝜂</m:t>
                          </m:r>
                          <m:sSub>
                            <m:sSubPr>
                              <m:ctrlPr>
                                <a:rPr lang="el-GR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𝑉</m:t>
                              </m:r>
                            </m:e>
                            <m:sub>
                              <m:r>
                                <a:rPr lang="en-US" sz="16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𝑇</m:t>
                              </m:r>
                            </m:sub>
                          </m:sSub>
                        </m:den>
                      </m:f>
                    </m:sup>
                  </m:sSup>
                </m:oMath>
              </a14:m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6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l-GR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l-G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6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𝑘</m:t>
                        </m:r>
                      </m:e>
                    </m:func>
                  </m:oMath>
                </m:oMathPara>
              </a14:m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67326" y="4042610"/>
              <a:ext cx="3208422" cy="1223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𝑘𝑖_𝑆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𝑆</a:t>
              </a:r>
              <a:r>
                <a:rPr lang="ru-RU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𝑒^((𝑣_𝐷+∆𝑣)⁄(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𝐼_𝑆 𝑒^(𝑣_𝐷⁄(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 ))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→𝑘=𝑒^((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𝑣_𝐷+∆𝑣−𝑣_𝐷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𝜂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</a:t>
              </a:r>
              <a:r>
                <a:rPr lang="el-GR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</a:t>
              </a:r>
              <a:r>
                <a:rPr lang="en-US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</a:p>
            <a:p>
              <a:pPr algn="ctr"/>
              <a:endParaRPr lang="en-US" sz="16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 algn="ctr"/>
              <a:r>
                <a:rPr lang="ru-RU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</a:t>
              </a:r>
              <a:r>
                <a:rPr lang="el-G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  ln⁡𝑘</a:t>
              </a:r>
              <a:endParaRPr lang="ru-RU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6</xdr:col>
          <xdr:colOff>137160</xdr:colOff>
          <xdr:row>35</xdr:row>
          <xdr:rowOff>22860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14</xdr:col>
      <xdr:colOff>376990</xdr:colOff>
      <xdr:row>30</xdr:row>
      <xdr:rowOff>160421</xdr:rowOff>
    </xdr:from>
    <xdr:to>
      <xdr:col>19</xdr:col>
      <xdr:colOff>545432</xdr:colOff>
      <xdr:row>56</xdr:row>
      <xdr:rowOff>72190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11</xdr:row>
      <xdr:rowOff>45720</xdr:rowOff>
    </xdr:from>
    <xdr:to>
      <xdr:col>11</xdr:col>
      <xdr:colOff>198120</xdr:colOff>
      <xdr:row>41</xdr:row>
      <xdr:rowOff>15240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137161</xdr:colOff>
      <xdr:row>26</xdr:row>
      <xdr:rowOff>145669</xdr:rowOff>
    </xdr:from>
    <xdr:to>
      <xdr:col>4</xdr:col>
      <xdr:colOff>601981</xdr:colOff>
      <xdr:row>34</xdr:row>
      <xdr:rowOff>160229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1" y="5212969"/>
          <a:ext cx="2712720" cy="1561420"/>
        </a:xfrm>
        <a:prstGeom prst="rect">
          <a:avLst/>
        </a:prstGeom>
      </xdr:spPr>
    </xdr:pic>
    <xdr:clientData/>
  </xdr:twoCellAnchor>
  <xdr:oneCellAnchor>
    <xdr:from>
      <xdr:col>7</xdr:col>
      <xdr:colOff>354330</xdr:colOff>
      <xdr:row>26</xdr:row>
      <xdr:rowOff>83820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44390" y="5181600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𝑇  ln⁡((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𝑖_𝐷+𝐼_𝑆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𝐼_𝑆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371475</xdr:colOff>
      <xdr:row>5</xdr:row>
      <xdr:rowOff>66675</xdr:rowOff>
    </xdr:from>
    <xdr:ext cx="1428750" cy="43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𝑑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latin typeface="Cambria Math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𝐷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𝐼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𝑆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  <a:ea typeface="Cambria Math"/>
                      </a:rPr>
                      <m:t>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itchFamily="18" charset="0"/>
                          </a:rPr>
                        </m:ctrlPr>
                      </m:fPr>
                      <m:num>
                        <m: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itchFamily="18" charset="0"/>
                            <a:ea typeface="Cambria Math" pitchFamily="18" charset="0"/>
                            <a:cs typeface="+mn-cs"/>
                          </a:rPr>
                          <m:t>𝜂</m:t>
                        </m:r>
                        <m:sSub>
                          <m:sSubPr>
                            <m:ctrl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itchFamily="18" charset="0"/>
                                <a:ea typeface="Cambria Math" pitchFamily="18" charset="0"/>
                                <a:cs typeface="+mn-cs"/>
                              </a:rPr>
                              <m:t>𝑇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38675" y="1152525"/>
              <a:ext cx="1428750" cy="43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𝑟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𝑑=(</a:t>
              </a:r>
              <a:r>
                <a:rPr lang="el-GR" sz="1100" b="0" i="0">
                  <a:latin typeface="Cambria Math"/>
                </a:rPr>
                <a:t>𝜂</a:t>
              </a:r>
              <a:r>
                <a:rPr lang="en-US" sz="1100" b="0" i="0">
                  <a:latin typeface="Cambria Math"/>
                </a:rPr>
                <a:t>𝑉</a:t>
              </a:r>
              <a:r>
                <a:rPr lang="el-GR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𝑇)/(𝑖_𝐷+𝐼_𝑆 )</a:t>
              </a:r>
              <a:r>
                <a:rPr lang="en-US" sz="1100" b="0" i="0">
                  <a:latin typeface="Cambria Math"/>
                  <a:ea typeface="Cambria Math"/>
                </a:rPr>
                <a:t>≅</a:t>
              </a:r>
              <a:r>
                <a:rPr lang="en-US" sz="1100" b="0" i="0">
                  <a:latin typeface="Cambria Math"/>
                  <a:ea typeface="Cambria Math" pitchFamily="18" charset="0"/>
                </a:rPr>
                <a:t>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itchFamily="18" charset="0"/>
                  <a:ea typeface="Cambria Math" pitchFamily="18" charset="0"/>
                  <a:cs typeface="+mn-cs"/>
                </a:rPr>
                <a:t>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Cambria Math" pitchFamily="18" charset="0"/>
                  <a:cs typeface="+mn-cs"/>
                </a:rPr>
                <a:t>)/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𝑖_𝐷 </a:t>
              </a:r>
              <a:endParaRPr lang="ru-RU" sz="1100">
                <a:latin typeface="Cambria Math" pitchFamily="18" charset="0"/>
                <a:ea typeface="Cambria Math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361950</xdr:colOff>
      <xdr:row>9</xdr:row>
      <xdr:rowOff>66675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629150" y="193357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85724</xdr:colOff>
      <xdr:row>0</xdr:row>
      <xdr:rowOff>142876</xdr:rowOff>
    </xdr:from>
    <xdr:to>
      <xdr:col>11</xdr:col>
      <xdr:colOff>542328</xdr:colOff>
      <xdr:row>9</xdr:row>
      <xdr:rowOff>9525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4" y="142876"/>
          <a:ext cx="6066829" cy="1638299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11</xdr:row>
      <xdr:rowOff>52387</xdr:rowOff>
    </xdr:from>
    <xdr:ext cx="1436996" cy="437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𝑣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=2,3</m:t>
                    </m:r>
                    <m:r>
                      <a:rPr lang="el-GR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</m:e>
                    </m:func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609850" y="2205037"/>
              <a:ext cx="1436996" cy="437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𝑣=2,3</a:t>
              </a:r>
              <a:r>
                <a:rPr lang="el-GR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𝑉_𝑇  log⁡〖𝑖_2/𝑖_1 〗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257175</xdr:colOff>
      <xdr:row>32</xdr:row>
      <xdr:rowOff>104775</xdr:rowOff>
    </xdr:from>
    <xdr:ext cx="1573530" cy="4726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𝜂</m:t>
                    </m:r>
                    <m:sSub>
                      <m:sSub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𝐼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695575" y="6600825"/>
              <a:ext cx="1573530" cy="4726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𝑣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/>
                </a:rPr>
                <a:t>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𝑇  ln⁡((𝑖_𝐷+𝐼_𝑆)/𝐼_𝑆 )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1869</xdr:colOff>
      <xdr:row>0</xdr:row>
      <xdr:rowOff>151465</xdr:rowOff>
    </xdr:from>
    <xdr:ext cx="1562100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2348" y="151465"/>
              <a:ext cx="1562100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𝐼</a:t>
              </a:r>
              <a:r>
                <a:rPr lang="ru-RU" sz="1200" b="0" i="0">
                  <a:latin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1+𝐼_2−𝐼_3=0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828674</xdr:colOff>
      <xdr:row>1</xdr:row>
      <xdr:rowOff>157162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4+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R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−5−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95849" y="347662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4+𝑅_𝑎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1−R𝐼_2−5−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829297</xdr:colOff>
      <xdr:row>2</xdr:row>
      <xdr:rowOff>162949</xdr:rowOff>
    </xdr:from>
    <xdr:ext cx="2714625" cy="280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5+</m:t>
                    </m:r>
                    <m:r>
                      <a:rPr lang="en-US" sz="1200" b="0" i="1">
                        <a:latin typeface="Cambria Math"/>
                      </a:rPr>
                      <m:t>𝑅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−3+</m:t>
                    </m:r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𝐼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4893000" y="545729"/>
              <a:ext cx="2714625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5+𝑅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2+𝑅_𝑎 𝐼_3−3+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𝑅_𝑎 𝐼_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2=0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835942</xdr:colOff>
      <xdr:row>4</xdr:row>
      <xdr:rowOff>88992</xdr:rowOff>
    </xdr:from>
    <xdr:ext cx="3340575" cy="6168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1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𝑅</m:t>
                              </m:r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𝑅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𝑎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𝐼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lang="en-US" sz="1200" b="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200" b="0" i="1">
                                  <a:latin typeface="Cambria Math"/>
                                </a:rPr>
                                <m:t>0</m:t>
                              </m:r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latin typeface="Cambria Math"/>
                                </a:rPr>
                                <m:t>−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lang="en-US" sz="1200" b="0" i="1">
                                  <a:latin typeface="Cambria Math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lang="en-US" sz="12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𝑉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latin typeface="Cambria Math"/>
                                    </a:rPr>
                                    <m:t>3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903117" y="850992"/>
              <a:ext cx="3340575" cy="6168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(■8(1&amp;1&amp;−1@𝑅_𝑎&amp;−𝑅−𝑅_𝑎&amp;0@0&amp;𝑅+𝑅_𝑎&amp;𝑅_𝑎 ))(■8(𝐼_1@𝐼_2@𝐼_3 ))=(■8(0@𝑉_2−𝑉_1@−𝑉_2+𝑉_3 ))</a:t>
              </a:r>
              <a:endParaRPr lang="ru-RU" sz="1200"/>
            </a:p>
          </xdr:txBody>
        </xdr:sp>
      </mc:Fallback>
    </mc:AlternateContent>
    <xdr:clientData/>
  </xdr:oneCellAnchor>
  <xdr:twoCellAnchor editAs="oneCell">
    <xdr:from>
      <xdr:col>0</xdr:col>
      <xdr:colOff>76200</xdr:colOff>
      <xdr:row>7</xdr:row>
      <xdr:rowOff>85726</xdr:rowOff>
    </xdr:from>
    <xdr:to>
      <xdr:col>6</xdr:col>
      <xdr:colOff>137696</xdr:colOff>
      <xdr:row>19</xdr:row>
      <xdr:rowOff>114301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419226"/>
          <a:ext cx="3652421" cy="2609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1</xdr:row>
          <xdr:rowOff>22860</xdr:rowOff>
        </xdr:from>
        <xdr:to>
          <xdr:col>3</xdr:col>
          <xdr:colOff>609600</xdr:colOff>
          <xdr:row>4</xdr:row>
          <xdr:rowOff>45720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289560</xdr:colOff>
      <xdr:row>0</xdr:row>
      <xdr:rowOff>0</xdr:rowOff>
    </xdr:from>
    <xdr:to>
      <xdr:col>9</xdr:col>
      <xdr:colOff>204300</xdr:colOff>
      <xdr:row>7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7960" y="0"/>
          <a:ext cx="3191788" cy="12801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3</xdr:col>
          <xdr:colOff>160020</xdr:colOff>
          <xdr:row>20</xdr:row>
          <xdr:rowOff>121920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2</xdr:col>
          <xdr:colOff>274320</xdr:colOff>
          <xdr:row>27</xdr:row>
          <xdr:rowOff>7620</xdr:rowOff>
        </xdr:to>
        <xdr:sp macro="" textlink="">
          <xdr:nvSpPr>
            <xdr:cNvPr id="11267" name="Object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600634</xdr:colOff>
      <xdr:row>29</xdr:row>
      <xdr:rowOff>7523</xdr:rowOff>
    </xdr:from>
    <xdr:to>
      <xdr:col>6</xdr:col>
      <xdr:colOff>44823</xdr:colOff>
      <xdr:row>43</xdr:row>
      <xdr:rowOff>40408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634" y="5422205"/>
          <a:ext cx="3334871" cy="26668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28</xdr:row>
          <xdr:rowOff>60960</xdr:rowOff>
        </xdr:from>
        <xdr:to>
          <xdr:col>11</xdr:col>
          <xdr:colOff>289560</xdr:colOff>
          <xdr:row>31</xdr:row>
          <xdr:rowOff>22860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31</xdr:row>
          <xdr:rowOff>106680</xdr:rowOff>
        </xdr:from>
        <xdr:to>
          <xdr:col>10</xdr:col>
          <xdr:colOff>541020</xdr:colOff>
          <xdr:row>34</xdr:row>
          <xdr:rowOff>60960</xdr:rowOff>
        </xdr:to>
        <xdr:sp macro="" textlink="">
          <xdr:nvSpPr>
            <xdr:cNvPr id="11269" name="Object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</xdr:colOff>
          <xdr:row>28</xdr:row>
          <xdr:rowOff>22860</xdr:rowOff>
        </xdr:from>
        <xdr:to>
          <xdr:col>16</xdr:col>
          <xdr:colOff>533400</xdr:colOff>
          <xdr:row>34</xdr:row>
          <xdr:rowOff>114300</xdr:rowOff>
        </xdr:to>
        <xdr:sp macro="" textlink="">
          <xdr:nvSpPr>
            <xdr:cNvPr id="11270" name="Object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34</xdr:row>
          <xdr:rowOff>144780</xdr:rowOff>
        </xdr:from>
        <xdr:to>
          <xdr:col>8</xdr:col>
          <xdr:colOff>304800</xdr:colOff>
          <xdr:row>36</xdr:row>
          <xdr:rowOff>99060</xdr:rowOff>
        </xdr:to>
        <xdr:sp macro="" textlink="">
          <xdr:nvSpPr>
            <xdr:cNvPr id="11271" name="Object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373380</xdr:colOff>
          <xdr:row>12</xdr:row>
          <xdr:rowOff>22860</xdr:rowOff>
        </xdr:from>
        <xdr:to>
          <xdr:col>2</xdr:col>
          <xdr:colOff>381000</xdr:colOff>
          <xdr:row>14</xdr:row>
          <xdr:rowOff>152400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10</xdr:col>
          <xdr:colOff>251460</xdr:colOff>
          <xdr:row>4</xdr:row>
          <xdr:rowOff>160020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3.bin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13.emf"/><Relationship Id="rId12" Type="http://schemas.openxmlformats.org/officeDocument/2006/relationships/oleObject" Target="../embeddings/oleObject11.bin"/><Relationship Id="rId17" Type="http://schemas.openxmlformats.org/officeDocument/2006/relationships/image" Target="../media/image18.emf"/><Relationship Id="rId2" Type="http://schemas.openxmlformats.org/officeDocument/2006/relationships/drawing" Target="../drawings/drawing10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15.emf"/><Relationship Id="rId5" Type="http://schemas.openxmlformats.org/officeDocument/2006/relationships/image" Target="../media/image12.emf"/><Relationship Id="rId15" Type="http://schemas.openxmlformats.org/officeDocument/2006/relationships/image" Target="../media/image17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14.emf"/><Relationship Id="rId14" Type="http://schemas.openxmlformats.org/officeDocument/2006/relationships/oleObject" Target="../embeddings/oleObject1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21.emf"/><Relationship Id="rId4" Type="http://schemas.openxmlformats.org/officeDocument/2006/relationships/oleObject" Target="../embeddings/oleObject1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22.emf"/><Relationship Id="rId4" Type="http://schemas.openxmlformats.org/officeDocument/2006/relationships/oleObject" Target="../embeddings/oleObject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3"/>
  <sheetViews>
    <sheetView workbookViewId="0">
      <selection activeCell="G1" sqref="G1:K2"/>
    </sheetView>
  </sheetViews>
  <sheetFormatPr defaultRowHeight="14.4" x14ac:dyDescent="0.3"/>
  <cols>
    <col min="6" max="6" width="19.5546875" customWidth="1"/>
    <col min="8" max="9" width="9.109375" customWidth="1"/>
    <col min="12" max="12" width="17.5546875" customWidth="1"/>
    <col min="13" max="13" width="20.44140625" customWidth="1"/>
    <col min="15" max="15" width="4.6640625" customWidth="1"/>
    <col min="16" max="16" width="6.5546875" customWidth="1"/>
    <col min="17" max="17" width="12.44140625" customWidth="1"/>
    <col min="18" max="18" width="13.44140625" bestFit="1" customWidth="1"/>
  </cols>
  <sheetData>
    <row r="1" spans="1:18" ht="16.2" x14ac:dyDescent="0.3">
      <c r="H1" s="2" t="s">
        <v>3</v>
      </c>
      <c r="I1" s="2" t="s">
        <v>4</v>
      </c>
      <c r="J1" t="s">
        <v>5</v>
      </c>
    </row>
    <row r="2" spans="1:18" ht="18" x14ac:dyDescent="0.4">
      <c r="G2" s="4" t="s">
        <v>8</v>
      </c>
      <c r="H2">
        <v>1.5</v>
      </c>
      <c r="I2">
        <v>-9</v>
      </c>
      <c r="J2">
        <f>H2*POWER(10,I2)</f>
        <v>1.5000000000000002E-9</v>
      </c>
      <c r="K2" s="2" t="s">
        <v>9</v>
      </c>
      <c r="N2" s="5" t="s">
        <v>12</v>
      </c>
      <c r="P2" t="s">
        <v>1</v>
      </c>
      <c r="Q2" t="s">
        <v>17</v>
      </c>
      <c r="R2" t="s">
        <v>18</v>
      </c>
    </row>
    <row r="3" spans="1:18" ht="15.6" x14ac:dyDescent="0.3">
      <c r="G3" s="4" t="s">
        <v>10</v>
      </c>
      <c r="J3">
        <v>2</v>
      </c>
      <c r="P3" s="2">
        <v>0</v>
      </c>
      <c r="Q3">
        <f t="shared" ref="Q3:Q34" si="0">(1/R_)*(Vsrc-P3)</f>
        <v>5.0000000000000001E-3</v>
      </c>
      <c r="R3">
        <f t="shared" ref="R3:R34" si="1">Is*(EXP(P3/(Eta*Vt))-1)</f>
        <v>0</v>
      </c>
    </row>
    <row r="4" spans="1:18" ht="16.2" x14ac:dyDescent="0.35">
      <c r="G4" s="4" t="s">
        <v>11</v>
      </c>
      <c r="J4">
        <v>2.5852E-2</v>
      </c>
      <c r="K4" s="2" t="s">
        <v>1</v>
      </c>
      <c r="P4" s="2">
        <v>0.01</v>
      </c>
      <c r="Q4">
        <f t="shared" si="0"/>
        <v>4.9950000000000003E-3</v>
      </c>
      <c r="R4">
        <f t="shared" si="1"/>
        <v>3.2006777948325877E-10</v>
      </c>
    </row>
    <row r="5" spans="1:18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  <c r="P5" s="2">
        <v>0.02</v>
      </c>
      <c r="Q5">
        <f t="shared" si="0"/>
        <v>4.9900000000000005E-3</v>
      </c>
      <c r="R5">
        <f t="shared" si="1"/>
        <v>7.0843114794208026E-10</v>
      </c>
    </row>
    <row r="6" spans="1:18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  <c r="N6" s="5" t="s">
        <v>13</v>
      </c>
      <c r="P6" s="2">
        <v>0.03</v>
      </c>
      <c r="Q6">
        <f t="shared" si="0"/>
        <v>4.9850000000000007E-3</v>
      </c>
      <c r="R6">
        <f t="shared" si="1"/>
        <v>1.1796629170510709E-9</v>
      </c>
    </row>
    <row r="7" spans="1:18" x14ac:dyDescent="0.3">
      <c r="P7" s="2">
        <v>0.04</v>
      </c>
      <c r="Q7">
        <f t="shared" si="0"/>
        <v>4.9800000000000009E-3</v>
      </c>
      <c r="R7">
        <f t="shared" si="1"/>
        <v>1.7514454234671828E-9</v>
      </c>
    </row>
    <row r="8" spans="1:18" x14ac:dyDescent="0.3">
      <c r="P8" s="2">
        <v>0.05</v>
      </c>
      <c r="Q8">
        <f t="shared" si="0"/>
        <v>4.9749999999999994E-3</v>
      </c>
      <c r="R8">
        <f t="shared" si="1"/>
        <v>2.44523403466728E-9</v>
      </c>
    </row>
    <row r="9" spans="1:18" ht="16.2" x14ac:dyDescent="0.35">
      <c r="K9" t="s">
        <v>14</v>
      </c>
      <c r="L9" s="6" t="s">
        <v>16</v>
      </c>
      <c r="M9" s="6" t="s">
        <v>15</v>
      </c>
      <c r="P9" s="2">
        <v>0.06</v>
      </c>
      <c r="Q9">
        <f t="shared" si="0"/>
        <v>4.9699999999999996E-3</v>
      </c>
      <c r="R9">
        <f t="shared" si="1"/>
        <v>3.287062232679103E-9</v>
      </c>
    </row>
    <row r="10" spans="1:18" x14ac:dyDescent="0.3">
      <c r="K10">
        <v>1</v>
      </c>
      <c r="L10">
        <v>0.7</v>
      </c>
      <c r="M10">
        <f>(1/R_)*(Vsrc-L10)</f>
        <v>4.6500000000000005E-3</v>
      </c>
      <c r="P10" s="2">
        <v>7.0000000000000007E-2</v>
      </c>
      <c r="Q10">
        <f t="shared" si="0"/>
        <v>4.9649999999999998E-3</v>
      </c>
      <c r="R10">
        <f t="shared" si="1"/>
        <v>4.3085184853869498E-9</v>
      </c>
    </row>
    <row r="11" spans="1:18" x14ac:dyDescent="0.3">
      <c r="K11">
        <v>2</v>
      </c>
      <c r="L11">
        <f>Eta*Vt*LN((M10+Is)/Is)</f>
        <v>0.77281518934022764</v>
      </c>
      <c r="M11">
        <f>(1/R_)*(Vsrc-L11)</f>
        <v>4.6135924053298857E-3</v>
      </c>
      <c r="P11" s="2">
        <v>0.08</v>
      </c>
      <c r="Q11">
        <f t="shared" si="0"/>
        <v>4.96E-3</v>
      </c>
      <c r="R11">
        <f t="shared" si="1"/>
        <v>5.5479315611904591E-9</v>
      </c>
    </row>
    <row r="12" spans="1:18" x14ac:dyDescent="0.3">
      <c r="K12">
        <v>3</v>
      </c>
      <c r="L12">
        <f>Eta*Vt*LN((M11+Is)/Is)</f>
        <v>0.77240877522460882</v>
      </c>
      <c r="M12">
        <f>(1/R_)*(Vsrc-L12)</f>
        <v>4.6137956123876956E-3</v>
      </c>
      <c r="P12" s="2">
        <v>0.09</v>
      </c>
      <c r="Q12">
        <f t="shared" si="0"/>
        <v>4.9550000000000002E-3</v>
      </c>
      <c r="R12">
        <f t="shared" si="1"/>
        <v>7.0518087643505954E-9</v>
      </c>
    </row>
    <row r="13" spans="1:18" ht="20.399999999999999" x14ac:dyDescent="0.45">
      <c r="A13" s="1" t="s">
        <v>0</v>
      </c>
      <c r="K13">
        <v>4</v>
      </c>
      <c r="L13">
        <f>Eta*Vt*LN((M12+Is)/Is)</f>
        <v>0.77241105249186637</v>
      </c>
      <c r="M13">
        <f>(1/R_)*(Vsrc-L13)</f>
        <v>4.6137944737540664E-3</v>
      </c>
      <c r="P13" s="2">
        <v>0.1</v>
      </c>
      <c r="Q13">
        <f t="shared" si="0"/>
        <v>4.9500000000000004E-3</v>
      </c>
      <c r="R13">
        <f t="shared" si="1"/>
        <v>8.8765810588647096E-9</v>
      </c>
    </row>
    <row r="14" spans="1:18" x14ac:dyDescent="0.3">
      <c r="P14" s="2">
        <v>0.11</v>
      </c>
      <c r="Q14">
        <f t="shared" si="0"/>
        <v>4.9450000000000006E-3</v>
      </c>
      <c r="R14">
        <f t="shared" si="1"/>
        <v>1.109072056429062E-8</v>
      </c>
    </row>
    <row r="15" spans="1:18" x14ac:dyDescent="0.3">
      <c r="P15" s="2">
        <v>0.12</v>
      </c>
      <c r="Q15">
        <f t="shared" si="0"/>
        <v>4.9400000000000008E-3</v>
      </c>
      <c r="R15">
        <f t="shared" si="1"/>
        <v>1.3777309879695089E-8</v>
      </c>
    </row>
    <row r="16" spans="1:18" x14ac:dyDescent="0.3">
      <c r="L16" s="9" t="s">
        <v>25</v>
      </c>
      <c r="M16">
        <f>'Exmpl1.2.1-lin approx'!M3</f>
        <v>4.6099290780141841E-3</v>
      </c>
      <c r="P16" s="2">
        <v>0.13</v>
      </c>
      <c r="Q16">
        <f t="shared" si="0"/>
        <v>4.9349999999999993E-3</v>
      </c>
      <c r="R16">
        <f t="shared" si="1"/>
        <v>1.7037159646142861E-8</v>
      </c>
    </row>
    <row r="17" spans="2:18" x14ac:dyDescent="0.3">
      <c r="B17">
        <f>10/2000</f>
        <v>5.0000000000000001E-3</v>
      </c>
      <c r="P17" s="2">
        <v>0.14000000000000001</v>
      </c>
      <c r="Q17">
        <f t="shared" si="0"/>
        <v>4.9299999999999995E-3</v>
      </c>
      <c r="R17">
        <f t="shared" si="1"/>
        <v>2.0992591330054607E-8</v>
      </c>
    </row>
    <row r="18" spans="2:18" x14ac:dyDescent="0.3">
      <c r="P18" s="2">
        <v>0.15</v>
      </c>
      <c r="Q18">
        <f t="shared" si="0"/>
        <v>4.9249999999999997E-3</v>
      </c>
      <c r="R18">
        <f t="shared" si="1"/>
        <v>2.5792027171277912E-8</v>
      </c>
    </row>
    <row r="19" spans="2:18" x14ac:dyDescent="0.3">
      <c r="P19" s="2">
        <v>0.16</v>
      </c>
      <c r="Q19">
        <f t="shared" si="0"/>
        <v>4.9199999999999999E-3</v>
      </c>
      <c r="R19">
        <f t="shared" si="1"/>
        <v>3.161555952748305E-8</v>
      </c>
    </row>
    <row r="20" spans="2:18" x14ac:dyDescent="0.3">
      <c r="P20" s="2">
        <v>0.17</v>
      </c>
      <c r="Q20">
        <f t="shared" si="0"/>
        <v>4.9150000000000001E-3</v>
      </c>
      <c r="R20">
        <f t="shared" si="1"/>
        <v>3.8681708597021169E-8</v>
      </c>
    </row>
    <row r="21" spans="2:18" x14ac:dyDescent="0.3">
      <c r="P21" s="2">
        <v>0.18</v>
      </c>
      <c r="Q21">
        <f t="shared" si="0"/>
        <v>4.9100000000000003E-3</v>
      </c>
      <c r="R21">
        <f t="shared" si="1"/>
        <v>4.7255622094682436E-8</v>
      </c>
    </row>
    <row r="22" spans="2:18" x14ac:dyDescent="0.3">
      <c r="P22" s="2">
        <v>0.19</v>
      </c>
      <c r="Q22">
        <f t="shared" si="0"/>
        <v>4.9050000000000005E-3</v>
      </c>
      <c r="R22">
        <f t="shared" si="1"/>
        <v>5.7659024562129056E-8</v>
      </c>
    </row>
    <row r="23" spans="2:18" x14ac:dyDescent="0.3">
      <c r="P23" s="2">
        <v>0.2</v>
      </c>
      <c r="Q23">
        <f t="shared" si="0"/>
        <v>4.9000000000000007E-3</v>
      </c>
      <c r="R23">
        <f t="shared" si="1"/>
        <v>7.0282289647459898E-8</v>
      </c>
    </row>
    <row r="24" spans="2:18" x14ac:dyDescent="0.3">
      <c r="P24" s="2">
        <v>0.21</v>
      </c>
      <c r="Q24">
        <f t="shared" si="0"/>
        <v>4.895E-3</v>
      </c>
      <c r="R24">
        <f t="shared" si="1"/>
        <v>8.5599088349917595E-8</v>
      </c>
    </row>
    <row r="25" spans="2:18" x14ac:dyDescent="0.3">
      <c r="P25" s="2">
        <v>0.22</v>
      </c>
      <c r="Q25">
        <f t="shared" si="0"/>
        <v>4.8899999999999994E-3</v>
      </c>
      <c r="R25">
        <f t="shared" si="1"/>
        <v>1.0418416288536714E-7</v>
      </c>
    </row>
    <row r="26" spans="2:18" x14ac:dyDescent="0.3">
      <c r="P26" s="2">
        <v>0.23</v>
      </c>
      <c r="Q26">
        <f t="shared" si="0"/>
        <v>4.8849999999999996E-3</v>
      </c>
      <c r="R26">
        <f t="shared" si="1"/>
        <v>1.2673489311287814E-7</v>
      </c>
    </row>
    <row r="27" spans="2:18" x14ac:dyDescent="0.3">
      <c r="P27" s="2">
        <v>0.24</v>
      </c>
      <c r="Q27">
        <f t="shared" si="0"/>
        <v>4.8799999999999998E-3</v>
      </c>
      <c r="R27">
        <f t="shared" si="1"/>
        <v>1.540974647734861E-7</v>
      </c>
    </row>
    <row r="28" spans="2:18" x14ac:dyDescent="0.3">
      <c r="P28" s="2">
        <v>0.25</v>
      </c>
      <c r="Q28">
        <f t="shared" si="0"/>
        <v>4.875E-3</v>
      </c>
      <c r="R28">
        <f t="shared" si="1"/>
        <v>1.8729862146900229E-7</v>
      </c>
    </row>
    <row r="29" spans="2:18" x14ac:dyDescent="0.3">
      <c r="P29" s="2">
        <v>0.26</v>
      </c>
      <c r="Q29">
        <f t="shared" si="0"/>
        <v>4.8700000000000002E-3</v>
      </c>
      <c r="R29">
        <f t="shared" si="1"/>
        <v>2.2758419183105821E-7</v>
      </c>
    </row>
    <row r="30" spans="2:18" x14ac:dyDescent="0.3">
      <c r="P30" s="2">
        <v>0.27</v>
      </c>
      <c r="Q30">
        <f t="shared" si="0"/>
        <v>4.8650000000000004E-3</v>
      </c>
      <c r="R30">
        <f t="shared" si="1"/>
        <v>2.7646583756044732E-7</v>
      </c>
    </row>
    <row r="31" spans="2:18" x14ac:dyDescent="0.3">
      <c r="P31" s="2">
        <v>0.28000000000000003</v>
      </c>
      <c r="Q31">
        <f t="shared" si="0"/>
        <v>4.8600000000000006E-3</v>
      </c>
      <c r="R31">
        <f t="shared" si="1"/>
        <v>3.3577777649389839E-7</v>
      </c>
    </row>
    <row r="32" spans="2:18" x14ac:dyDescent="0.3">
      <c r="P32" s="2">
        <v>0.28999999999999998</v>
      </c>
      <c r="Q32">
        <f t="shared" si="0"/>
        <v>4.8550000000000008E-3</v>
      </c>
      <c r="R32">
        <f t="shared" si="1"/>
        <v>4.0774560915486667E-7</v>
      </c>
    </row>
    <row r="33" spans="16:18" x14ac:dyDescent="0.3">
      <c r="P33" s="2">
        <v>0.3</v>
      </c>
      <c r="Q33">
        <f t="shared" si="0"/>
        <v>4.8500000000000001E-3</v>
      </c>
      <c r="R33">
        <f t="shared" si="1"/>
        <v>4.9506983141184793E-7</v>
      </c>
    </row>
    <row r="34" spans="16:18" x14ac:dyDescent="0.3">
      <c r="P34" s="2">
        <v>0.31</v>
      </c>
      <c r="Q34">
        <f t="shared" si="0"/>
        <v>4.8449999999999995E-3</v>
      </c>
      <c r="R34">
        <f t="shared" si="1"/>
        <v>6.0102716694409204E-7</v>
      </c>
    </row>
    <row r="35" spans="16:18" x14ac:dyDescent="0.3">
      <c r="P35" s="2">
        <v>0.32</v>
      </c>
      <c r="Q35">
        <f t="shared" ref="Q35:Q66" si="2">(1/R_)*(Vsrc-P35)</f>
        <v>4.8399999999999997E-3</v>
      </c>
      <c r="R35">
        <f t="shared" ref="R35:R66" si="3">Is*(EXP(P35/(Eta*Vt))-1)</f>
        <v>7.2959352187884896E-7</v>
      </c>
    </row>
    <row r="36" spans="16:18" x14ac:dyDescent="0.3">
      <c r="P36" s="2">
        <v>0.33</v>
      </c>
      <c r="Q36">
        <f t="shared" si="2"/>
        <v>4.8349999999999999E-3</v>
      </c>
      <c r="R36">
        <f t="shared" si="3"/>
        <v>8.8559317530708794E-7</v>
      </c>
    </row>
    <row r="37" spans="16:18" x14ac:dyDescent="0.3">
      <c r="P37" s="2">
        <v>0.34</v>
      </c>
      <c r="Q37">
        <f t="shared" si="2"/>
        <v>4.8300000000000001E-3</v>
      </c>
      <c r="R37">
        <f t="shared" si="3"/>
        <v>1.0748798038506165E-6</v>
      </c>
    </row>
    <row r="38" spans="16:18" x14ac:dyDescent="0.3">
      <c r="P38" s="2">
        <v>0.35</v>
      </c>
      <c r="Q38">
        <f t="shared" si="2"/>
        <v>4.8250000000000003E-3</v>
      </c>
      <c r="R38">
        <f t="shared" si="3"/>
        <v>1.3045561329833437E-6</v>
      </c>
    </row>
    <row r="39" spans="16:18" x14ac:dyDescent="0.3">
      <c r="P39" s="2">
        <v>0.36</v>
      </c>
      <c r="Q39">
        <f t="shared" si="2"/>
        <v>4.8200000000000005E-3</v>
      </c>
      <c r="R39">
        <f t="shared" si="3"/>
        <v>1.5832404572263241E-6</v>
      </c>
    </row>
    <row r="40" spans="16:18" x14ac:dyDescent="0.3">
      <c r="P40" s="2">
        <v>0.37</v>
      </c>
      <c r="Q40">
        <f t="shared" si="2"/>
        <v>4.8150000000000007E-3</v>
      </c>
      <c r="R40">
        <f t="shared" si="3"/>
        <v>1.9213900300274667E-6</v>
      </c>
    </row>
    <row r="41" spans="16:18" x14ac:dyDescent="0.3">
      <c r="P41" s="2">
        <v>0.38</v>
      </c>
      <c r="Q41">
        <f t="shared" si="2"/>
        <v>4.81E-3</v>
      </c>
      <c r="R41">
        <f t="shared" si="3"/>
        <v>2.3316934580950589E-6</v>
      </c>
    </row>
    <row r="42" spans="16:18" x14ac:dyDescent="0.3">
      <c r="P42" s="2">
        <v>0.39</v>
      </c>
      <c r="Q42">
        <f t="shared" si="2"/>
        <v>4.8050000000000002E-3</v>
      </c>
      <c r="R42">
        <f t="shared" si="3"/>
        <v>2.8295468242532931E-6</v>
      </c>
    </row>
    <row r="43" spans="16:18" x14ac:dyDescent="0.3">
      <c r="P43" s="2">
        <v>0.4</v>
      </c>
      <c r="Q43">
        <f t="shared" si="2"/>
        <v>4.7999999999999996E-3</v>
      </c>
      <c r="R43">
        <f t="shared" si="3"/>
        <v>3.4336314046878852E-6</v>
      </c>
    </row>
    <row r="44" spans="16:18" x14ac:dyDescent="0.3">
      <c r="P44" s="2">
        <v>0.41</v>
      </c>
      <c r="Q44">
        <f t="shared" si="2"/>
        <v>4.7949999999999998E-3</v>
      </c>
      <c r="R44">
        <f t="shared" si="3"/>
        <v>4.1666146586423174E-6</v>
      </c>
    </row>
    <row r="45" spans="16:18" x14ac:dyDescent="0.3">
      <c r="P45" s="2">
        <v>0.42</v>
      </c>
      <c r="Q45">
        <f t="shared" si="2"/>
        <v>4.79E-3</v>
      </c>
      <c r="R45">
        <f t="shared" si="3"/>
        <v>5.0560007942578331E-6</v>
      </c>
    </row>
    <row r="46" spans="16:18" x14ac:dyDescent="0.3">
      <c r="P46" s="2">
        <v>0.43</v>
      </c>
      <c r="Q46">
        <f t="shared" si="2"/>
        <v>4.7850000000000002E-3</v>
      </c>
      <c r="R46">
        <f t="shared" si="3"/>
        <v>6.1351628268931147E-6</v>
      </c>
    </row>
    <row r="47" spans="16:18" x14ac:dyDescent="0.3">
      <c r="P47" s="2">
        <v>0.44</v>
      </c>
      <c r="Q47">
        <f t="shared" si="2"/>
        <v>4.7800000000000004E-3</v>
      </c>
      <c r="R47">
        <f t="shared" si="3"/>
        <v>7.4445948565205405E-6</v>
      </c>
    </row>
    <row r="48" spans="16:18" x14ac:dyDescent="0.3">
      <c r="P48" s="2">
        <v>0.45</v>
      </c>
      <c r="Q48">
        <f t="shared" si="2"/>
        <v>4.7750000000000006E-3</v>
      </c>
      <c r="R48">
        <f t="shared" si="3"/>
        <v>9.0334315542193702E-6</v>
      </c>
    </row>
    <row r="49" spans="16:18" x14ac:dyDescent="0.3">
      <c r="P49" s="2">
        <v>0.46</v>
      </c>
      <c r="Q49">
        <f t="shared" si="2"/>
        <v>4.7699999999999999E-3</v>
      </c>
      <c r="R49">
        <f t="shared" si="3"/>
        <v>1.0961291874447518E-5</v>
      </c>
    </row>
    <row r="50" spans="16:18" x14ac:dyDescent="0.3">
      <c r="P50" s="2">
        <v>0.47</v>
      </c>
      <c r="Q50">
        <f t="shared" si="2"/>
        <v>4.7650000000000001E-3</v>
      </c>
      <c r="R50">
        <f t="shared" si="3"/>
        <v>1.3300516175908538E-5</v>
      </c>
    </row>
    <row r="51" spans="16:18" x14ac:dyDescent="0.3">
      <c r="P51" s="2">
        <v>0.48</v>
      </c>
      <c r="Q51">
        <f t="shared" si="2"/>
        <v>4.7599999999999995E-3</v>
      </c>
      <c r="R51">
        <f t="shared" si="3"/>
        <v>1.6138880695957493E-5</v>
      </c>
    </row>
    <row r="52" spans="16:18" x14ac:dyDescent="0.3">
      <c r="P52" s="2">
        <v>0.49</v>
      </c>
      <c r="Q52">
        <f t="shared" si="2"/>
        <v>4.7549999999999997E-3</v>
      </c>
      <c r="R52">
        <f t="shared" si="3"/>
        <v>1.958289123553721E-5</v>
      </c>
    </row>
    <row r="53" spans="16:18" x14ac:dyDescent="0.3">
      <c r="P53" s="2">
        <v>0.5</v>
      </c>
      <c r="Q53">
        <f t="shared" si="2"/>
        <v>4.7499999999999999E-3</v>
      </c>
      <c r="R53">
        <f t="shared" si="3"/>
        <v>2.3761779645730403E-5</v>
      </c>
    </row>
    <row r="54" spans="16:18" x14ac:dyDescent="0.3">
      <c r="P54" s="2">
        <v>0.51</v>
      </c>
      <c r="Q54">
        <f t="shared" si="2"/>
        <v>4.7450000000000001E-3</v>
      </c>
      <c r="R54">
        <f t="shared" si="3"/>
        <v>2.8832353078696171E-5</v>
      </c>
    </row>
    <row r="55" spans="16:18" x14ac:dyDescent="0.3">
      <c r="P55" s="2">
        <v>0.52</v>
      </c>
      <c r="Q55">
        <f t="shared" si="2"/>
        <v>4.7400000000000003E-3</v>
      </c>
      <c r="R55">
        <f t="shared" si="3"/>
        <v>3.4984877964592713E-5</v>
      </c>
    </row>
    <row r="56" spans="16:18" x14ac:dyDescent="0.3">
      <c r="P56" s="2">
        <v>0.53</v>
      </c>
      <c r="Q56">
        <f t="shared" si="2"/>
        <v>4.7350000000000005E-3</v>
      </c>
      <c r="R56">
        <f t="shared" si="3"/>
        <v>4.2450219502785518E-5</v>
      </c>
    </row>
    <row r="57" spans="16:18" x14ac:dyDescent="0.3">
      <c r="P57" s="2">
        <v>0.54</v>
      </c>
      <c r="Q57">
        <f t="shared" si="2"/>
        <v>4.7300000000000007E-3</v>
      </c>
      <c r="R57">
        <f t="shared" si="3"/>
        <v>5.1508504567120658E-5</v>
      </c>
    </row>
    <row r="58" spans="16:18" x14ac:dyDescent="0.3">
      <c r="P58" s="2">
        <v>0.55000000000000004</v>
      </c>
      <c r="Q58">
        <f t="shared" si="2"/>
        <v>4.725E-3</v>
      </c>
      <c r="R58">
        <f t="shared" si="3"/>
        <v>6.2499633089101202E-5</v>
      </c>
    </row>
    <row r="59" spans="16:18" x14ac:dyDescent="0.3">
      <c r="P59" s="2">
        <v>0.56000000000000005</v>
      </c>
      <c r="Q59">
        <f t="shared" si="2"/>
        <v>4.7200000000000002E-3</v>
      </c>
      <c r="R59">
        <f t="shared" si="3"/>
        <v>7.5836032344445383E-5</v>
      </c>
    </row>
    <row r="60" spans="16:18" x14ac:dyDescent="0.3">
      <c r="P60" s="2">
        <v>0.56999999999999995</v>
      </c>
      <c r="Q60">
        <f t="shared" si="2"/>
        <v>4.7149999999999996E-3</v>
      </c>
      <c r="R60">
        <f t="shared" si="3"/>
        <v>9.2018132730429511E-5</v>
      </c>
    </row>
    <row r="61" spans="16:18" x14ac:dyDescent="0.3">
      <c r="P61" s="2">
        <v>0.57999999999999996</v>
      </c>
      <c r="Q61">
        <f t="shared" si="2"/>
        <v>4.7099999999999998E-3</v>
      </c>
      <c r="R61">
        <f t="shared" si="3"/>
        <v>1.1165314574169192E-4</v>
      </c>
    </row>
    <row r="62" spans="16:18" x14ac:dyDescent="0.3">
      <c r="P62" s="2">
        <v>0.59</v>
      </c>
      <c r="Q62">
        <f t="shared" si="2"/>
        <v>4.705E-3</v>
      </c>
      <c r="R62">
        <f t="shared" si="3"/>
        <v>1.3547784876271406E-4</v>
      </c>
    </row>
    <row r="63" spans="16:18" x14ac:dyDescent="0.3">
      <c r="P63" s="2">
        <v>0.6</v>
      </c>
      <c r="Q63">
        <f t="shared" si="2"/>
        <v>4.7000000000000002E-3</v>
      </c>
      <c r="R63">
        <f t="shared" si="3"/>
        <v>1.6438623164559399E-4</v>
      </c>
    </row>
    <row r="64" spans="16:18" x14ac:dyDescent="0.3">
      <c r="P64" s="2">
        <v>0.61</v>
      </c>
      <c r="Q64">
        <f t="shared" si="2"/>
        <v>4.6950000000000004E-3</v>
      </c>
      <c r="R64">
        <f t="shared" si="3"/>
        <v>1.9946304247365736E-4</v>
      </c>
    </row>
    <row r="65" spans="16:18" x14ac:dyDescent="0.3">
      <c r="P65" s="2">
        <v>0.62</v>
      </c>
      <c r="Q65">
        <f t="shared" si="2"/>
        <v>4.6900000000000006E-3</v>
      </c>
      <c r="R65">
        <f t="shared" si="3"/>
        <v>2.4202449127044915E-4</v>
      </c>
    </row>
    <row r="66" spans="16:18" x14ac:dyDescent="0.3">
      <c r="P66" s="2">
        <v>0.63</v>
      </c>
      <c r="Q66">
        <f t="shared" si="2"/>
        <v>4.6849999999999999E-3</v>
      </c>
      <c r="R66">
        <f t="shared" si="3"/>
        <v>2.9366763900589454E-4</v>
      </c>
    </row>
    <row r="67" spans="16:18" x14ac:dyDescent="0.3">
      <c r="P67" s="2">
        <v>0.64</v>
      </c>
      <c r="Q67">
        <f t="shared" ref="Q67:Q98" si="4">(1/R_)*(Vsrc-P67)</f>
        <v>4.6800000000000001E-3</v>
      </c>
      <c r="R67">
        <f t="shared" ref="R67:R103" si="5">Is*(EXP(P67/(Eta*Vt))-1)</f>
        <v>3.5633032515547928E-4</v>
      </c>
    </row>
    <row r="68" spans="16:18" x14ac:dyDescent="0.3">
      <c r="P68" s="2">
        <v>0.65</v>
      </c>
      <c r="Q68">
        <f t="shared" si="4"/>
        <v>4.6750000000000003E-3</v>
      </c>
      <c r="R68">
        <f t="shared" si="5"/>
        <v>4.3236388251330002E-4</v>
      </c>
    </row>
    <row r="69" spans="16:18" x14ac:dyDescent="0.3">
      <c r="P69" s="2">
        <v>0.66</v>
      </c>
      <c r="Q69">
        <f t="shared" si="4"/>
        <v>4.6699999999999997E-3</v>
      </c>
      <c r="R69">
        <f t="shared" si="5"/>
        <v>5.2462136778427457E-4</v>
      </c>
    </row>
    <row r="70" spans="16:18" x14ac:dyDescent="0.3">
      <c r="P70" s="2">
        <v>0.67</v>
      </c>
      <c r="Q70">
        <f t="shared" si="4"/>
        <v>4.6649999999999999E-3</v>
      </c>
      <c r="R70">
        <f t="shared" si="5"/>
        <v>6.3656461868950918E-4</v>
      </c>
    </row>
    <row r="71" spans="16:18" x14ac:dyDescent="0.3">
      <c r="P71" s="2">
        <v>0.68</v>
      </c>
      <c r="Q71">
        <f t="shared" si="4"/>
        <v>4.6600000000000001E-3</v>
      </c>
      <c r="R71">
        <f t="shared" si="5"/>
        <v>7.7239415475832771E-4</v>
      </c>
    </row>
    <row r="72" spans="16:18" x14ac:dyDescent="0.3">
      <c r="P72" s="2">
        <v>0.69</v>
      </c>
      <c r="Q72">
        <f t="shared" si="4"/>
        <v>4.6550000000000003E-3</v>
      </c>
      <c r="R72">
        <f t="shared" si="5"/>
        <v>9.3720679615900331E-4</v>
      </c>
    </row>
    <row r="73" spans="16:18" x14ac:dyDescent="0.3">
      <c r="P73" s="2">
        <v>0.7</v>
      </c>
      <c r="Q73">
        <f t="shared" si="4"/>
        <v>4.6500000000000005E-3</v>
      </c>
      <c r="R73">
        <f t="shared" si="5"/>
        <v>1.1371869150022702E-3</v>
      </c>
    </row>
    <row r="74" spans="16:18" x14ac:dyDescent="0.3">
      <c r="P74" s="2">
        <v>0.71</v>
      </c>
      <c r="Q74">
        <f t="shared" si="4"/>
        <v>4.6449999999999998E-3</v>
      </c>
      <c r="R74">
        <f t="shared" si="5"/>
        <v>1.3798384955648457E-3</v>
      </c>
    </row>
    <row r="75" spans="16:18" x14ac:dyDescent="0.3">
      <c r="P75" s="2">
        <v>0.72</v>
      </c>
      <c r="Q75">
        <f t="shared" si="4"/>
        <v>4.64E-3</v>
      </c>
      <c r="R75">
        <f t="shared" si="5"/>
        <v>1.6742667111799326E-3</v>
      </c>
    </row>
    <row r="76" spans="16:18" x14ac:dyDescent="0.3">
      <c r="P76" s="2">
        <v>0.73</v>
      </c>
      <c r="Q76">
        <f t="shared" si="4"/>
        <v>4.6350000000000002E-3</v>
      </c>
      <c r="R76">
        <f t="shared" si="5"/>
        <v>2.0315195835877782E-3</v>
      </c>
    </row>
    <row r="77" spans="16:18" x14ac:dyDescent="0.3">
      <c r="P77" s="2">
        <v>0.74</v>
      </c>
      <c r="Q77">
        <f t="shared" si="4"/>
        <v>4.6299999999999996E-3</v>
      </c>
      <c r="R77">
        <f t="shared" si="5"/>
        <v>2.4650025450526874E-3</v>
      </c>
    </row>
    <row r="78" spans="16:18" x14ac:dyDescent="0.3">
      <c r="P78" s="2">
        <v>0.75</v>
      </c>
      <c r="Q78">
        <f t="shared" si="4"/>
        <v>4.6249999999999998E-3</v>
      </c>
      <c r="R78">
        <f t="shared" si="5"/>
        <v>2.9909814591308642E-3</v>
      </c>
    </row>
    <row r="79" spans="16:18" x14ac:dyDescent="0.3">
      <c r="P79" s="2">
        <v>0.76</v>
      </c>
      <c r="Q79">
        <f t="shared" si="4"/>
        <v>4.62E-3</v>
      </c>
      <c r="R79">
        <f t="shared" si="5"/>
        <v>3.6291929752650526E-3</v>
      </c>
    </row>
    <row r="80" spans="16:18" x14ac:dyDescent="0.3">
      <c r="P80" s="2">
        <v>0.77</v>
      </c>
      <c r="Q80">
        <f t="shared" si="4"/>
        <v>4.6150000000000002E-3</v>
      </c>
      <c r="R80">
        <f t="shared" si="5"/>
        <v>4.4035851199390498E-3</v>
      </c>
    </row>
    <row r="81" spans="16:18" x14ac:dyDescent="0.3">
      <c r="P81" s="2">
        <v>0.78</v>
      </c>
      <c r="Q81">
        <f t="shared" si="4"/>
        <v>4.6100000000000004E-3</v>
      </c>
      <c r="R81">
        <f t="shared" si="5"/>
        <v>5.3432159140764371E-3</v>
      </c>
    </row>
    <row r="82" spans="16:18" x14ac:dyDescent="0.3">
      <c r="P82" s="2">
        <v>0.79</v>
      </c>
      <c r="Q82">
        <f t="shared" si="4"/>
        <v>4.6050000000000006E-3</v>
      </c>
      <c r="R82">
        <f t="shared" si="5"/>
        <v>6.4833437360895876E-3</v>
      </c>
    </row>
    <row r="83" spans="16:18" x14ac:dyDescent="0.3">
      <c r="P83" s="2">
        <v>0.8</v>
      </c>
      <c r="Q83">
        <f t="shared" si="4"/>
        <v>4.5999999999999999E-3</v>
      </c>
      <c r="R83">
        <f t="shared" si="5"/>
        <v>7.866750344981974E-3</v>
      </c>
    </row>
    <row r="84" spans="16:18" x14ac:dyDescent="0.3">
      <c r="P84" s="2">
        <v>0.81</v>
      </c>
      <c r="Q84">
        <f t="shared" si="4"/>
        <v>4.5950000000000001E-3</v>
      </c>
      <c r="R84">
        <f t="shared" si="5"/>
        <v>9.5453462081614478E-3</v>
      </c>
    </row>
    <row r="85" spans="16:18" x14ac:dyDescent="0.3">
      <c r="P85" s="2">
        <v>0.82</v>
      </c>
      <c r="Q85">
        <f t="shared" si="4"/>
        <v>4.5900000000000003E-3</v>
      </c>
      <c r="R85">
        <f t="shared" si="5"/>
        <v>1.1582118371725972E-2</v>
      </c>
    </row>
    <row r="86" spans="16:18" x14ac:dyDescent="0.3">
      <c r="P86" s="2">
        <v>0.83</v>
      </c>
      <c r="Q86">
        <f t="shared" si="4"/>
        <v>4.5849999999999997E-3</v>
      </c>
      <c r="R86">
        <f t="shared" si="5"/>
        <v>1.4053493964427502E-2</v>
      </c>
    </row>
    <row r="87" spans="16:18" x14ac:dyDescent="0.3">
      <c r="P87" s="2">
        <v>0.84</v>
      </c>
      <c r="Q87">
        <f t="shared" si="4"/>
        <v>4.5799999999999999E-3</v>
      </c>
      <c r="R87">
        <f t="shared" si="5"/>
        <v>1.7052208022612408E-2</v>
      </c>
    </row>
    <row r="88" spans="16:18" x14ac:dyDescent="0.3">
      <c r="P88" s="2">
        <v>0.85</v>
      </c>
      <c r="Q88">
        <f t="shared" si="4"/>
        <v>4.5750000000000001E-3</v>
      </c>
      <c r="R88">
        <f t="shared" si="5"/>
        <v>2.0690783247402963E-2</v>
      </c>
    </row>
    <row r="89" spans="16:18" x14ac:dyDescent="0.3">
      <c r="P89" s="2">
        <v>0.86</v>
      </c>
      <c r="Q89">
        <f t="shared" si="4"/>
        <v>4.5700000000000003E-3</v>
      </c>
      <c r="R89">
        <f t="shared" si="5"/>
        <v>2.510575226731453E-2</v>
      </c>
    </row>
    <row r="90" spans="16:18" x14ac:dyDescent="0.3">
      <c r="P90" s="2">
        <v>0.87</v>
      </c>
      <c r="Q90">
        <f t="shared" si="4"/>
        <v>4.5650000000000005E-3</v>
      </c>
      <c r="R90">
        <f t="shared" si="5"/>
        <v>3.0462780841019745E-2</v>
      </c>
    </row>
    <row r="91" spans="16:18" x14ac:dyDescent="0.3">
      <c r="P91" s="2">
        <v>0.88</v>
      </c>
      <c r="Q91">
        <f t="shared" si="4"/>
        <v>4.5599999999999998E-3</v>
      </c>
      <c r="R91">
        <f t="shared" si="5"/>
        <v>3.6962884241534426E-2</v>
      </c>
    </row>
    <row r="92" spans="16:18" x14ac:dyDescent="0.3">
      <c r="P92" s="2">
        <v>0.89</v>
      </c>
      <c r="Q92">
        <f t="shared" si="4"/>
        <v>4.555E-3</v>
      </c>
      <c r="R92">
        <f t="shared" si="5"/>
        <v>4.4849970083258646E-2</v>
      </c>
    </row>
    <row r="93" spans="16:18" x14ac:dyDescent="0.3">
      <c r="P93" s="2">
        <v>0.9</v>
      </c>
      <c r="Q93">
        <f t="shared" si="4"/>
        <v>4.5500000000000002E-3</v>
      </c>
      <c r="R93">
        <f t="shared" si="5"/>
        <v>5.4419990626285879E-2</v>
      </c>
    </row>
    <row r="94" spans="16:18" x14ac:dyDescent="0.3">
      <c r="P94" s="2">
        <v>0.91</v>
      </c>
      <c r="Q94">
        <f t="shared" si="4"/>
        <v>4.5450000000000004E-3</v>
      </c>
      <c r="R94">
        <f t="shared" si="5"/>
        <v>6.6032047985857045E-2</v>
      </c>
    </row>
    <row r="95" spans="16:18" x14ac:dyDescent="0.3">
      <c r="P95" s="2">
        <v>0.92</v>
      </c>
      <c r="Q95">
        <f t="shared" si="4"/>
        <v>4.5399999999999998E-3</v>
      </c>
      <c r="R95">
        <f t="shared" si="5"/>
        <v>8.0121868954968339E-2</v>
      </c>
    </row>
    <row r="96" spans="16:18" x14ac:dyDescent="0.3">
      <c r="P96" s="2">
        <v>0.93</v>
      </c>
      <c r="Q96">
        <f t="shared" si="4"/>
        <v>4.535E-3</v>
      </c>
      <c r="R96">
        <f t="shared" si="5"/>
        <v>9.7218155064679693E-2</v>
      </c>
    </row>
    <row r="97" spans="16:18" x14ac:dyDescent="0.3">
      <c r="P97" s="2">
        <v>0.94</v>
      </c>
      <c r="Q97">
        <f t="shared" si="4"/>
        <v>4.5300000000000002E-3</v>
      </c>
      <c r="R97">
        <f t="shared" si="5"/>
        <v>0.11796242139608826</v>
      </c>
    </row>
    <row r="98" spans="16:18" x14ac:dyDescent="0.3">
      <c r="P98" s="2">
        <v>0.95</v>
      </c>
      <c r="Q98">
        <f t="shared" si="4"/>
        <v>4.5250000000000004E-3</v>
      </c>
      <c r="R98">
        <f t="shared" si="5"/>
        <v>0.14313306856863231</v>
      </c>
    </row>
    <row r="99" spans="16:18" x14ac:dyDescent="0.3">
      <c r="P99" s="2">
        <v>0.96</v>
      </c>
      <c r="Q99">
        <f t="shared" ref="Q99:Q103" si="6">(1/R_)*(Vsrc-P99)</f>
        <v>4.5199999999999997E-3</v>
      </c>
      <c r="R99">
        <f t="shared" si="5"/>
        <v>0.17367459117362488</v>
      </c>
    </row>
    <row r="100" spans="16:18" x14ac:dyDescent="0.3">
      <c r="P100" s="2">
        <v>0.97</v>
      </c>
      <c r="Q100">
        <f t="shared" si="6"/>
        <v>4.5149999999999999E-3</v>
      </c>
      <c r="R100">
        <f t="shared" si="5"/>
        <v>0.21073301866009589</v>
      </c>
    </row>
    <row r="101" spans="16:18" x14ac:dyDescent="0.3">
      <c r="P101" s="2">
        <v>0.98</v>
      </c>
      <c r="Q101">
        <f t="shared" si="6"/>
        <v>4.5100000000000001E-3</v>
      </c>
      <c r="R101">
        <f t="shared" si="5"/>
        <v>0.25569891854439109</v>
      </c>
    </row>
    <row r="102" spans="16:18" x14ac:dyDescent="0.3">
      <c r="P102" s="2">
        <v>0.99</v>
      </c>
      <c r="Q102">
        <f t="shared" si="6"/>
        <v>4.5050000000000003E-3</v>
      </c>
      <c r="R102">
        <f t="shared" si="5"/>
        <v>0.31025957558097478</v>
      </c>
    </row>
    <row r="103" spans="16:18" x14ac:dyDescent="0.3">
      <c r="P103" s="2">
        <v>1</v>
      </c>
      <c r="Q103">
        <f t="shared" si="6"/>
        <v>4.5000000000000005E-3</v>
      </c>
      <c r="R103">
        <f t="shared" si="5"/>
        <v>0.37646230484745652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r:id="rId5">
            <anchor moveWithCells="1">
              <from>
                <xdr:col>11</xdr:col>
                <xdr:colOff>198120</xdr:colOff>
                <xdr:row>0</xdr:row>
                <xdr:rowOff>76200</xdr:rowOff>
              </from>
              <to>
                <xdr:col>12</xdr:col>
                <xdr:colOff>845820</xdr:colOff>
                <xdr:row>3</xdr:row>
                <xdr:rowOff>7620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11</xdr:col>
                <xdr:colOff>152400</xdr:colOff>
                <xdr:row>3</xdr:row>
                <xdr:rowOff>144780</xdr:rowOff>
              </from>
              <to>
                <xdr:col>12</xdr:col>
                <xdr:colOff>1143000</xdr:colOff>
                <xdr:row>6</xdr:row>
                <xdr:rowOff>160020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workbookViewId="0">
      <selection activeCell="G23" sqref="G23"/>
    </sheetView>
  </sheetViews>
  <sheetFormatPr defaultRowHeight="14.4" x14ac:dyDescent="0.3"/>
  <cols>
    <col min="6" max="6" width="8.109375" customWidth="1"/>
    <col min="8" max="9" width="9.109375" customWidth="1"/>
    <col min="12" max="12" width="17.5546875" customWidth="1"/>
    <col min="13" max="13" width="20.44140625" customWidth="1"/>
  </cols>
  <sheetData>
    <row r="1" spans="1:14" ht="16.2" x14ac:dyDescent="0.3">
      <c r="H1" s="2" t="s">
        <v>3</v>
      </c>
      <c r="I1" s="2" t="s">
        <v>4</v>
      </c>
      <c r="J1" t="s">
        <v>5</v>
      </c>
    </row>
    <row r="2" spans="1:14" ht="18" x14ac:dyDescent="0.4">
      <c r="G2" s="4" t="s">
        <v>19</v>
      </c>
      <c r="H2">
        <v>2.2000000000000002</v>
      </c>
      <c r="I2">
        <v>0</v>
      </c>
      <c r="J2">
        <f>H2*POWER(10,I2)</f>
        <v>2.2000000000000002</v>
      </c>
      <c r="K2" s="3" t="s">
        <v>6</v>
      </c>
    </row>
    <row r="3" spans="1:14" ht="20.399999999999999" x14ac:dyDescent="0.45">
      <c r="G3" s="4" t="s">
        <v>20</v>
      </c>
      <c r="H3">
        <v>0.77</v>
      </c>
      <c r="I3">
        <v>0</v>
      </c>
      <c r="J3">
        <f>H3*POWER(10,I3)</f>
        <v>0.77</v>
      </c>
      <c r="K3" s="2" t="s">
        <v>1</v>
      </c>
      <c r="L3" s="8" t="s">
        <v>24</v>
      </c>
      <c r="M3" s="6">
        <f>(J5-J3)/(J6+J2)</f>
        <v>4.6099290780141841E-3</v>
      </c>
      <c r="N3" s="6"/>
    </row>
    <row r="4" spans="1:14" ht="15.6" x14ac:dyDescent="0.3">
      <c r="G4" s="4"/>
      <c r="K4" s="2"/>
    </row>
    <row r="5" spans="1:14" ht="18" x14ac:dyDescent="0.4">
      <c r="G5" s="4" t="s">
        <v>7</v>
      </c>
      <c r="H5" s="7">
        <v>1</v>
      </c>
      <c r="I5" s="7">
        <v>1</v>
      </c>
      <c r="J5">
        <f>H5*POWER(10,I5)</f>
        <v>10</v>
      </c>
      <c r="K5" s="2" t="s">
        <v>1</v>
      </c>
    </row>
    <row r="6" spans="1:14" ht="15.6" x14ac:dyDescent="0.3">
      <c r="G6" s="4" t="s">
        <v>2</v>
      </c>
      <c r="H6" s="7">
        <v>2</v>
      </c>
      <c r="I6" s="7">
        <v>3</v>
      </c>
      <c r="J6">
        <f>H6*POWER(10,I6)</f>
        <v>2000</v>
      </c>
      <c r="K6" s="3" t="s">
        <v>6</v>
      </c>
    </row>
    <row r="9" spans="1:14" x14ac:dyDescent="0.3">
      <c r="G9" t="s">
        <v>21</v>
      </c>
    </row>
    <row r="13" spans="1:14" ht="20.399999999999999" x14ac:dyDescent="0.45">
      <c r="A13" s="1" t="s">
        <v>0</v>
      </c>
    </row>
    <row r="14" spans="1:14" ht="16.2" x14ac:dyDescent="0.35">
      <c r="G14" t="s">
        <v>22</v>
      </c>
    </row>
    <row r="18" spans="7:7" x14ac:dyDescent="0.3">
      <c r="G18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4099" r:id="rId4">
          <objectPr defaultSize="0" r:id="rId5">
            <anchor moveWithCells="1">
              <from>
                <xdr:col>6</xdr:col>
                <xdr:colOff>76200</xdr:colOff>
                <xdr:row>9</xdr:row>
                <xdr:rowOff>83820</xdr:rowOff>
              </from>
              <to>
                <xdr:col>12</xdr:col>
                <xdr:colOff>601980</xdr:colOff>
                <xdr:row>12</xdr:row>
                <xdr:rowOff>76200</xdr:rowOff>
              </to>
            </anchor>
          </objectPr>
        </oleObject>
      </mc:Choice>
      <mc:Fallback>
        <oleObject progId="Equation.3" shapeId="4099" r:id="rId4"/>
      </mc:Fallback>
    </mc:AlternateContent>
    <mc:AlternateContent xmlns:mc="http://schemas.openxmlformats.org/markup-compatibility/2006">
      <mc:Choice Requires="x14">
        <oleObject progId="Equation.3" shapeId="4100" r:id="rId6">
          <objectPr defaultSize="0" autoPict="0" r:id="rId7">
            <anchor moveWithCells="1">
              <from>
                <xdr:col>6</xdr:col>
                <xdr:colOff>30480</xdr:colOff>
                <xdr:row>14</xdr:row>
                <xdr:rowOff>60960</xdr:rowOff>
              </from>
              <to>
                <xdr:col>14</xdr:col>
                <xdr:colOff>563880</xdr:colOff>
                <xdr:row>15</xdr:row>
                <xdr:rowOff>182880</xdr:rowOff>
              </to>
            </anchor>
          </objectPr>
        </oleObject>
      </mc:Choice>
      <mc:Fallback>
        <oleObject progId="Equation.3" shapeId="4100" r:id="rId6"/>
      </mc:Fallback>
    </mc:AlternateContent>
    <mc:AlternateContent xmlns:mc="http://schemas.openxmlformats.org/markup-compatibility/2006">
      <mc:Choice Requires="x14">
        <oleObject progId="Equation.3" shapeId="4101" r:id="rId8">
          <objectPr defaultSize="0" autoPict="0" r:id="rId9">
            <anchor moveWithCells="1">
              <from>
                <xdr:col>7</xdr:col>
                <xdr:colOff>457200</xdr:colOff>
                <xdr:row>17</xdr:row>
                <xdr:rowOff>38100</xdr:rowOff>
              </from>
              <to>
                <xdr:col>10</xdr:col>
                <xdr:colOff>190500</xdr:colOff>
                <xdr:row>20</xdr:row>
                <xdr:rowOff>106680</xdr:rowOff>
              </to>
            </anchor>
          </objectPr>
        </oleObject>
      </mc:Choice>
      <mc:Fallback>
        <oleObject progId="Equation.3" shapeId="4101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zoomScale="91" zoomScaleNormal="91" workbookViewId="0">
      <selection activeCell="L17" sqref="L17"/>
    </sheetView>
  </sheetViews>
  <sheetFormatPr defaultRowHeight="14.4" x14ac:dyDescent="0.3"/>
  <cols>
    <col min="5" max="5" width="11.109375" customWidth="1"/>
    <col min="12" max="12" width="15.5546875" customWidth="1"/>
  </cols>
  <sheetData>
    <row r="2" spans="1:12" ht="18.600000000000001" x14ac:dyDescent="0.45">
      <c r="B2" s="10" t="s">
        <v>26</v>
      </c>
      <c r="D2" s="11" t="s">
        <v>28</v>
      </c>
      <c r="E2" s="13">
        <v>1</v>
      </c>
      <c r="F2" s="12" t="s">
        <v>9</v>
      </c>
      <c r="G2" s="12" t="s">
        <v>27</v>
      </c>
      <c r="H2" s="11" t="s">
        <v>29</v>
      </c>
      <c r="I2" s="13">
        <v>0.7</v>
      </c>
      <c r="J2" s="12" t="s">
        <v>1</v>
      </c>
      <c r="K2" s="15" t="s">
        <v>31</v>
      </c>
    </row>
    <row r="3" spans="1:12" ht="16.2" x14ac:dyDescent="0.35">
      <c r="D3" s="11" t="s">
        <v>28</v>
      </c>
      <c r="E3" s="13">
        <v>2</v>
      </c>
      <c r="F3" s="12" t="s">
        <v>9</v>
      </c>
      <c r="G3" s="12" t="s">
        <v>27</v>
      </c>
      <c r="H3" s="11" t="s">
        <v>29</v>
      </c>
      <c r="I3" s="13">
        <v>0.73</v>
      </c>
      <c r="J3" s="12" t="s">
        <v>1</v>
      </c>
      <c r="K3" s="14" t="s">
        <v>32</v>
      </c>
    </row>
    <row r="5" spans="1:12" ht="18" x14ac:dyDescent="0.4">
      <c r="A5" s="11" t="s">
        <v>30</v>
      </c>
      <c r="B5">
        <v>2.5999999999999999E-2</v>
      </c>
      <c r="C5" t="s">
        <v>1</v>
      </c>
      <c r="E5" s="16" t="s">
        <v>33</v>
      </c>
      <c r="F5">
        <f>I2/B5</f>
        <v>26.923076923076923</v>
      </c>
    </row>
    <row r="6" spans="1:12" ht="18" x14ac:dyDescent="0.4">
      <c r="E6" s="16" t="s">
        <v>34</v>
      </c>
      <c r="F6">
        <f>I3/B5</f>
        <v>28.076923076923077</v>
      </c>
    </row>
    <row r="7" spans="1:12" x14ac:dyDescent="0.3">
      <c r="A7" s="11" t="s">
        <v>36</v>
      </c>
      <c r="B7">
        <f>LN(E3)</f>
        <v>0.69314718055994529</v>
      </c>
    </row>
    <row r="9" spans="1:12" x14ac:dyDescent="0.3">
      <c r="A9" t="s">
        <v>35</v>
      </c>
      <c r="G9" t="s">
        <v>38</v>
      </c>
    </row>
    <row r="10" spans="1:12" ht="18" x14ac:dyDescent="0.35">
      <c r="L10" s="17">
        <f>(F6-F5)/B7</f>
        <v>1.6646481241026494</v>
      </c>
    </row>
    <row r="13" spans="1:12" ht="18" x14ac:dyDescent="0.35">
      <c r="G13" t="s">
        <v>39</v>
      </c>
      <c r="L13" s="17">
        <f>1/EXP(F5/L10)</f>
        <v>9.4616475818645175E-8</v>
      </c>
    </row>
    <row r="16" spans="1:12" x14ac:dyDescent="0.3">
      <c r="A16" t="s">
        <v>37</v>
      </c>
    </row>
    <row r="17" spans="7:12" ht="15.6" x14ac:dyDescent="0.3">
      <c r="G17" t="s">
        <v>40</v>
      </c>
      <c r="K17" t="s">
        <v>41</v>
      </c>
      <c r="L17" s="18">
        <f>(L10*B5)/E2</f>
        <v>4.328085122666888E-2</v>
      </c>
    </row>
    <row r="19" spans="7:12" ht="15.6" x14ac:dyDescent="0.3">
      <c r="K19" t="s">
        <v>42</v>
      </c>
      <c r="L19" s="18">
        <f>L10*B5/E3</f>
        <v>2.164042561333444E-2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45"/>
  <sheetViews>
    <sheetView topLeftCell="B7" zoomScale="95" zoomScaleNormal="95" workbookViewId="0">
      <selection activeCell="K16" sqref="K16"/>
    </sheetView>
  </sheetViews>
  <sheetFormatPr defaultRowHeight="14.4" x14ac:dyDescent="0.3"/>
  <cols>
    <col min="5" max="5" width="8.109375" customWidth="1"/>
    <col min="6" max="6" width="3.44140625" customWidth="1"/>
    <col min="7" max="7" width="5.109375" customWidth="1"/>
    <col min="10" max="10" width="12.44140625" bestFit="1" customWidth="1"/>
    <col min="11" max="11" width="12.5546875" bestFit="1" customWidth="1"/>
    <col min="12" max="12" width="12.5546875" customWidth="1"/>
    <col min="13" max="13" width="11.6640625" customWidth="1"/>
    <col min="14" max="14" width="12.44140625" bestFit="1" customWidth="1"/>
  </cols>
  <sheetData>
    <row r="2" spans="1:14" ht="18.600000000000001" x14ac:dyDescent="0.45">
      <c r="B2" s="10" t="s">
        <v>43</v>
      </c>
      <c r="D2" t="s">
        <v>44</v>
      </c>
      <c r="E2" s="7">
        <v>1</v>
      </c>
      <c r="J2" t="s">
        <v>44</v>
      </c>
      <c r="K2" s="7">
        <v>2</v>
      </c>
    </row>
    <row r="4" spans="1:14" ht="18" x14ac:dyDescent="0.4">
      <c r="A4" s="11" t="s">
        <v>30</v>
      </c>
      <c r="B4">
        <v>2.5999999999999999E-2</v>
      </c>
      <c r="C4" t="s">
        <v>1</v>
      </c>
      <c r="E4" s="7">
        <v>10</v>
      </c>
      <c r="G4" s="16" t="s">
        <v>45</v>
      </c>
      <c r="H4" s="19">
        <f>E2*$B$4*LN(E4)</f>
        <v>5.9867212417845192E-2</v>
      </c>
      <c r="K4" s="7">
        <v>10</v>
      </c>
      <c r="M4" s="16" t="s">
        <v>45</v>
      </c>
      <c r="N4" s="19">
        <f>K2*$B$4*LN(K4)</f>
        <v>0.11973442483569038</v>
      </c>
    </row>
    <row r="6" spans="1:14" ht="18" x14ac:dyDescent="0.4">
      <c r="E6" s="7">
        <v>100</v>
      </c>
      <c r="G6" s="16" t="s">
        <v>45</v>
      </c>
      <c r="H6" s="19">
        <f>E2*$B$4*LN(E6)</f>
        <v>0.11973442483569038</v>
      </c>
      <c r="K6" s="7">
        <v>100</v>
      </c>
      <c r="M6" s="16" t="s">
        <v>45</v>
      </c>
      <c r="N6" s="19">
        <f>K2*$B$4*LN(K6)</f>
        <v>0.23946884967138077</v>
      </c>
    </row>
    <row r="8" spans="1:14" ht="18" x14ac:dyDescent="0.4">
      <c r="D8" s="20" t="s">
        <v>46</v>
      </c>
      <c r="E8" s="7">
        <v>0.8</v>
      </c>
      <c r="G8" s="16" t="s">
        <v>45</v>
      </c>
      <c r="H8" s="19">
        <f>E2*$B$4*LN(1+E8)</f>
        <v>1.5282453287455094E-2</v>
      </c>
      <c r="J8" s="20" t="s">
        <v>46</v>
      </c>
      <c r="K8" s="7">
        <v>0.8</v>
      </c>
      <c r="M8" s="16" t="s">
        <v>45</v>
      </c>
      <c r="N8" s="19">
        <f>K2*$B$4*LN(1+K8)</f>
        <v>3.0564906574910188E-2</v>
      </c>
    </row>
    <row r="10" spans="1:14" ht="18" x14ac:dyDescent="0.4">
      <c r="D10" s="20" t="s">
        <v>47</v>
      </c>
      <c r="E10" s="7">
        <v>0.95</v>
      </c>
      <c r="G10" s="16" t="s">
        <v>45</v>
      </c>
      <c r="H10" s="19">
        <f>E2*$B$4*LN(1+E10)</f>
        <v>1.7363563686967041E-2</v>
      </c>
      <c r="J10" s="20" t="s">
        <v>47</v>
      </c>
      <c r="K10" s="7">
        <v>0.95</v>
      </c>
      <c r="M10" s="16" t="s">
        <v>45</v>
      </c>
      <c r="N10" s="19">
        <f>K2*$B$4*LN(1+K10)</f>
        <v>3.4727127373934082E-2</v>
      </c>
    </row>
    <row r="12" spans="1:14" ht="18.600000000000001" x14ac:dyDescent="0.45">
      <c r="B12" s="10" t="s">
        <v>48</v>
      </c>
    </row>
    <row r="14" spans="1:14" ht="18" x14ac:dyDescent="0.4">
      <c r="B14" s="20" t="s">
        <v>28</v>
      </c>
      <c r="C14">
        <v>1</v>
      </c>
      <c r="D14">
        <v>-3</v>
      </c>
      <c r="E14" s="7">
        <f>C14*POWER(10,D14)</f>
        <v>1E-3</v>
      </c>
      <c r="G14" s="16" t="s">
        <v>45</v>
      </c>
      <c r="H14" s="7">
        <v>0.3</v>
      </c>
      <c r="J14" s="16" t="s">
        <v>8</v>
      </c>
      <c r="K14" s="19">
        <f>$E$14/(EXP(H14/$B$4)-1)</f>
        <v>9.747967165471425E-9</v>
      </c>
    </row>
    <row r="15" spans="1:14" ht="18" x14ac:dyDescent="0.4">
      <c r="G15" s="16" t="s">
        <v>45</v>
      </c>
      <c r="H15" s="7">
        <v>0.5</v>
      </c>
      <c r="J15" s="16" t="s">
        <v>8</v>
      </c>
      <c r="K15" s="19">
        <f>$E$14/(EXP(H15/$B$4)-1)</f>
        <v>4.4481870586889081E-12</v>
      </c>
    </row>
    <row r="16" spans="1:14" ht="18" x14ac:dyDescent="0.4">
      <c r="G16" s="16" t="s">
        <v>45</v>
      </c>
      <c r="H16" s="7">
        <v>0.7</v>
      </c>
      <c r="J16" s="16" t="s">
        <v>8</v>
      </c>
      <c r="K16" s="19">
        <f>$E$14/(EXP(H16/$B$4)-1)</f>
        <v>2.0298140601101118E-15</v>
      </c>
    </row>
    <row r="17" spans="2:13" ht="16.2" x14ac:dyDescent="0.35">
      <c r="B17" s="12" t="s">
        <v>49</v>
      </c>
    </row>
    <row r="18" spans="2:13" ht="16.2" x14ac:dyDescent="0.35">
      <c r="C18" s="12" t="s">
        <v>50</v>
      </c>
    </row>
    <row r="20" spans="2:13" ht="18.600000000000001" x14ac:dyDescent="0.45">
      <c r="B20" s="10" t="s">
        <v>51</v>
      </c>
      <c r="L20" t="s">
        <v>54</v>
      </c>
      <c r="M20" t="s">
        <v>54</v>
      </c>
    </row>
    <row r="21" spans="2:13" x14ac:dyDescent="0.3">
      <c r="K21" s="21" t="s">
        <v>55</v>
      </c>
      <c r="L21" s="22">
        <v>2</v>
      </c>
      <c r="M21" s="22">
        <v>1</v>
      </c>
    </row>
    <row r="22" spans="2:13" x14ac:dyDescent="0.3">
      <c r="J22" s="2" t="s">
        <v>53</v>
      </c>
      <c r="K22" s="22">
        <v>2</v>
      </c>
      <c r="L22" s="19">
        <f>L$21*$B$4*LN($K22)</f>
        <v>3.604365338911715E-2</v>
      </c>
      <c r="M22" s="19">
        <f>M$21*$B$4*LN($K22)</f>
        <v>1.8021826694558575E-2</v>
      </c>
    </row>
    <row r="23" spans="2:13" x14ac:dyDescent="0.3">
      <c r="B23" s="2" t="s">
        <v>52</v>
      </c>
      <c r="J23" s="2" t="s">
        <v>56</v>
      </c>
      <c r="K23" s="22">
        <v>10</v>
      </c>
      <c r="L23" s="19">
        <f>L$21*$B$4*LN($K23)</f>
        <v>0.11973442483569038</v>
      </c>
      <c r="M23" s="19">
        <f>M$21*$B$4*LN($K23)</f>
        <v>5.9867212417845192E-2</v>
      </c>
    </row>
    <row r="25" spans="2:13" x14ac:dyDescent="0.3">
      <c r="J25" s="23" t="s">
        <v>57</v>
      </c>
      <c r="K25" s="22">
        <v>0.1</v>
      </c>
      <c r="L25" s="19">
        <f>K25/(B4*LN(K26))</f>
        <v>1.670363391935584</v>
      </c>
    </row>
    <row r="26" spans="2:13" x14ac:dyDescent="0.3">
      <c r="K26" s="22">
        <v>10</v>
      </c>
    </row>
    <row r="28" spans="2:13" x14ac:dyDescent="0.3">
      <c r="B28" t="s">
        <v>59</v>
      </c>
    </row>
    <row r="29" spans="2:13" x14ac:dyDescent="0.3">
      <c r="C29" t="s">
        <v>60</v>
      </c>
    </row>
    <row r="30" spans="2:13" ht="18" x14ac:dyDescent="0.4">
      <c r="J30" s="16" t="s">
        <v>8</v>
      </c>
      <c r="K30">
        <v>9.747967165471425E-9</v>
      </c>
    </row>
    <row r="32" spans="2:13" x14ac:dyDescent="0.3">
      <c r="I32" s="2" t="s">
        <v>181</v>
      </c>
      <c r="J32" t="s">
        <v>182</v>
      </c>
    </row>
    <row r="33" spans="9:13" x14ac:dyDescent="0.3">
      <c r="I33" s="2"/>
      <c r="J33">
        <v>1</v>
      </c>
      <c r="K33">
        <v>1.67</v>
      </c>
      <c r="L33">
        <v>2</v>
      </c>
    </row>
    <row r="34" spans="9:13" x14ac:dyDescent="0.3">
      <c r="I34" s="2">
        <v>5.0000000000000001E-3</v>
      </c>
      <c r="J34" s="68">
        <f>$K$30*(EXP($I34/(J$33*$B$4))-1)</f>
        <v>2.0669920621115863E-9</v>
      </c>
      <c r="K34" s="68">
        <f>$K$30*(EXP($I34/(K$33*$B$4))-1)</f>
        <v>1.1897058945978716E-9</v>
      </c>
      <c r="L34" s="68">
        <f>$K$30*(EXP($I34/(L$33*$B$4))-1)</f>
        <v>9.8384696876807993E-10</v>
      </c>
      <c r="M34" s="69"/>
    </row>
    <row r="35" spans="9:13" x14ac:dyDescent="0.3">
      <c r="I35" s="2">
        <v>0.05</v>
      </c>
      <c r="J35" s="68">
        <f t="shared" ref="J35:L45" si="0">$K$30*(EXP($I35/(J$33*$B$4))-1)</f>
        <v>5.6947413190949221E-8</v>
      </c>
      <c r="K35" s="68">
        <f t="shared" si="0"/>
        <v>2.1085535112879384E-8</v>
      </c>
      <c r="L35" s="68">
        <f t="shared" si="0"/>
        <v>1.5749961726950727E-8</v>
      </c>
      <c r="M35" s="69"/>
    </row>
    <row r="36" spans="9:13" x14ac:dyDescent="0.3">
      <c r="I36" s="2">
        <v>0.1</v>
      </c>
      <c r="J36" s="68">
        <f t="shared" si="0"/>
        <v>4.4658038164595958E-7</v>
      </c>
      <c r="K36" s="68">
        <f t="shared" si="0"/>
        <v>8.7780558178416236E-8</v>
      </c>
      <c r="L36" s="68">
        <f t="shared" si="0"/>
        <v>5.6947413190949221E-8</v>
      </c>
      <c r="M36" s="69"/>
    </row>
    <row r="37" spans="9:13" x14ac:dyDescent="0.3">
      <c r="I37" s="2">
        <v>0.15</v>
      </c>
      <c r="J37" s="68">
        <f t="shared" si="0"/>
        <v>3.1124407184099671E-6</v>
      </c>
      <c r="K37" s="68">
        <f t="shared" si="0"/>
        <v>2.9874158325552899E-7</v>
      </c>
      <c r="L37" s="68">
        <f t="shared" si="0"/>
        <v>1.647083104269264E-7</v>
      </c>
      <c r="M37" s="69"/>
    </row>
    <row r="38" spans="9:13" x14ac:dyDescent="0.3">
      <c r="I38" s="2">
        <v>0.2</v>
      </c>
      <c r="J38" s="68">
        <f t="shared" si="0"/>
        <v>2.1352199441373682E-5</v>
      </c>
      <c r="K38" s="68">
        <f t="shared" si="0"/>
        <v>9.6602606800418144E-7</v>
      </c>
      <c r="L38" s="68">
        <f t="shared" si="0"/>
        <v>4.4658038164595958E-7</v>
      </c>
      <c r="M38" s="69"/>
    </row>
    <row r="39" spans="9:13" x14ac:dyDescent="0.3">
      <c r="I39" s="2">
        <v>0.25</v>
      </c>
      <c r="J39" s="68">
        <f t="shared" si="0"/>
        <v>1.461482338336963E-4</v>
      </c>
      <c r="K39" s="68">
        <f t="shared" si="0"/>
        <v>3.076693587862481E-6</v>
      </c>
      <c r="L39" s="68">
        <f t="shared" si="0"/>
        <v>1.1838781081053275E-6</v>
      </c>
      <c r="M39" s="69"/>
    </row>
    <row r="40" spans="9:13" x14ac:dyDescent="0.3">
      <c r="I40" s="2">
        <v>0.3</v>
      </c>
      <c r="J40" s="68">
        <f t="shared" si="0"/>
        <v>1E-3</v>
      </c>
      <c r="K40" s="68">
        <f t="shared" si="0"/>
        <v>9.7528826514562942E-6</v>
      </c>
      <c r="L40" s="68">
        <f t="shared" si="0"/>
        <v>3.1124407184099671E-6</v>
      </c>
      <c r="M40" s="69"/>
    </row>
    <row r="41" spans="9:13" x14ac:dyDescent="0.3">
      <c r="I41" s="2">
        <v>0.35</v>
      </c>
      <c r="J41" s="68">
        <f t="shared" si="0"/>
        <v>6.8420353029276003E-3</v>
      </c>
      <c r="K41" s="68">
        <f t="shared" si="0"/>
        <v>3.0870135839605021E-5</v>
      </c>
      <c r="L41" s="68">
        <f t="shared" si="0"/>
        <v>8.157015804414948E-6</v>
      </c>
      <c r="M41" s="69"/>
    </row>
    <row r="42" spans="9:13" x14ac:dyDescent="0.3">
      <c r="I42" s="2">
        <v>0.4</v>
      </c>
      <c r="J42" s="68">
        <f t="shared" si="0"/>
        <v>4.6813114397709396E-2</v>
      </c>
      <c r="K42" s="68">
        <f t="shared" si="0"/>
        <v>9.7665485396756149E-5</v>
      </c>
      <c r="L42" s="68">
        <f t="shared" si="0"/>
        <v>2.1352199441373682E-5</v>
      </c>
      <c r="M42" s="69"/>
    </row>
    <row r="43" spans="9:13" x14ac:dyDescent="0.3">
      <c r="I43" s="2">
        <v>0.45</v>
      </c>
      <c r="J43" s="68">
        <f t="shared" si="0"/>
        <v>0.32029437241076086</v>
      </c>
      <c r="K43" s="68">
        <f t="shared" si="0"/>
        <v>3.0894385018739683E-4</v>
      </c>
      <c r="L43" s="68">
        <f t="shared" si="0"/>
        <v>5.5867072992587037E-5</v>
      </c>
      <c r="M43" s="69"/>
    </row>
    <row r="44" spans="9:13" x14ac:dyDescent="0.3">
      <c r="I44" s="2">
        <v>0.5</v>
      </c>
      <c r="J44" s="70">
        <f t="shared" si="0"/>
        <v>2.1914472203749034</v>
      </c>
      <c r="K44" s="68">
        <f t="shared" si="0"/>
        <v>9.7723210265643259E-4</v>
      </c>
      <c r="L44" s="68">
        <f t="shared" si="0"/>
        <v>1.461482338336963E-4</v>
      </c>
      <c r="M44" s="69"/>
    </row>
    <row r="45" spans="9:13" x14ac:dyDescent="0.3">
      <c r="I45" s="2">
        <v>0.55000000000000004</v>
      </c>
      <c r="J45" s="70">
        <f t="shared" si="0"/>
        <v>14.993834506004774</v>
      </c>
      <c r="K45" s="68">
        <f t="shared" si="0"/>
        <v>3.0910746100550105E-3</v>
      </c>
      <c r="L45" s="68">
        <f t="shared" si="0"/>
        <v>3.8229825161441517E-4</v>
      </c>
      <c r="M45" s="69">
        <f>LOG10(J45)</f>
        <v>1.1759127130243285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6145" r:id="rId4">
          <object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6</xdr:col>
                <xdr:colOff>137160</xdr:colOff>
                <xdr:row>35</xdr:row>
                <xdr:rowOff>22860</xdr:rowOff>
              </to>
            </anchor>
          </objectPr>
        </oleObject>
      </mc:Choice>
      <mc:Fallback>
        <oleObject progId="Equation.DSMT4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72"/>
  <sheetViews>
    <sheetView topLeftCell="A4" workbookViewId="0">
      <selection activeCell="G7" sqref="G7"/>
    </sheetView>
  </sheetViews>
  <sheetFormatPr defaultRowHeight="14.4" x14ac:dyDescent="0.3"/>
  <cols>
    <col min="1" max="6" width="8.88671875" style="71"/>
    <col min="7" max="7" width="13.33203125" style="71" customWidth="1"/>
    <col min="8" max="8" width="8.88671875" style="71"/>
    <col min="9" max="9" width="13.6640625" style="71" customWidth="1"/>
    <col min="10" max="12" width="8.88671875" style="71"/>
    <col min="13" max="13" width="11" style="71" bestFit="1" customWidth="1"/>
    <col min="14" max="16384" width="8.88671875" style="71"/>
  </cols>
  <sheetData>
    <row r="3" spans="1:13" ht="18.600000000000001" x14ac:dyDescent="0.45">
      <c r="B3" s="79" t="s">
        <v>58</v>
      </c>
    </row>
    <row r="5" spans="1:13" ht="16.2" x14ac:dyDescent="0.3">
      <c r="B5" s="75" t="s">
        <v>3</v>
      </c>
      <c r="C5" s="75" t="s">
        <v>4</v>
      </c>
      <c r="D5" s="71" t="s">
        <v>5</v>
      </c>
      <c r="M5" s="71">
        <v>0.04</v>
      </c>
    </row>
    <row r="6" spans="1:13" ht="18" x14ac:dyDescent="0.4">
      <c r="A6" s="77" t="s">
        <v>8</v>
      </c>
      <c r="B6" s="71">
        <v>0.1</v>
      </c>
      <c r="C6" s="71">
        <v>-9</v>
      </c>
      <c r="D6" s="76">
        <f>B6*POWER(10,C6)</f>
        <v>1.0000000000000002E-10</v>
      </c>
      <c r="E6" s="75" t="s">
        <v>9</v>
      </c>
      <c r="K6" s="71" t="s">
        <v>184</v>
      </c>
      <c r="L6" s="71">
        <v>11</v>
      </c>
      <c r="M6" s="71">
        <f>M5-L6*L7</f>
        <v>-0.28999999999999998</v>
      </c>
    </row>
    <row r="7" spans="1:13" ht="15.6" x14ac:dyDescent="0.3">
      <c r="A7" s="77" t="s">
        <v>61</v>
      </c>
      <c r="B7" s="71">
        <v>1</v>
      </c>
      <c r="C7" s="71">
        <v>-3</v>
      </c>
      <c r="D7" s="76">
        <f>B7*POWER(10,C7)</f>
        <v>1E-3</v>
      </c>
      <c r="E7" s="75" t="s">
        <v>1</v>
      </c>
      <c r="G7" s="74">
        <f>($D$9*$D$10)/($D$6*EXP(D7/($D$9*$D$10)))</f>
        <v>510095540.42730534</v>
      </c>
      <c r="I7" s="78">
        <f>(G7*G8)/(G7+G8)</f>
        <v>259951930.48411202</v>
      </c>
      <c r="K7" s="71" t="s">
        <v>183</v>
      </c>
      <c r="L7" s="71">
        <v>0.03</v>
      </c>
    </row>
    <row r="8" spans="1:13" ht="15.6" x14ac:dyDescent="0.3">
      <c r="A8" s="77"/>
      <c r="B8" s="71">
        <v>-1</v>
      </c>
      <c r="C8" s="71">
        <v>-3</v>
      </c>
      <c r="D8" s="76">
        <f>B8*POWER(10,C8)</f>
        <v>-1E-3</v>
      </c>
      <c r="E8" s="75" t="s">
        <v>1</v>
      </c>
      <c r="G8" s="74">
        <f>($D$9*$D$10)/($D$6*EXP(D8/($D$9*$D$10)))</f>
        <v>530096773.19171762</v>
      </c>
    </row>
    <row r="9" spans="1:13" x14ac:dyDescent="0.3">
      <c r="A9" s="71" t="s">
        <v>54</v>
      </c>
      <c r="D9" s="71">
        <v>2</v>
      </c>
      <c r="M9" s="71">
        <f>L7/0.000000000025</f>
        <v>1200000000</v>
      </c>
    </row>
    <row r="10" spans="1:13" ht="16.2" x14ac:dyDescent="0.35">
      <c r="A10" s="73" t="s">
        <v>30</v>
      </c>
      <c r="D10" s="71">
        <v>2.5999999999999999E-2</v>
      </c>
      <c r="E10" s="71" t="s">
        <v>1</v>
      </c>
    </row>
    <row r="12" spans="1:13" x14ac:dyDescent="0.3">
      <c r="B12" s="71">
        <v>-0.28999999999999998</v>
      </c>
      <c r="C12" s="71">
        <f>$D$6*(EXP(B12/($D$9*$D$10))-1)</f>
        <v>-9.9621580871067528E-11</v>
      </c>
    </row>
    <row r="13" spans="1:13" x14ac:dyDescent="0.3">
      <c r="B13" s="71">
        <v>-0.28949999999999998</v>
      </c>
      <c r="C13" s="71">
        <f>$D$6*(EXP(B13/($D$9*$D$10))-1)</f>
        <v>-9.9617924675905284E-11</v>
      </c>
    </row>
    <row r="14" spans="1:13" x14ac:dyDescent="0.3">
      <c r="B14" s="71">
        <v>-0.28899999999999998</v>
      </c>
      <c r="C14" s="71">
        <f>$D$6*(EXP(B14/($D$9*$D$10))-1)</f>
        <v>-9.9614233155459381E-11</v>
      </c>
      <c r="H14" s="72"/>
    </row>
    <row r="15" spans="1:13" x14ac:dyDescent="0.3">
      <c r="B15" s="71">
        <v>-0.28849999999999998</v>
      </c>
      <c r="C15" s="71">
        <f>$D$6*(EXP(B15/($D$9*$D$10))-1)</f>
        <v>-9.9610505968425405E-11</v>
      </c>
    </row>
    <row r="16" spans="1:13" x14ac:dyDescent="0.3">
      <c r="B16" s="71">
        <v>-0.28799999999999998</v>
      </c>
      <c r="C16" s="71">
        <f>$D$6*(EXP(B16/($D$9*$D$10))-1)</f>
        <v>-9.9606742770201296E-11</v>
      </c>
    </row>
    <row r="17" spans="2:3" x14ac:dyDescent="0.3">
      <c r="B17" s="71">
        <v>-0.28749999999999998</v>
      </c>
      <c r="C17" s="71">
        <f>$D$6*(EXP(B17/($D$9*$D$10))-1)</f>
        <v>-9.9602943212855527E-11</v>
      </c>
    </row>
    <row r="18" spans="2:3" x14ac:dyDescent="0.3">
      <c r="B18" s="71">
        <v>-0.28699999999999998</v>
      </c>
      <c r="C18" s="71">
        <f>$D$6*(EXP(B18/($D$9*$D$10))-1)</f>
        <v>-9.9599106945094974E-11</v>
      </c>
    </row>
    <row r="19" spans="2:3" x14ac:dyDescent="0.3">
      <c r="B19" s="71">
        <v>-0.28649999999999998</v>
      </c>
      <c r="C19" s="71">
        <f>$D$6*(EXP(B19/($D$9*$D$10))-1)</f>
        <v>-9.9595233612232384E-11</v>
      </c>
    </row>
    <row r="20" spans="2:3" x14ac:dyDescent="0.3">
      <c r="B20" s="71">
        <v>-0.28599999999999998</v>
      </c>
      <c r="C20" s="71">
        <f>$D$6*(EXP(B20/($D$9*$D$10))-1)</f>
        <v>-9.9591322856153611E-11</v>
      </c>
    </row>
    <row r="21" spans="2:3" x14ac:dyDescent="0.3">
      <c r="B21" s="71">
        <v>-0.28549999999999998</v>
      </c>
      <c r="C21" s="71">
        <f>$D$6*(EXP(B21/($D$9*$D$10))-1)</f>
        <v>-9.9587374315284464E-11</v>
      </c>
    </row>
    <row r="22" spans="2:3" x14ac:dyDescent="0.3">
      <c r="B22" s="71">
        <v>-0.28499999999999998</v>
      </c>
      <c r="C22" s="71">
        <f>$D$6*(EXP(B22/($D$9*$D$10))-1)</f>
        <v>-9.9583387624557349E-11</v>
      </c>
    </row>
    <row r="23" spans="2:3" x14ac:dyDescent="0.3">
      <c r="B23" s="71">
        <v>-0.28449999999999998</v>
      </c>
      <c r="C23" s="71">
        <f>$D$6*(EXP(B23/($D$9*$D$10))-1)</f>
        <v>-9.9579362415377443E-11</v>
      </c>
    </row>
    <row r="24" spans="2:3" x14ac:dyDescent="0.3">
      <c r="B24" s="71">
        <v>-0.28399999999999997</v>
      </c>
      <c r="C24" s="71">
        <f>$D$6*(EXP(B24/($D$9*$D$10))-1)</f>
        <v>-9.9575298315588681E-11</v>
      </c>
    </row>
    <row r="25" spans="2:3" x14ac:dyDescent="0.3">
      <c r="B25" s="71">
        <v>-0.28349999999999997</v>
      </c>
      <c r="C25" s="71">
        <f>$D$6*(EXP(B25/($D$9*$D$10))-1)</f>
        <v>-9.957119494943928E-11</v>
      </c>
    </row>
    <row r="26" spans="2:3" x14ac:dyDescent="0.3">
      <c r="B26" s="71">
        <v>-0.28299999999999997</v>
      </c>
      <c r="C26" s="71">
        <f>$D$6*(EXP(B26/($D$9*$D$10))-1)</f>
        <v>-9.9567051937547065E-11</v>
      </c>
    </row>
    <row r="27" spans="2:3" x14ac:dyDescent="0.3">
      <c r="B27" s="71">
        <v>-0.28249999999999997</v>
      </c>
      <c r="C27" s="71">
        <f>$D$6*(EXP(B27/($D$9*$D$10))-1)</f>
        <v>-9.9562868896864328E-11</v>
      </c>
    </row>
    <row r="28" spans="2:3" x14ac:dyDescent="0.3">
      <c r="B28" s="71">
        <v>-0.28199999999999997</v>
      </c>
      <c r="C28" s="71">
        <f>$D$6*(EXP(B28/($D$9*$D$10))-1)</f>
        <v>-9.9558645440642488E-11</v>
      </c>
    </row>
    <row r="29" spans="2:3" x14ac:dyDescent="0.3">
      <c r="B29" s="71">
        <v>-0.28149999999999997</v>
      </c>
      <c r="C29" s="71">
        <f>$D$6*(EXP(B29/($D$9*$D$10))-1)</f>
        <v>-9.9554381178396243E-11</v>
      </c>
    </row>
    <row r="30" spans="2:3" x14ac:dyDescent="0.3">
      <c r="B30" s="71">
        <v>-0.28100000000000003</v>
      </c>
      <c r="C30" s="71">
        <f>$D$6*(EXP(B30/($D$9*$D$10))-1)</f>
        <v>-9.9550075715867557E-11</v>
      </c>
    </row>
    <row r="31" spans="2:3" x14ac:dyDescent="0.3">
      <c r="B31" s="71">
        <v>-0.28050000000000003</v>
      </c>
      <c r="C31" s="71">
        <f>$D$6*(EXP(B31/($D$9*$D$10))-1)</f>
        <v>-9.9545728654989136E-11</v>
      </c>
    </row>
    <row r="32" spans="2:3" x14ac:dyDescent="0.3">
      <c r="B32" s="71">
        <v>-0.28000000000000003</v>
      </c>
      <c r="C32" s="71">
        <f>$D$6*(EXP(B32/($D$9*$D$10))-1)</f>
        <v>-9.9541339593847686E-11</v>
      </c>
    </row>
    <row r="33" spans="2:3" x14ac:dyDescent="0.3">
      <c r="B33" s="71">
        <v>-0.27950000000000003</v>
      </c>
      <c r="C33" s="71">
        <f>$D$6*(EXP(B33/($D$9*$D$10))-1)</f>
        <v>-9.9536908126646688E-11</v>
      </c>
    </row>
    <row r="34" spans="2:3" x14ac:dyDescent="0.3">
      <c r="B34" s="71">
        <v>-0.27900000000000003</v>
      </c>
      <c r="C34" s="71">
        <f>$D$6*(EXP(B34/($D$9*$D$10))-1)</f>
        <v>-9.9532433843668952E-11</v>
      </c>
    </row>
    <row r="35" spans="2:3" x14ac:dyDescent="0.3">
      <c r="B35" s="71">
        <v>-0.27850000000000003</v>
      </c>
      <c r="C35" s="71">
        <f>$D$6*(EXP(B35/($D$9*$D$10))-1)</f>
        <v>-9.9527916331238663E-11</v>
      </c>
    </row>
    <row r="36" spans="2:3" x14ac:dyDescent="0.3">
      <c r="B36" s="71">
        <v>-0.27800000000000002</v>
      </c>
      <c r="C36" s="71">
        <f>$D$6*(EXP(B36/($D$9*$D$10))-1)</f>
        <v>-9.9523355171683185E-11</v>
      </c>
    </row>
    <row r="37" spans="2:3" x14ac:dyDescent="0.3">
      <c r="B37" s="71">
        <v>-0.27750000000000002</v>
      </c>
      <c r="C37" s="71">
        <f>$D$6*(EXP(B37/($D$9*$D$10))-1)</f>
        <v>-9.9518749943294428E-11</v>
      </c>
    </row>
    <row r="38" spans="2:3" x14ac:dyDescent="0.3">
      <c r="B38" s="71">
        <v>-0.27700000000000002</v>
      </c>
      <c r="C38" s="71">
        <f>$D$6*(EXP(B38/($D$9*$D$10))-1)</f>
        <v>-9.951410022028987E-11</v>
      </c>
    </row>
    <row r="39" spans="2:3" x14ac:dyDescent="0.3">
      <c r="B39" s="71">
        <v>-0.27650000000000002</v>
      </c>
      <c r="C39" s="71">
        <f>$D$6*(EXP(B39/($D$9*$D$10))-1)</f>
        <v>-9.9509405572773176E-11</v>
      </c>
    </row>
    <row r="40" spans="2:3" x14ac:dyDescent="0.3">
      <c r="B40" s="71">
        <v>-0.27600000000000002</v>
      </c>
      <c r="C40" s="71">
        <f>$D$6*(EXP(B40/($D$9*$D$10))-1)</f>
        <v>-9.9504665566694423E-11</v>
      </c>
    </row>
    <row r="41" spans="2:3" x14ac:dyDescent="0.3">
      <c r="B41" s="71">
        <v>-0.27550000000000002</v>
      </c>
      <c r="C41" s="71">
        <f>$D$6*(EXP(B41/($D$9*$D$10))-1)</f>
        <v>-9.9499879763810028E-11</v>
      </c>
    </row>
    <row r="42" spans="2:3" x14ac:dyDescent="0.3">
      <c r="B42" s="71">
        <v>-0.27500000000000002</v>
      </c>
      <c r="C42" s="71">
        <f>$D$6*(EXP(B42/($D$9*$D$10))-1)</f>
        <v>-9.9495047721642237E-11</v>
      </c>
    </row>
    <row r="43" spans="2:3" x14ac:dyDescent="0.3">
      <c r="B43" s="71">
        <v>-0.27450000000000002</v>
      </c>
      <c r="C43" s="71">
        <f>$D$6*(EXP(B43/($D$9*$D$10))-1)</f>
        <v>-9.9490168993438116E-11</v>
      </c>
    </row>
    <row r="44" spans="2:3" x14ac:dyDescent="0.3">
      <c r="B44" s="71">
        <v>-0.27400000000000002</v>
      </c>
      <c r="C44" s="71">
        <f>$D$6*(EXP(B44/($D$9*$D$10))-1)</f>
        <v>-9.9485243128128349E-11</v>
      </c>
    </row>
    <row r="45" spans="2:3" x14ac:dyDescent="0.3">
      <c r="B45" s="71">
        <v>-0.27350000000000002</v>
      </c>
      <c r="C45" s="71">
        <f>$D$6*(EXP(B45/($D$9*$D$10))-1)</f>
        <v>-9.94802696702855E-11</v>
      </c>
    </row>
    <row r="46" spans="2:3" x14ac:dyDescent="0.3">
      <c r="B46" s="71">
        <v>-0.27300000000000002</v>
      </c>
      <c r="C46" s="71">
        <f>$D$6*(EXP(B46/($D$9*$D$10))-1)</f>
        <v>-9.9475248160081884E-11</v>
      </c>
    </row>
    <row r="47" spans="2:3" x14ac:dyDescent="0.3">
      <c r="B47" s="71">
        <v>-0.27250000000000002</v>
      </c>
      <c r="C47" s="71">
        <f>$D$6*(EXP(B47/($D$9*$D$10))-1)</f>
        <v>-9.9470178133247067E-11</v>
      </c>
    </row>
    <row r="48" spans="2:3" x14ac:dyDescent="0.3">
      <c r="B48" s="71">
        <v>-0.27200000000000002</v>
      </c>
      <c r="C48" s="71">
        <f>$D$6*(EXP(B48/($D$9*$D$10))-1)</f>
        <v>-9.9465059121024968E-11</v>
      </c>
    </row>
    <row r="49" spans="2:3" x14ac:dyDescent="0.3">
      <c r="B49" s="71">
        <v>-0.27150000000000002</v>
      </c>
      <c r="C49" s="71">
        <f>$D$6*(EXP(B49/($D$9*$D$10))-1)</f>
        <v>-9.9459890650130499E-11</v>
      </c>
    </row>
    <row r="50" spans="2:3" x14ac:dyDescent="0.3">
      <c r="B50" s="71">
        <v>-0.27100000000000002</v>
      </c>
      <c r="C50" s="71">
        <f>$D$6*(EXP(B50/($D$9*$D$10))-1)</f>
        <v>-9.9454672242705763E-11</v>
      </c>
    </row>
    <row r="51" spans="2:3" x14ac:dyDescent="0.3">
      <c r="B51" s="71">
        <v>-0.27050000000000002</v>
      </c>
      <c r="C51" s="71">
        <f>$D$6*(EXP(B51/($D$9*$D$10))-1)</f>
        <v>-9.9449403416275956E-11</v>
      </c>
    </row>
    <row r="52" spans="2:3" x14ac:dyDescent="0.3">
      <c r="B52" s="71">
        <v>-0.27</v>
      </c>
      <c r="C52" s="71">
        <f>$D$6*(EXP(B52/($D$9*$D$10))-1)</f>
        <v>-9.9444083683704719E-11</v>
      </c>
    </row>
    <row r="53" spans="2:3" x14ac:dyDescent="0.3">
      <c r="B53" s="71">
        <v>-0.26950000000000002</v>
      </c>
      <c r="C53" s="71">
        <f>$D$6*(EXP(B53/($D$9*$D$10))-1)</f>
        <v>-9.9438712553149054E-11</v>
      </c>
    </row>
    <row r="54" spans="2:3" x14ac:dyDescent="0.3">
      <c r="B54" s="71">
        <v>-0.26900000000000002</v>
      </c>
      <c r="C54" s="71">
        <f>$D$6*(EXP(B54/($D$9*$D$10))-1)</f>
        <v>-9.9433289528013934E-11</v>
      </c>
    </row>
    <row r="55" spans="2:3" x14ac:dyDescent="0.3">
      <c r="B55" s="71">
        <v>-0.26850000000000002</v>
      </c>
      <c r="C55" s="71">
        <f>$D$6*(EXP(B55/($D$9*$D$10))-1)</f>
        <v>-9.9427814106906326E-11</v>
      </c>
    </row>
    <row r="56" spans="2:3" x14ac:dyDescent="0.3">
      <c r="B56" s="71">
        <v>-0.26800000000000002</v>
      </c>
      <c r="C56" s="71">
        <f>$D$6*(EXP(B56/($D$9*$D$10))-1)</f>
        <v>-9.9422285783588903E-11</v>
      </c>
    </row>
    <row r="57" spans="2:3" x14ac:dyDescent="0.3">
      <c r="B57" s="71">
        <v>-0.26750000000000002</v>
      </c>
      <c r="C57" s="71">
        <f>$D$6*(EXP(B57/($D$9*$D$10))-1)</f>
        <v>-9.9416704046933118E-11</v>
      </c>
    </row>
    <row r="58" spans="2:3" x14ac:dyDescent="0.3">
      <c r="B58" s="71">
        <v>-0.26700000000000002</v>
      </c>
      <c r="C58" s="71">
        <f>$D$6*(EXP(B58/($D$9*$D$10))-1)</f>
        <v>-9.94110683808721E-11</v>
      </c>
    </row>
    <row r="59" spans="2:3" x14ac:dyDescent="0.3">
      <c r="B59" s="71">
        <v>-0.26650000000000001</v>
      </c>
      <c r="C59" s="71">
        <f>$D$6*(EXP(B59/($D$9*$D$10))-1)</f>
        <v>-9.9405378264352813E-11</v>
      </c>
    </row>
    <row r="60" spans="2:3" x14ac:dyDescent="0.3">
      <c r="B60" s="71">
        <v>-0.26600000000000001</v>
      </c>
      <c r="C60" s="71">
        <f>$D$6*(EXP(B60/($D$9*$D$10))-1)</f>
        <v>-9.9399633171287936E-11</v>
      </c>
    </row>
    <row r="61" spans="2:3" x14ac:dyDescent="0.3">
      <c r="B61" s="71">
        <v>-0.26550000000000001</v>
      </c>
      <c r="C61" s="71">
        <f>$D$6*(EXP(B61/($D$9*$D$10))-1)</f>
        <v>-9.9393832570507238E-11</v>
      </c>
    </row>
    <row r="62" spans="2:3" x14ac:dyDescent="0.3">
      <c r="B62" s="71">
        <v>-0.26500000000000001</v>
      </c>
      <c r="C62" s="71">
        <f>$D$6*(EXP(B62/($D$9*$D$10))-1)</f>
        <v>-9.9387975925708441E-11</v>
      </c>
    </row>
    <row r="63" spans="2:3" x14ac:dyDescent="0.3">
      <c r="B63" s="71">
        <v>-0.26450000000000001</v>
      </c>
      <c r="C63" s="71">
        <f>$D$6*(EXP(B63/($D$9*$D$10))-1)</f>
        <v>-9.9382062695407624E-11</v>
      </c>
    </row>
    <row r="64" spans="2:3" x14ac:dyDescent="0.3">
      <c r="B64" s="71">
        <v>-0.26400000000000001</v>
      </c>
      <c r="C64" s="71">
        <f>$D$6*(EXP(B64/($D$9*$D$10))-1)</f>
        <v>-9.9376092332889224E-11</v>
      </c>
    </row>
    <row r="65" spans="2:3" x14ac:dyDescent="0.3">
      <c r="B65" s="71">
        <v>-0.26350000000000001</v>
      </c>
      <c r="C65" s="71">
        <f>$D$6*(EXP(B65/($D$9*$D$10))-1)</f>
        <v>-9.9370064286155391E-11</v>
      </c>
    </row>
    <row r="66" spans="2:3" x14ac:dyDescent="0.3">
      <c r="B66" s="71">
        <v>-0.26300000000000001</v>
      </c>
      <c r="C66" s="71">
        <f>$D$6*(EXP(B66/($D$9*$D$10))-1)</f>
        <v>-9.9363977997875014E-11</v>
      </c>
    </row>
    <row r="67" spans="2:3" x14ac:dyDescent="0.3">
      <c r="B67" s="71">
        <v>-0.26250000000000001</v>
      </c>
      <c r="C67" s="71">
        <f>$D$6*(EXP(B67/($D$9*$D$10))-1)</f>
        <v>-9.9357832905332206E-11</v>
      </c>
    </row>
    <row r="68" spans="2:3" x14ac:dyDescent="0.3">
      <c r="B68" s="71">
        <v>-0.26200000000000001</v>
      </c>
      <c r="C68" s="71">
        <f>$D$6*(EXP(B68/($D$9*$D$10))-1)</f>
        <v>-9.9351628440374241E-11</v>
      </c>
    </row>
    <row r="69" spans="2:3" x14ac:dyDescent="0.3">
      <c r="B69" s="71">
        <v>-0.26150000000000001</v>
      </c>
      <c r="C69" s="71">
        <f>$D$6*(EXP(B69/($D$9*$D$10))-1)</f>
        <v>-9.9345364029359041E-11</v>
      </c>
    </row>
    <row r="70" spans="2:3" x14ac:dyDescent="0.3">
      <c r="B70" s="71">
        <v>-0.26100000000000001</v>
      </c>
      <c r="C70" s="71">
        <f>$D$6*(EXP(B70/($D$9*$D$10))-1)</f>
        <v>-9.9339039093102122E-11</v>
      </c>
    </row>
    <row r="71" spans="2:3" x14ac:dyDescent="0.3">
      <c r="B71" s="71">
        <v>-0.26050000000000001</v>
      </c>
      <c r="C71" s="71">
        <f>$D$6*(EXP(B71/($D$9*$D$10))-1)</f>
        <v>-9.9332653046823083E-11</v>
      </c>
    </row>
    <row r="72" spans="2:3" x14ac:dyDescent="0.3">
      <c r="B72" s="71">
        <v>-0.26</v>
      </c>
      <c r="C72" s="71">
        <f>$D$6*(EXP(B72/($D$9*$D$10))-1)</f>
        <v>-9.9326205300091466E-11</v>
      </c>
    </row>
    <row r="73" spans="2:3" x14ac:dyDescent="0.3">
      <c r="B73" s="71">
        <v>-0.25950000000000001</v>
      </c>
      <c r="C73" s="71">
        <f>$D$6*(EXP(B73/($D$9*$D$10))-1)</f>
        <v>-9.9319695256772279E-11</v>
      </c>
    </row>
    <row r="74" spans="2:3" x14ac:dyDescent="0.3">
      <c r="B74" s="71">
        <v>-0.25900000000000001</v>
      </c>
      <c r="C74" s="71">
        <f>$D$6*(EXP(B74/($D$9*$D$10))-1)</f>
        <v>-9.931312231497078E-11</v>
      </c>
    </row>
    <row r="75" spans="2:3" x14ac:dyDescent="0.3">
      <c r="B75" s="71">
        <v>-0.25850000000000001</v>
      </c>
      <c r="C75" s="71">
        <f>$D$6*(EXP(B75/($D$9*$D$10))-1)</f>
        <v>-9.9306485866976864E-11</v>
      </c>
    </row>
    <row r="76" spans="2:3" x14ac:dyDescent="0.3">
      <c r="B76" s="71">
        <v>-0.25800000000000001</v>
      </c>
      <c r="C76" s="71">
        <f>$D$6*(EXP(B76/($D$9*$D$10))-1)</f>
        <v>-9.9299785299208864E-11</v>
      </c>
    </row>
    <row r="77" spans="2:3" x14ac:dyDescent="0.3">
      <c r="B77" s="71">
        <v>-0.25750000000000001</v>
      </c>
      <c r="C77" s="71">
        <f>$D$6*(EXP(B77/($D$9*$D$10))-1)</f>
        <v>-9.9293019992156892E-11</v>
      </c>
    </row>
    <row r="78" spans="2:3" x14ac:dyDescent="0.3">
      <c r="B78" s="71">
        <v>-0.25700000000000001</v>
      </c>
      <c r="C78" s="71">
        <f>$D$6*(EXP(B78/($D$9*$D$10))-1)</f>
        <v>-9.9286189320325425E-11</v>
      </c>
    </row>
    <row r="79" spans="2:3" x14ac:dyDescent="0.3">
      <c r="B79" s="71">
        <v>-0.25650000000000001</v>
      </c>
      <c r="C79" s="71">
        <f>$D$6*(EXP(B79/($D$9*$D$10))-1)</f>
        <v>-9.9279292652175597E-11</v>
      </c>
    </row>
    <row r="80" spans="2:3" x14ac:dyDescent="0.3">
      <c r="B80" s="71">
        <v>-0.25600000000000001</v>
      </c>
      <c r="C80" s="71">
        <f>$D$6*(EXP(B80/($D$9*$D$10))-1)</f>
        <v>-9.9272329350066768E-11</v>
      </c>
    </row>
    <row r="81" spans="2:3" x14ac:dyDescent="0.3">
      <c r="B81" s="71">
        <v>-0.2555</v>
      </c>
      <c r="C81" s="71">
        <f>$D$6*(EXP(B81/($D$9*$D$10))-1)</f>
        <v>-9.9265298770197546E-11</v>
      </c>
    </row>
    <row r="82" spans="2:3" x14ac:dyDescent="0.3">
      <c r="B82" s="71">
        <v>-0.255</v>
      </c>
      <c r="C82" s="71">
        <f>$D$6*(EXP(B82/($D$9*$D$10))-1)</f>
        <v>-9.9258200262546296E-11</v>
      </c>
    </row>
    <row r="83" spans="2:3" x14ac:dyDescent="0.3">
      <c r="B83" s="71">
        <v>-0.2545</v>
      </c>
      <c r="C83" s="71">
        <f>$D$6*(EXP(B83/($D$9*$D$10))-1)</f>
        <v>-9.9251033170811027E-11</v>
      </c>
    </row>
    <row r="84" spans="2:3" x14ac:dyDescent="0.3">
      <c r="B84" s="71">
        <v>-0.254</v>
      </c>
      <c r="C84" s="71">
        <f>$D$6*(EXP(B84/($D$9*$D$10))-1)</f>
        <v>-9.92437968323487E-11</v>
      </c>
    </row>
    <row r="85" spans="2:3" x14ac:dyDescent="0.3">
      <c r="B85" s="71">
        <v>-0.2535</v>
      </c>
      <c r="C85" s="71">
        <f>$D$6*(EXP(B85/($D$9*$D$10))-1)</f>
        <v>-9.9236490578114011E-11</v>
      </c>
    </row>
    <row r="86" spans="2:3" x14ac:dyDescent="0.3">
      <c r="B86" s="71">
        <v>-0.253</v>
      </c>
      <c r="C86" s="71">
        <f>$D$6*(EXP(B86/($D$9*$D$10))-1)</f>
        <v>-9.9229113732597487E-11</v>
      </c>
    </row>
    <row r="87" spans="2:3" x14ac:dyDescent="0.3">
      <c r="B87" s="71">
        <v>-0.2525</v>
      </c>
      <c r="C87" s="71">
        <f>$D$6*(EXP(B87/($D$9*$D$10))-1)</f>
        <v>-9.9221665613763018E-11</v>
      </c>
    </row>
    <row r="88" spans="2:3" x14ac:dyDescent="0.3">
      <c r="B88" s="71">
        <v>-0.252</v>
      </c>
      <c r="C88" s="71">
        <f>$D$6*(EXP(B88/($D$9*$D$10))-1)</f>
        <v>-9.9214145532984852E-11</v>
      </c>
    </row>
    <row r="89" spans="2:3" x14ac:dyDescent="0.3">
      <c r="B89" s="71">
        <v>-0.2515</v>
      </c>
      <c r="C89" s="71">
        <f>$D$6*(EXP(B89/($D$9*$D$10))-1)</f>
        <v>-9.9206552794983873E-11</v>
      </c>
    </row>
    <row r="90" spans="2:3" x14ac:dyDescent="0.3">
      <c r="B90" s="71">
        <v>-0.251</v>
      </c>
      <c r="C90" s="71">
        <f>$D$6*(EXP(B90/($D$9*$D$10))-1)</f>
        <v>-9.9198886697763405E-11</v>
      </c>
    </row>
    <row r="91" spans="2:3" x14ac:dyDescent="0.3">
      <c r="B91" s="71">
        <v>-0.2505</v>
      </c>
      <c r="C91" s="71">
        <f>$D$6*(EXP(B91/($D$9*$D$10))-1)</f>
        <v>-9.9191146532544163E-11</v>
      </c>
    </row>
    <row r="92" spans="2:3" x14ac:dyDescent="0.3">
      <c r="B92" s="71">
        <v>-0.25</v>
      </c>
      <c r="C92" s="71">
        <f>$D$6*(EXP(B92/($D$9*$D$10))-1)</f>
        <v>-9.9183331583698879E-11</v>
      </c>
    </row>
    <row r="93" spans="2:3" x14ac:dyDescent="0.3">
      <c r="B93" s="71">
        <v>-0.2495</v>
      </c>
      <c r="C93" s="71">
        <f>$D$6*(EXP(B93/($D$9*$D$10))-1)</f>
        <v>-9.9175441128686025E-11</v>
      </c>
    </row>
    <row r="94" spans="2:3" x14ac:dyDescent="0.3">
      <c r="B94" s="71">
        <v>-0.249</v>
      </c>
      <c r="C94" s="71">
        <f>$D$6*(EXP(B94/($D$9*$D$10))-1)</f>
        <v>-9.9167474437983056E-11</v>
      </c>
    </row>
    <row r="95" spans="2:3" x14ac:dyDescent="0.3">
      <c r="B95" s="71">
        <v>-0.2485</v>
      </c>
      <c r="C95" s="71">
        <f>$D$6*(EXP(B95/($D$9*$D$10))-1)</f>
        <v>-9.9159430775018956E-11</v>
      </c>
    </row>
    <row r="96" spans="2:3" x14ac:dyDescent="0.3">
      <c r="B96" s="71">
        <v>-0.248</v>
      </c>
      <c r="C96" s="71">
        <f>$D$6*(EXP(B96/($D$9*$D$10))-1)</f>
        <v>-9.9151309396106139E-11</v>
      </c>
    </row>
    <row r="97" spans="2:3" x14ac:dyDescent="0.3">
      <c r="B97" s="71">
        <v>-0.2475</v>
      </c>
      <c r="C97" s="71">
        <f>$D$6*(EXP(B97/($D$9*$D$10))-1)</f>
        <v>-9.9143109550371701E-11</v>
      </c>
    </row>
    <row r="98" spans="2:3" x14ac:dyDescent="0.3">
      <c r="B98" s="71">
        <v>-0.247</v>
      </c>
      <c r="C98" s="71">
        <f>$D$6*(EXP(B98/($D$9*$D$10))-1)</f>
        <v>-9.9134830479687951E-11</v>
      </c>
    </row>
    <row r="99" spans="2:3" x14ac:dyDescent="0.3">
      <c r="B99" s="71">
        <v>-0.2465</v>
      </c>
      <c r="C99" s="71">
        <f>$D$6*(EXP(B99/($D$9*$D$10))-1)</f>
        <v>-9.9126471418602384E-11</v>
      </c>
    </row>
    <row r="100" spans="2:3" x14ac:dyDescent="0.3">
      <c r="B100" s="71">
        <v>-0.246</v>
      </c>
      <c r="C100" s="71">
        <f>$D$6*(EXP(B100/($D$9*$D$10))-1)</f>
        <v>-9.9118031594266841E-11</v>
      </c>
    </row>
    <row r="101" spans="2:3" x14ac:dyDescent="0.3">
      <c r="B101" s="71">
        <v>-0.2455</v>
      </c>
      <c r="C101" s="71">
        <f>$D$6*(EXP(B101/($D$9*$D$10))-1)</f>
        <v>-9.9109510226366126E-11</v>
      </c>
    </row>
    <row r="102" spans="2:3" x14ac:dyDescent="0.3">
      <c r="B102" s="71">
        <v>-0.245</v>
      </c>
      <c r="C102" s="71">
        <f>$D$6*(EXP(B102/($D$9*$D$10))-1)</f>
        <v>-9.9100906527045784E-11</v>
      </c>
    </row>
    <row r="103" spans="2:3" x14ac:dyDescent="0.3">
      <c r="B103" s="71">
        <v>-0.2445</v>
      </c>
      <c r="C103" s="71">
        <f>$D$6*(EXP(B103/($D$9*$D$10))-1)</f>
        <v>-9.9092219700839345E-11</v>
      </c>
    </row>
    <row r="104" spans="2:3" x14ac:dyDescent="0.3">
      <c r="B104" s="71">
        <v>-0.24399999999999999</v>
      </c>
      <c r="C104" s="71">
        <f>$D$6*(EXP(B104/($D$9*$D$10))-1)</f>
        <v>-9.9083448944594683E-11</v>
      </c>
    </row>
    <row r="105" spans="2:3" x14ac:dyDescent="0.3">
      <c r="B105" s="71">
        <v>-0.24349999999999999</v>
      </c>
      <c r="C105" s="71">
        <f>$D$6*(EXP(B105/($D$9*$D$10))-1)</f>
        <v>-9.9074593447399862E-11</v>
      </c>
    </row>
    <row r="106" spans="2:3" x14ac:dyDescent="0.3">
      <c r="B106" s="71">
        <v>-0.24299999999999999</v>
      </c>
      <c r="C106" s="71">
        <f>$D$6*(EXP(B106/($D$9*$D$10))-1)</f>
        <v>-9.9065652390508036E-11</v>
      </c>
    </row>
    <row r="107" spans="2:3" x14ac:dyDescent="0.3">
      <c r="B107" s="71">
        <v>-0.24249999999999999</v>
      </c>
      <c r="C107" s="71">
        <f>$D$6*(EXP(B107/($D$9*$D$10))-1)</f>
        <v>-9.90566249472619E-11</v>
      </c>
    </row>
    <row r="108" spans="2:3" x14ac:dyDescent="0.3">
      <c r="B108" s="71">
        <v>-0.24199999999999999</v>
      </c>
      <c r="C108" s="71">
        <f>$D$6*(EXP(B108/($D$9*$D$10))-1)</f>
        <v>-9.9047510283017139E-11</v>
      </c>
    </row>
    <row r="109" spans="2:3" x14ac:dyDescent="0.3">
      <c r="B109" s="71">
        <v>-0.24149999999999999</v>
      </c>
      <c r="C109" s="71">
        <f>$D$6*(EXP(B109/($D$9*$D$10))-1)</f>
        <v>-9.903830755506532E-11</v>
      </c>
    </row>
    <row r="110" spans="2:3" x14ac:dyDescent="0.3">
      <c r="B110" s="71">
        <v>-0.24099999999999999</v>
      </c>
      <c r="C110" s="71">
        <f>$D$6*(EXP(B110/($D$9*$D$10))-1)</f>
        <v>-9.9029015912555952E-11</v>
      </c>
    </row>
    <row r="111" spans="2:3" x14ac:dyDescent="0.3">
      <c r="B111" s="71">
        <v>-0.24049999999999999</v>
      </c>
      <c r="C111" s="71">
        <f>$D$6*(EXP(B111/($D$9*$D$10))-1)</f>
        <v>-9.9019634496417833E-11</v>
      </c>
    </row>
    <row r="112" spans="2:3" x14ac:dyDescent="0.3">
      <c r="B112" s="71">
        <v>-0.24</v>
      </c>
      <c r="C112" s="71">
        <f>$D$6*(EXP(B112/($D$9*$D$10))-1)</f>
        <v>-9.9010162439279633E-11</v>
      </c>
    </row>
    <row r="113" spans="2:3" x14ac:dyDescent="0.3">
      <c r="B113" s="71">
        <v>-0.23949999999999999</v>
      </c>
      <c r="C113" s="71">
        <f>$D$6*(EXP(B113/($D$9*$D$10))-1)</f>
        <v>-9.9000598865389652E-11</v>
      </c>
    </row>
    <row r="114" spans="2:3" x14ac:dyDescent="0.3">
      <c r="B114" s="71">
        <v>-0.23899999999999999</v>
      </c>
      <c r="C114" s="71">
        <f>$D$6*(EXP(B114/($D$9*$D$10))-1)</f>
        <v>-9.8990942890534944E-11</v>
      </c>
    </row>
    <row r="115" spans="2:3" x14ac:dyDescent="0.3">
      <c r="B115" s="71">
        <v>-0.23849999999999999</v>
      </c>
      <c r="C115" s="71">
        <f>$D$6*(EXP(B115/($D$9*$D$10))-1)</f>
        <v>-9.8981193621959443E-11</v>
      </c>
    </row>
    <row r="116" spans="2:3" x14ac:dyDescent="0.3">
      <c r="B116" s="71">
        <v>-0.23799999999999999</v>
      </c>
      <c r="C116" s="71">
        <f>$D$6*(EXP(B116/($D$9*$D$10))-1)</f>
        <v>-9.8971350158281552E-11</v>
      </c>
    </row>
    <row r="117" spans="2:3" x14ac:dyDescent="0.3">
      <c r="B117" s="71">
        <v>-0.23749999999999999</v>
      </c>
      <c r="C117" s="71">
        <f>$D$6*(EXP(B117/($D$9*$D$10))-1)</f>
        <v>-9.8961411589410706E-11</v>
      </c>
    </row>
    <row r="118" spans="2:3" x14ac:dyDescent="0.3">
      <c r="B118" s="71">
        <v>-0.23699999999999999</v>
      </c>
      <c r="C118" s="71">
        <f>$D$6*(EXP(B118/($D$9*$D$10))-1)</f>
        <v>-9.8951376996463226E-11</v>
      </c>
    </row>
    <row r="119" spans="2:3" x14ac:dyDescent="0.3">
      <c r="B119" s="71">
        <v>-0.23649999999999999</v>
      </c>
      <c r="C119" s="71">
        <f>$D$6*(EXP(B119/($D$9*$D$10))-1)</f>
        <v>-9.8941245451677486E-11</v>
      </c>
    </row>
    <row r="120" spans="2:3" x14ac:dyDescent="0.3">
      <c r="B120" s="71">
        <v>-0.23599999999999999</v>
      </c>
      <c r="C120" s="71">
        <f>$D$6*(EXP(B120/($D$9*$D$10))-1)</f>
        <v>-9.8931016018327989E-11</v>
      </c>
    </row>
    <row r="121" spans="2:3" x14ac:dyDescent="0.3">
      <c r="B121" s="71">
        <v>-0.23549999999999999</v>
      </c>
      <c r="C121" s="71">
        <f>$D$6*(EXP(B121/($D$9*$D$10))-1)</f>
        <v>-9.892068775063882E-11</v>
      </c>
    </row>
    <row r="122" spans="2:3" x14ac:dyDescent="0.3">
      <c r="B122" s="71">
        <v>-0.23499999999999999</v>
      </c>
      <c r="C122" s="71">
        <f>$D$6*(EXP(B122/($D$9*$D$10))-1)</f>
        <v>-9.8910259693696214E-11</v>
      </c>
    </row>
    <row r="123" spans="2:3" x14ac:dyDescent="0.3">
      <c r="B123" s="71">
        <v>-0.23449999999999999</v>
      </c>
      <c r="C123" s="71">
        <f>$D$6*(EXP(B123/($D$9*$D$10))-1)</f>
        <v>-9.8899730883360278E-11</v>
      </c>
    </row>
    <row r="124" spans="2:3" x14ac:dyDescent="0.3">
      <c r="B124" s="71">
        <v>-0.23400000000000001</v>
      </c>
      <c r="C124" s="71">
        <f>$D$6*(EXP(B124/($D$9*$D$10))-1)</f>
        <v>-9.8889100346175789E-11</v>
      </c>
    </row>
    <row r="125" spans="2:3" x14ac:dyDescent="0.3">
      <c r="B125" s="71">
        <v>-0.23350000000000001</v>
      </c>
      <c r="C125" s="71">
        <f>$D$6*(EXP(B125/($D$9*$D$10))-1)</f>
        <v>-9.8878367099282269E-11</v>
      </c>
    </row>
    <row r="126" spans="2:3" x14ac:dyDescent="0.3">
      <c r="B126" s="71">
        <v>-0.23300000000000001</v>
      </c>
      <c r="C126" s="71">
        <f>$D$6*(EXP(B126/($D$9*$D$10))-1)</f>
        <v>-9.8867530150323054E-11</v>
      </c>
    </row>
    <row r="127" spans="2:3" x14ac:dyDescent="0.3">
      <c r="B127" s="71">
        <v>-0.23250000000000001</v>
      </c>
      <c r="C127" s="71">
        <f>$D$6*(EXP(B127/($D$9*$D$10))-1)</f>
        <v>-9.8856588497353591E-11</v>
      </c>
    </row>
    <row r="128" spans="2:3" x14ac:dyDescent="0.3">
      <c r="B128" s="71">
        <v>-0.23200000000000001</v>
      </c>
      <c r="C128" s="71">
        <f>$D$6*(EXP(B128/($D$9*$D$10))-1)</f>
        <v>-9.8845541128748728E-11</v>
      </c>
    </row>
    <row r="129" spans="2:3" x14ac:dyDescent="0.3">
      <c r="B129" s="71">
        <v>-0.23150000000000001</v>
      </c>
      <c r="C129" s="71">
        <f>$D$6*(EXP(B129/($D$9*$D$10))-1)</f>
        <v>-9.8834387023109309E-11</v>
      </c>
    </row>
    <row r="130" spans="2:3" x14ac:dyDescent="0.3">
      <c r="B130" s="71">
        <v>-0.23100000000000001</v>
      </c>
      <c r="C130" s="71">
        <f>$D$6*(EXP(B130/($D$9*$D$10))-1)</f>
        <v>-9.8823125149167601E-11</v>
      </c>
    </row>
    <row r="131" spans="2:3" x14ac:dyDescent="0.3">
      <c r="B131" s="71">
        <v>-0.23050000000000001</v>
      </c>
      <c r="C131" s="71">
        <f>$D$6*(EXP(B131/($D$9*$D$10))-1)</f>
        <v>-9.8811754465692019E-11</v>
      </c>
    </row>
    <row r="132" spans="2:3" x14ac:dyDescent="0.3">
      <c r="B132" s="71">
        <v>-0.23</v>
      </c>
      <c r="C132" s="71">
        <f>$D$6*(EXP(B132/($D$9*$D$10))-1)</f>
        <v>-9.8800273921390881E-11</v>
      </c>
    </row>
    <row r="133" spans="2:3" x14ac:dyDescent="0.3">
      <c r="B133" s="71">
        <v>-0.22950000000000001</v>
      </c>
      <c r="C133" s="71">
        <f>$D$6*(EXP(B133/($D$9*$D$10))-1)</f>
        <v>-9.8788682454815144E-11</v>
      </c>
    </row>
    <row r="134" spans="2:3" x14ac:dyDescent="0.3">
      <c r="B134" s="71">
        <v>-0.22900000000000001</v>
      </c>
      <c r="C134" s="71">
        <f>$D$6*(EXP(B134/($D$9*$D$10))-1)</f>
        <v>-9.8776978994260298E-11</v>
      </c>
    </row>
    <row r="135" spans="2:3" x14ac:dyDescent="0.3">
      <c r="B135" s="71">
        <v>-0.22850000000000001</v>
      </c>
      <c r="C135" s="71">
        <f>$D$6*(EXP(B135/($D$9*$D$10))-1)</f>
        <v>-9.8765162457667295E-11</v>
      </c>
    </row>
    <row r="136" spans="2:3" x14ac:dyDescent="0.3">
      <c r="B136" s="71">
        <v>-0.22800000000000001</v>
      </c>
      <c r="C136" s="71">
        <f>$D$6*(EXP(B136/($D$9*$D$10))-1)</f>
        <v>-9.8753231752522488E-11</v>
      </c>
    </row>
    <row r="137" spans="2:3" x14ac:dyDescent="0.3">
      <c r="B137" s="71">
        <v>-0.22750000000000001</v>
      </c>
      <c r="C137" s="71">
        <f>$D$6*(EXP(B137/($D$9*$D$10))-1)</f>
        <v>-9.8741185775756621E-11</v>
      </c>
    </row>
    <row r="138" spans="2:3" x14ac:dyDescent="0.3">
      <c r="B138" s="71">
        <v>-0.22700000000000001</v>
      </c>
      <c r="C138" s="71">
        <f>$D$6*(EXP(B138/($D$9*$D$10))-1)</f>
        <v>-9.8729023413642835E-11</v>
      </c>
    </row>
    <row r="139" spans="2:3" x14ac:dyDescent="0.3">
      <c r="B139" s="71">
        <v>-0.22650000000000001</v>
      </c>
      <c r="C139" s="71">
        <f>$D$6*(EXP(B139/($D$9*$D$10))-1)</f>
        <v>-9.8716743541693748E-11</v>
      </c>
    </row>
    <row r="140" spans="2:3" x14ac:dyDescent="0.3">
      <c r="B140" s="71">
        <v>-0.22600000000000001</v>
      </c>
      <c r="C140" s="71">
        <f>$D$6*(EXP(B140/($D$9*$D$10))-1)</f>
        <v>-9.8704345024557403E-11</v>
      </c>
    </row>
    <row r="141" spans="2:3" x14ac:dyDescent="0.3">
      <c r="B141" s="71">
        <v>-0.22550000000000001</v>
      </c>
      <c r="C141" s="71">
        <f>$D$6*(EXP(B141/($D$9*$D$10))-1)</f>
        <v>-9.8691826715912352E-11</v>
      </c>
    </row>
    <row r="142" spans="2:3" x14ac:dyDescent="0.3">
      <c r="B142" s="71">
        <v>-0.22500000000000001</v>
      </c>
      <c r="C142" s="71">
        <f>$D$6*(EXP(B142/($D$9*$D$10))-1)</f>
        <v>-9.8679187458361694E-11</v>
      </c>
    </row>
    <row r="143" spans="2:3" x14ac:dyDescent="0.3">
      <c r="B143" s="71">
        <v>-0.22450000000000001</v>
      </c>
      <c r="C143" s="71">
        <f>$D$6*(EXP(B143/($D$9*$D$10))-1)</f>
        <v>-9.8666426083325999E-11</v>
      </c>
    </row>
    <row r="144" spans="2:3" x14ac:dyDescent="0.3">
      <c r="B144" s="71">
        <v>-0.224</v>
      </c>
      <c r="C144" s="71">
        <f>$D$6*(EXP(B144/($D$9*$D$10))-1)</f>
        <v>-9.8653541410935352E-11</v>
      </c>
    </row>
    <row r="145" spans="2:3" x14ac:dyDescent="0.3">
      <c r="B145" s="71">
        <v>-0.2235</v>
      </c>
      <c r="C145" s="71">
        <f>$D$6*(EXP(B145/($D$9*$D$10))-1)</f>
        <v>-9.8640532249920154E-11</v>
      </c>
    </row>
    <row r="146" spans="2:3" x14ac:dyDescent="0.3">
      <c r="B146" s="71">
        <v>-0.223</v>
      </c>
      <c r="C146" s="71">
        <f>$D$6*(EXP(B146/($D$9*$D$10))-1)</f>
        <v>-9.8627397397501064E-11</v>
      </c>
    </row>
    <row r="147" spans="2:3" x14ac:dyDescent="0.3">
      <c r="B147" s="71">
        <v>-0.2225</v>
      </c>
      <c r="C147" s="71">
        <f>$D$6*(EXP(B147/($D$9*$D$10))-1)</f>
        <v>-9.8614135639277811E-11</v>
      </c>
    </row>
    <row r="148" spans="2:3" x14ac:dyDescent="0.3">
      <c r="B148" s="71">
        <v>-0.222</v>
      </c>
      <c r="C148" s="71">
        <f>$D$6*(EXP(B148/($D$9*$D$10))-1)</f>
        <v>-9.8600745749116849E-11</v>
      </c>
    </row>
    <row r="149" spans="2:3" x14ac:dyDescent="0.3">
      <c r="B149" s="71">
        <v>-0.2215</v>
      </c>
      <c r="C149" s="71">
        <f>$D$6*(EXP(B149/($D$9*$D$10))-1)</f>
        <v>-9.8587226489038012E-11</v>
      </c>
    </row>
    <row r="150" spans="2:3" x14ac:dyDescent="0.3">
      <c r="B150" s="71">
        <v>-0.221</v>
      </c>
      <c r="C150" s="71">
        <f>$D$6*(EXP(B150/($D$9*$D$10))-1)</f>
        <v>-9.857357660910009E-11</v>
      </c>
    </row>
    <row r="151" spans="2:3" x14ac:dyDescent="0.3">
      <c r="B151" s="71">
        <v>-0.2205</v>
      </c>
      <c r="C151" s="71">
        <f>$D$6*(EXP(B151/($D$9*$D$10))-1)</f>
        <v>-9.8559794847285228E-11</v>
      </c>
    </row>
    <row r="152" spans="2:3" x14ac:dyDescent="0.3">
      <c r="B152" s="71">
        <v>-0.22</v>
      </c>
      <c r="C152" s="71">
        <f>$D$6*(EXP(B152/($D$9*$D$10))-1)</f>
        <v>-9.8545879929382245E-11</v>
      </c>
    </row>
    <row r="153" spans="2:3" x14ac:dyDescent="0.3">
      <c r="B153" s="71">
        <v>-0.2195</v>
      </c>
      <c r="C153" s="71">
        <f>$D$6*(EXP(B153/($D$9*$D$10))-1)</f>
        <v>-9.8531830568868862E-11</v>
      </c>
    </row>
    <row r="154" spans="2:3" x14ac:dyDescent="0.3">
      <c r="B154" s="71">
        <v>-0.219</v>
      </c>
      <c r="C154" s="71">
        <f>$D$6*(EXP(B154/($D$9*$D$10))-1)</f>
        <v>-9.8517645466792732E-11</v>
      </c>
    </row>
    <row r="155" spans="2:3" x14ac:dyDescent="0.3">
      <c r="B155" s="71">
        <v>-0.2185</v>
      </c>
      <c r="C155" s="71">
        <f>$D$6*(EXP(B155/($D$9*$D$10))-1)</f>
        <v>-9.850332331165129E-11</v>
      </c>
    </row>
    <row r="156" spans="2:3" x14ac:dyDescent="0.3">
      <c r="B156" s="71">
        <v>-0.218</v>
      </c>
      <c r="C156" s="71">
        <f>$D$6*(EXP(B156/($D$9*$D$10))-1)</f>
        <v>-9.8488862779270599E-11</v>
      </c>
    </row>
    <row r="157" spans="2:3" x14ac:dyDescent="0.3">
      <c r="B157" s="71">
        <v>-0.2175</v>
      </c>
      <c r="C157" s="71">
        <f>$D$6*(EXP(B157/($D$9*$D$10))-1)</f>
        <v>-9.8474262532682848E-11</v>
      </c>
    </row>
    <row r="158" spans="2:3" x14ac:dyDescent="0.3">
      <c r="B158" s="71">
        <v>-0.217</v>
      </c>
      <c r="C158" s="71">
        <f>$D$6*(EXP(B158/($D$9*$D$10))-1)</f>
        <v>-9.8459521222002768E-11</v>
      </c>
    </row>
    <row r="159" spans="2:3" x14ac:dyDescent="0.3">
      <c r="B159" s="71">
        <v>-0.2165</v>
      </c>
      <c r="C159" s="71">
        <f>$D$6*(EXP(B159/($D$9*$D$10))-1)</f>
        <v>-9.8444637484302829E-11</v>
      </c>
    </row>
    <row r="160" spans="2:3" x14ac:dyDescent="0.3">
      <c r="B160" s="71">
        <v>-0.216</v>
      </c>
      <c r="C160" s="71">
        <f>$D$6*(EXP(B160/($D$9*$D$10))-1)</f>
        <v>-9.8429609943487212E-11</v>
      </c>
    </row>
    <row r="161" spans="2:3" x14ac:dyDescent="0.3">
      <c r="B161" s="71">
        <v>-0.2155</v>
      </c>
      <c r="C161" s="71">
        <f>$D$6*(EXP(B161/($D$9*$D$10))-1)</f>
        <v>-9.8414437210164578E-11</v>
      </c>
    </row>
    <row r="162" spans="2:3" x14ac:dyDescent="0.3">
      <c r="B162" s="71">
        <v>-0.215</v>
      </c>
      <c r="C162" s="71">
        <f>$D$6*(EXP(B162/($D$9*$D$10))-1)</f>
        <v>-9.8399117881519637E-11</v>
      </c>
    </row>
    <row r="163" spans="2:3" x14ac:dyDescent="0.3">
      <c r="B163" s="71">
        <v>-0.2145</v>
      </c>
      <c r="C163" s="71">
        <f>$D$6*(EXP(B163/($D$9*$D$10))-1)</f>
        <v>-9.8383650541183421E-11</v>
      </c>
    </row>
    <row r="164" spans="2:3" x14ac:dyDescent="0.3">
      <c r="B164" s="71">
        <v>-0.214</v>
      </c>
      <c r="C164" s="71">
        <f>$D$6*(EXP(B164/($D$9*$D$10))-1)</f>
        <v>-9.8368033759102369E-11</v>
      </c>
    </row>
    <row r="165" spans="2:3" x14ac:dyDescent="0.3">
      <c r="B165" s="71">
        <v>-0.2135</v>
      </c>
      <c r="C165" s="71">
        <f>$D$6*(EXP(B165/($D$9*$D$10))-1)</f>
        <v>-9.835226609140606E-11</v>
      </c>
    </row>
    <row r="166" spans="2:3" x14ac:dyDescent="0.3">
      <c r="B166" s="71">
        <v>-0.21299999999999999</v>
      </c>
      <c r="C166" s="71">
        <f>$D$6*(EXP(B166/($D$9*$D$10))-1)</f>
        <v>-9.8336346080273759E-11</v>
      </c>
    </row>
    <row r="167" spans="2:3" x14ac:dyDescent="0.3">
      <c r="B167" s="71">
        <v>-0.21249999999999999</v>
      </c>
      <c r="C167" s="71">
        <f>$D$6*(EXP(B167/($D$9*$D$10))-1)</f>
        <v>-9.8320272253799567E-11</v>
      </c>
    </row>
    <row r="168" spans="2:3" x14ac:dyDescent="0.3">
      <c r="B168" s="71">
        <v>-0.21199999999999999</v>
      </c>
      <c r="C168" s="71">
        <f>$D$6*(EXP(B168/($D$9*$D$10))-1)</f>
        <v>-9.8304043125856474E-11</v>
      </c>
    </row>
    <row r="169" spans="2:3" x14ac:dyDescent="0.3">
      <c r="B169" s="71">
        <v>-0.21149999999999999</v>
      </c>
      <c r="C169" s="71">
        <f>$D$6*(EXP(B169/($D$9*$D$10))-1)</f>
        <v>-9.8287657195958766E-11</v>
      </c>
    </row>
    <row r="170" spans="2:3" x14ac:dyDescent="0.3">
      <c r="B170" s="71">
        <v>-0.21099999999999999</v>
      </c>
      <c r="C170" s="71">
        <f>$D$6*(EXP(B170/($D$9*$D$10))-1)</f>
        <v>-9.8271112949123471E-11</v>
      </c>
    </row>
    <row r="171" spans="2:3" x14ac:dyDescent="0.3">
      <c r="B171" s="71">
        <v>-0.21049999999999999</v>
      </c>
      <c r="C171" s="71">
        <f>$D$6*(EXP(B171/($D$9*$D$10))-1)</f>
        <v>-9.8254408855730165E-11</v>
      </c>
    </row>
    <row r="172" spans="2:3" x14ac:dyDescent="0.3">
      <c r="B172" s="71">
        <v>-0.21</v>
      </c>
      <c r="C172" s="71">
        <f>$D$6*(EXP(B172/($D$9*$D$10))-1)</f>
        <v>-9.8237543371379627E-11</v>
      </c>
    </row>
    <row r="173" spans="2:3" x14ac:dyDescent="0.3">
      <c r="B173" s="71">
        <v>-0.20949999999999999</v>
      </c>
      <c r="C173" s="71">
        <f>$D$6*(EXP(B173/($D$9*$D$10))-1)</f>
        <v>-9.8220514936751009E-11</v>
      </c>
    </row>
    <row r="174" spans="2:3" x14ac:dyDescent="0.3">
      <c r="B174" s="71">
        <v>-0.20899999999999999</v>
      </c>
      <c r="C174" s="71">
        <f>$D$6*(EXP(B174/($D$9*$D$10))-1)</f>
        <v>-9.820332197745766E-11</v>
      </c>
    </row>
    <row r="175" spans="2:3" x14ac:dyDescent="0.3">
      <c r="B175" s="71">
        <v>-0.20849999999999999</v>
      </c>
      <c r="C175" s="71">
        <f>$D$6*(EXP(B175/($D$9*$D$10))-1)</f>
        <v>-9.8185962903901635E-11</v>
      </c>
    </row>
    <row r="176" spans="2:3" x14ac:dyDescent="0.3">
      <c r="B176" s="71">
        <v>-0.20799999999999999</v>
      </c>
      <c r="C176" s="71">
        <f>$D$6*(EXP(B176/($D$9*$D$10))-1)</f>
        <v>-9.8168436111126594E-11</v>
      </c>
    </row>
    <row r="177" spans="2:3" x14ac:dyDescent="0.3">
      <c r="B177" s="71">
        <v>-0.20749999999999999</v>
      </c>
      <c r="C177" s="71">
        <f>$D$6*(EXP(B177/($D$9*$D$10))-1)</f>
        <v>-9.8150739978669577E-11</v>
      </c>
    </row>
    <row r="178" spans="2:3" x14ac:dyDescent="0.3">
      <c r="B178" s="71">
        <v>-0.20699999999999999</v>
      </c>
      <c r="C178" s="71">
        <f>$D$6*(EXP(B178/($D$9*$D$10))-1)</f>
        <v>-9.8132872870411028E-11</v>
      </c>
    </row>
    <row r="179" spans="2:3" x14ac:dyDescent="0.3">
      <c r="B179" s="71">
        <v>-0.20649999999999999</v>
      </c>
      <c r="C179" s="71">
        <f>$D$6*(EXP(B179/($D$9*$D$10))-1)</f>
        <v>-9.811483313442365E-11</v>
      </c>
    </row>
    <row r="180" spans="2:3" x14ac:dyDescent="0.3">
      <c r="B180" s="71">
        <v>-0.20599999999999999</v>
      </c>
      <c r="C180" s="71">
        <f>$D$6*(EXP(B180/($D$9*$D$10))-1)</f>
        <v>-9.8096619102819567E-11</v>
      </c>
    </row>
    <row r="181" spans="2:3" x14ac:dyDescent="0.3">
      <c r="B181" s="71">
        <v>-0.20549999999999999</v>
      </c>
      <c r="C181" s="71">
        <f>$D$6*(EXP(B181/($D$9*$D$10))-1)</f>
        <v>-9.8078229091596208E-11</v>
      </c>
    </row>
    <row r="182" spans="2:3" x14ac:dyDescent="0.3">
      <c r="B182" s="71">
        <v>-0.20499999999999999</v>
      </c>
      <c r="C182" s="71">
        <f>$D$6*(EXP(B182/($D$9*$D$10))-1)</f>
        <v>-9.8059661400480566E-11</v>
      </c>
    </row>
    <row r="183" spans="2:3" x14ac:dyDescent="0.3">
      <c r="B183" s="71">
        <v>-0.20449999999999999</v>
      </c>
      <c r="C183" s="71">
        <f>$D$6*(EXP(B183/($D$9*$D$10))-1)</f>
        <v>-9.8040914312771998E-11</v>
      </c>
    </row>
    <row r="184" spans="2:3" x14ac:dyDescent="0.3">
      <c r="B184" s="71">
        <v>-0.20399999999999999</v>
      </c>
      <c r="C184" s="71">
        <f>$D$6*(EXP(B184/($D$9*$D$10))-1)</f>
        <v>-9.8021986095183477E-11</v>
      </c>
    </row>
    <row r="185" spans="2:3" x14ac:dyDescent="0.3">
      <c r="B185" s="71">
        <v>-0.20349999999999999</v>
      </c>
      <c r="C185" s="71">
        <f>$D$6*(EXP(B185/($D$9*$D$10))-1)</f>
        <v>-9.8002874997681448E-11</v>
      </c>
    </row>
    <row r="186" spans="2:3" x14ac:dyDescent="0.3">
      <c r="B186" s="71">
        <v>-0.20300000000000001</v>
      </c>
      <c r="C186" s="71">
        <f>$D$6*(EXP(B186/($D$9*$D$10))-1)</f>
        <v>-9.798357925332388E-11</v>
      </c>
    </row>
    <row r="187" spans="2:3" x14ac:dyDescent="0.3">
      <c r="B187" s="71">
        <v>-0.20250000000000001</v>
      </c>
      <c r="C187" s="71">
        <f>$D$6*(EXP(B187/($D$9*$D$10))-1)</f>
        <v>-9.7964097078096988E-11</v>
      </c>
    </row>
    <row r="188" spans="2:3" x14ac:dyDescent="0.3">
      <c r="B188" s="71">
        <v>-0.20200000000000001</v>
      </c>
      <c r="C188" s="71">
        <f>$D$6*(EXP(B188/($D$9*$D$10))-1)</f>
        <v>-9.7944426670750286E-11</v>
      </c>
    </row>
    <row r="189" spans="2:3" x14ac:dyDescent="0.3">
      <c r="B189" s="71">
        <v>-0.20150000000000001</v>
      </c>
      <c r="C189" s="71">
        <f>$D$6*(EXP(B189/($D$9*$D$10))-1)</f>
        <v>-9.7924566212630042E-11</v>
      </c>
    </row>
    <row r="190" spans="2:3" x14ac:dyDescent="0.3">
      <c r="B190" s="71">
        <v>-0.20100000000000001</v>
      </c>
      <c r="C190" s="71">
        <f>$D$6*(EXP(B190/($D$9*$D$10))-1)</f>
        <v>-9.7904513867511102E-11</v>
      </c>
    </row>
    <row r="191" spans="2:3" x14ac:dyDescent="0.3">
      <c r="B191" s="71">
        <v>-0.20050000000000001</v>
      </c>
      <c r="C191" s="71">
        <f>$D$6*(EXP(B191/($D$9*$D$10))-1)</f>
        <v>-9.7884267781427149E-11</v>
      </c>
    </row>
    <row r="192" spans="2:3" x14ac:dyDescent="0.3">
      <c r="B192" s="71">
        <v>-0.2</v>
      </c>
      <c r="C192" s="71">
        <f>$D$6*(EXP(B192/($D$9*$D$10))-1)</f>
        <v>-9.7863826082499308E-11</v>
      </c>
    </row>
    <row r="193" spans="2:3" x14ac:dyDescent="0.3">
      <c r="B193" s="71">
        <v>-0.19950000000000001</v>
      </c>
      <c r="C193" s="71">
        <f>$D$6*(EXP(B193/($D$9*$D$10))-1)</f>
        <v>-9.7843186880763032E-11</v>
      </c>
    </row>
    <row r="194" spans="2:3" x14ac:dyDescent="0.3">
      <c r="B194" s="71">
        <v>-0.19900000000000001</v>
      </c>
      <c r="C194" s="71">
        <f>$D$6*(EXP(B194/($D$9*$D$10))-1)</f>
        <v>-9.7822348267993416E-11</v>
      </c>
    </row>
    <row r="195" spans="2:3" x14ac:dyDescent="0.3">
      <c r="B195" s="71">
        <v>-0.19850000000000001</v>
      </c>
      <c r="C195" s="71">
        <f>$D$6*(EXP(B195/($D$9*$D$10))-1)</f>
        <v>-9.7801308317528691E-11</v>
      </c>
    </row>
    <row r="196" spans="2:3" x14ac:dyDescent="0.3">
      <c r="B196" s="71">
        <v>-0.19800000000000001</v>
      </c>
      <c r="C196" s="71">
        <f>$D$6*(EXP(B196/($D$9*$D$10))-1)</f>
        <v>-9.7780065084092218E-11</v>
      </c>
    </row>
    <row r="197" spans="2:3" x14ac:dyDescent="0.3">
      <c r="B197" s="71">
        <v>-0.19750000000000001</v>
      </c>
      <c r="C197" s="71">
        <f>$D$6*(EXP(B197/($D$9*$D$10))-1)</f>
        <v>-9.7758616603612482E-11</v>
      </c>
    </row>
    <row r="198" spans="2:3" x14ac:dyDescent="0.3">
      <c r="B198" s="71">
        <v>-0.19700000000000001</v>
      </c>
      <c r="C198" s="71">
        <f>$D$6*(EXP(B198/($D$9*$D$10))-1)</f>
        <v>-9.7736960893041644E-11</v>
      </c>
    </row>
    <row r="199" spans="2:3" x14ac:dyDescent="0.3">
      <c r="B199" s="71">
        <v>-0.19650000000000001</v>
      </c>
      <c r="C199" s="71">
        <f>$D$6*(EXP(B199/($D$9*$D$10))-1)</f>
        <v>-9.7715095950172087E-11</v>
      </c>
    </row>
    <row r="200" spans="2:3" x14ac:dyDescent="0.3">
      <c r="B200" s="71">
        <v>-0.19600000000000001</v>
      </c>
      <c r="C200" s="71">
        <f>$D$6*(EXP(B200/($D$9*$D$10))-1)</f>
        <v>-9.769301975345136E-11</v>
      </c>
    </row>
    <row r="201" spans="2:3" x14ac:dyDescent="0.3">
      <c r="B201" s="71">
        <v>-0.19550000000000001</v>
      </c>
      <c r="C201" s="71">
        <f>$D$6*(EXP(B201/($D$9*$D$10))-1)</f>
        <v>-9.7670730261795263E-11</v>
      </c>
    </row>
    <row r="202" spans="2:3" x14ac:dyDescent="0.3">
      <c r="B202" s="71">
        <v>-0.19500000000000001</v>
      </c>
      <c r="C202" s="71">
        <f>$D$6*(EXP(B202/($D$9*$D$10))-1)</f>
        <v>-9.7648225414399105E-11</v>
      </c>
    </row>
    <row r="203" spans="2:3" x14ac:dyDescent="0.3">
      <c r="B203" s="71">
        <v>-0.19450000000000001</v>
      </c>
      <c r="C203" s="71">
        <f>$D$6*(EXP(B203/($D$9*$D$10))-1)</f>
        <v>-9.762550313054722E-11</v>
      </c>
    </row>
    <row r="204" spans="2:3" x14ac:dyDescent="0.3">
      <c r="B204" s="71">
        <v>-0.19400000000000001</v>
      </c>
      <c r="C204" s="71">
        <f>$D$6*(EXP(B204/($D$9*$D$10))-1)</f>
        <v>-9.7602561309420521E-11</v>
      </c>
    </row>
    <row r="205" spans="2:3" x14ac:dyDescent="0.3">
      <c r="B205" s="71">
        <v>-0.19350000000000001</v>
      </c>
      <c r="C205" s="71">
        <f>$D$6*(EXP(B205/($D$9*$D$10))-1)</f>
        <v>-9.7579397829902381E-11</v>
      </c>
    </row>
    <row r="206" spans="2:3" x14ac:dyDescent="0.3">
      <c r="B206" s="71">
        <v>-0.193</v>
      </c>
      <c r="C206" s="71">
        <f>$D$6*(EXP(B206/($D$9*$D$10))-1)</f>
        <v>-9.7556010550382399E-11</v>
      </c>
    </row>
    <row r="207" spans="2:3" x14ac:dyDescent="0.3">
      <c r="B207" s="71">
        <v>-0.1925</v>
      </c>
      <c r="C207" s="71">
        <f>$D$6*(EXP(B207/($D$9*$D$10))-1)</f>
        <v>-9.7532397308558433E-11</v>
      </c>
    </row>
    <row r="208" spans="2:3" x14ac:dyDescent="0.3">
      <c r="B208" s="71">
        <v>-0.192</v>
      </c>
      <c r="C208" s="71">
        <f>$D$6*(EXP(B208/($D$9*$D$10))-1)</f>
        <v>-9.7508555921236742E-11</v>
      </c>
    </row>
    <row r="209" spans="2:3" x14ac:dyDescent="0.3">
      <c r="B209" s="71">
        <v>-0.1915</v>
      </c>
      <c r="C209" s="71">
        <f>$D$6*(EXP(B209/($D$9*$D$10))-1)</f>
        <v>-9.7484484184130055E-11</v>
      </c>
    </row>
    <row r="210" spans="2:3" x14ac:dyDescent="0.3">
      <c r="B210" s="71">
        <v>-0.191</v>
      </c>
      <c r="C210" s="71">
        <f>$D$6*(EXP(B210/($D$9*$D$10))-1)</f>
        <v>-9.7460179871653822E-11</v>
      </c>
    </row>
    <row r="211" spans="2:3" x14ac:dyDescent="0.3">
      <c r="B211" s="71">
        <v>-0.1905</v>
      </c>
      <c r="C211" s="71">
        <f>$D$6*(EXP(B211/($D$9*$D$10))-1)</f>
        <v>-9.7435640736720404E-11</v>
      </c>
    </row>
    <row r="212" spans="2:3" x14ac:dyDescent="0.3">
      <c r="B212" s="71">
        <v>-0.19</v>
      </c>
      <c r="C212" s="71">
        <f>$D$6*(EXP(B212/($D$9*$D$10))-1)</f>
        <v>-9.7410864510531374E-11</v>
      </c>
    </row>
    <row r="213" spans="2:3" x14ac:dyDescent="0.3">
      <c r="B213" s="71">
        <v>-0.1895</v>
      </c>
      <c r="C213" s="71">
        <f>$D$6*(EXP(B213/($D$9*$D$10))-1)</f>
        <v>-9.7385848902367679E-11</v>
      </c>
    </row>
    <row r="214" spans="2:3" x14ac:dyDescent="0.3">
      <c r="B214" s="71">
        <v>-0.189</v>
      </c>
      <c r="C214" s="71">
        <f>$D$6*(EXP(B214/($D$9*$D$10))-1)</f>
        <v>-9.7360591599377927E-11</v>
      </c>
    </row>
    <row r="215" spans="2:3" x14ac:dyDescent="0.3">
      <c r="B215" s="71">
        <v>-0.1885</v>
      </c>
      <c r="C215" s="71">
        <f>$D$6*(EXP(B215/($D$9*$D$10))-1)</f>
        <v>-9.7335090266364467E-11</v>
      </c>
    </row>
    <row r="216" spans="2:3" x14ac:dyDescent="0.3">
      <c r="B216" s="71">
        <v>-0.188</v>
      </c>
      <c r="C216" s="71">
        <f>$D$6*(EXP(B216/($D$9*$D$10))-1)</f>
        <v>-9.7309342545567548E-11</v>
      </c>
    </row>
    <row r="217" spans="2:3" x14ac:dyDescent="0.3">
      <c r="B217" s="71">
        <v>-0.1875</v>
      </c>
      <c r="C217" s="71">
        <f>$D$6*(EXP(B217/($D$9*$D$10))-1)</f>
        <v>-9.7283346056447314E-11</v>
      </c>
    </row>
    <row r="218" spans="2:3" x14ac:dyDescent="0.3">
      <c r="B218" s="71">
        <v>-0.187</v>
      </c>
      <c r="C218" s="71">
        <f>$D$6*(EXP(B218/($D$9*$D$10))-1)</f>
        <v>-9.7257098395463691E-11</v>
      </c>
    </row>
    <row r="219" spans="2:3" x14ac:dyDescent="0.3">
      <c r="B219" s="71">
        <v>-0.1865</v>
      </c>
      <c r="C219" s="71">
        <f>$D$6*(EXP(B219/($D$9*$D$10))-1)</f>
        <v>-9.7230597135854165E-11</v>
      </c>
    </row>
    <row r="220" spans="2:3" x14ac:dyDescent="0.3">
      <c r="B220" s="71">
        <v>-0.186</v>
      </c>
      <c r="C220" s="71">
        <f>$D$6*(EXP(B220/($D$9*$D$10))-1)</f>
        <v>-9.7203839827409455E-11</v>
      </c>
    </row>
    <row r="221" spans="2:3" x14ac:dyDescent="0.3">
      <c r="B221" s="71">
        <v>-0.1855</v>
      </c>
      <c r="C221" s="71">
        <f>$D$6*(EXP(B221/($D$9*$D$10))-1)</f>
        <v>-9.717682399624691E-11</v>
      </c>
    </row>
    <row r="222" spans="2:3" x14ac:dyDescent="0.3">
      <c r="B222" s="71">
        <v>-0.185</v>
      </c>
      <c r="C222" s="71">
        <f>$D$6*(EXP(B222/($D$9*$D$10))-1)</f>
        <v>-9.7149547144581838E-11</v>
      </c>
    </row>
    <row r="223" spans="2:3" x14ac:dyDescent="0.3">
      <c r="B223" s="71">
        <v>-0.1845</v>
      </c>
      <c r="C223" s="71">
        <f>$D$6*(EXP(B223/($D$9*$D$10))-1)</f>
        <v>-9.7122006750496528E-11</v>
      </c>
    </row>
    <row r="224" spans="2:3" x14ac:dyDescent="0.3">
      <c r="B224" s="71">
        <v>-0.184</v>
      </c>
      <c r="C224" s="71">
        <f>$D$6*(EXP(B224/($D$9*$D$10))-1)</f>
        <v>-9.7094200267707136E-11</v>
      </c>
    </row>
    <row r="225" spans="2:3" x14ac:dyDescent="0.3">
      <c r="B225" s="71">
        <v>-0.1835</v>
      </c>
      <c r="C225" s="71">
        <f>$D$6*(EXP(B225/($D$9*$D$10))-1)</f>
        <v>-9.7066125125328202E-11</v>
      </c>
    </row>
    <row r="226" spans="2:3" x14ac:dyDescent="0.3">
      <c r="B226" s="71">
        <v>-0.183</v>
      </c>
      <c r="C226" s="71">
        <f>$D$6*(EXP(B226/($D$9*$D$10))-1)</f>
        <v>-9.7037778727635001E-11</v>
      </c>
    </row>
    <row r="227" spans="2:3" x14ac:dyDescent="0.3">
      <c r="B227" s="71">
        <v>-0.1825</v>
      </c>
      <c r="C227" s="71">
        <f>$D$6*(EXP(B227/($D$9*$D$10))-1)</f>
        <v>-9.7009158453823507E-11</v>
      </c>
    </row>
    <row r="228" spans="2:3" x14ac:dyDescent="0.3">
      <c r="B228" s="71">
        <v>-0.182</v>
      </c>
      <c r="C228" s="71">
        <f>$D$6*(EXP(B228/($D$9*$D$10))-1)</f>
        <v>-9.6980261657768168E-11</v>
      </c>
    </row>
    <row r="229" spans="2:3" x14ac:dyDescent="0.3">
      <c r="B229" s="71">
        <v>-0.18149999999999999</v>
      </c>
      <c r="C229" s="71">
        <f>$D$6*(EXP(B229/($D$9*$D$10))-1)</f>
        <v>-9.6951085667777142E-11</v>
      </c>
    </row>
    <row r="230" spans="2:3" x14ac:dyDescent="0.3">
      <c r="B230" s="71">
        <v>-0.18099999999999999</v>
      </c>
      <c r="C230" s="71">
        <f>$D$6*(EXP(B230/($D$9*$D$10))-1)</f>
        <v>-9.6921627786345383E-11</v>
      </c>
    </row>
    <row r="231" spans="2:3" x14ac:dyDescent="0.3">
      <c r="B231" s="71">
        <v>-0.18049999999999999</v>
      </c>
      <c r="C231" s="71">
        <f>$D$6*(EXP(B231/($D$9*$D$10))-1)</f>
        <v>-9.6891885289905166E-11</v>
      </c>
    </row>
    <row r="232" spans="2:3" x14ac:dyDescent="0.3">
      <c r="B232" s="71">
        <v>-0.18</v>
      </c>
      <c r="C232" s="71">
        <f>$D$6*(EXP(B232/($D$9*$D$10))-1)</f>
        <v>-9.6861855428574315E-11</v>
      </c>
    </row>
    <row r="233" spans="2:3" x14ac:dyDescent="0.3">
      <c r="B233" s="71">
        <v>-0.17949999999999999</v>
      </c>
      <c r="C233" s="71">
        <f>$D$6*(EXP(B233/($D$9*$D$10))-1)</f>
        <v>-9.683153542590195E-11</v>
      </c>
    </row>
    <row r="234" spans="2:3" x14ac:dyDescent="0.3">
      <c r="B234" s="71">
        <v>-0.17899999999999999</v>
      </c>
      <c r="C234" s="71">
        <f>$D$6*(EXP(B234/($D$9*$D$10))-1)</f>
        <v>-9.6800922478611801E-11</v>
      </c>
    </row>
    <row r="235" spans="2:3" x14ac:dyDescent="0.3">
      <c r="B235" s="71">
        <v>-0.17849999999999999</v>
      </c>
      <c r="C235" s="71">
        <f>$D$6*(EXP(B235/($D$9*$D$10))-1)</f>
        <v>-9.6770013756342978E-11</v>
      </c>
    </row>
    <row r="236" spans="2:3" x14ac:dyDescent="0.3">
      <c r="B236" s="71">
        <v>-0.17799999999999999</v>
      </c>
      <c r="C236" s="71">
        <f>$D$6*(EXP(B236/($D$9*$D$10))-1)</f>
        <v>-9.6738806401388374E-11</v>
      </c>
    </row>
    <row r="237" spans="2:3" x14ac:dyDescent="0.3">
      <c r="B237" s="71">
        <v>-0.17749999999999999</v>
      </c>
      <c r="C237" s="71">
        <f>$D$6*(EXP(B237/($D$9*$D$10))-1)</f>
        <v>-9.6707297528430342E-11</v>
      </c>
    </row>
    <row r="238" spans="2:3" x14ac:dyDescent="0.3">
      <c r="B238" s="71">
        <v>-0.17699999999999999</v>
      </c>
      <c r="C238" s="71">
        <f>$D$6*(EXP(B238/($D$9*$D$10))-1)</f>
        <v>-9.6675484224274022E-11</v>
      </c>
    </row>
    <row r="239" spans="2:3" x14ac:dyDescent="0.3">
      <c r="B239" s="71">
        <v>-0.17649999999999999</v>
      </c>
      <c r="C239" s="71">
        <f>$D$6*(EXP(B239/($D$9*$D$10))-1)</f>
        <v>-9.664336354757795E-11</v>
      </c>
    </row>
    <row r="240" spans="2:3" x14ac:dyDescent="0.3">
      <c r="B240" s="71">
        <v>-0.17599999999999999</v>
      </c>
      <c r="C240" s="71">
        <f>$D$6*(EXP(B240/($D$9*$D$10))-1)</f>
        <v>-9.661093252858211E-11</v>
      </c>
    </row>
    <row r="241" spans="2:3" x14ac:dyDescent="0.3">
      <c r="B241" s="71">
        <v>-0.17549999999999999</v>
      </c>
      <c r="C241" s="71">
        <f>$D$6*(EXP(B241/($D$9*$D$10))-1)</f>
        <v>-9.6578188168833423E-11</v>
      </c>
    </row>
    <row r="242" spans="2:3" x14ac:dyDescent="0.3">
      <c r="B242" s="71">
        <v>-0.17499999999999999</v>
      </c>
      <c r="C242" s="71">
        <f>$D$6*(EXP(B242/($D$9*$D$10))-1)</f>
        <v>-9.6545127440908389E-11</v>
      </c>
    </row>
    <row r="243" spans="2:3" x14ac:dyDescent="0.3">
      <c r="B243" s="71">
        <v>-0.17449999999999999</v>
      </c>
      <c r="C243" s="71">
        <f>$D$6*(EXP(B243/($D$9*$D$10))-1)</f>
        <v>-9.6511747288133353E-11</v>
      </c>
    </row>
    <row r="244" spans="2:3" x14ac:dyDescent="0.3">
      <c r="B244" s="71">
        <v>-0.17399999999999999</v>
      </c>
      <c r="C244" s="71">
        <f>$D$6*(EXP(B244/($D$9*$D$10))-1)</f>
        <v>-9.6478044624301779E-11</v>
      </c>
    </row>
    <row r="245" spans="2:3" x14ac:dyDescent="0.3">
      <c r="B245" s="71">
        <v>-0.17349999999999999</v>
      </c>
      <c r="C245" s="71">
        <f>$D$6*(EXP(B245/($D$9*$D$10))-1)</f>
        <v>-9.6444016333388926E-11</v>
      </c>
    </row>
    <row r="246" spans="2:3" x14ac:dyDescent="0.3">
      <c r="B246" s="71">
        <v>-0.17299999999999999</v>
      </c>
      <c r="C246" s="71">
        <f>$D$6*(EXP(B246/($D$9*$D$10))-1)</f>
        <v>-9.6409659269263752E-11</v>
      </c>
    </row>
    <row r="247" spans="2:3" x14ac:dyDescent="0.3">
      <c r="B247" s="71">
        <v>-0.17249999999999999</v>
      </c>
      <c r="C247" s="71">
        <f>$D$6*(EXP(B247/($D$9*$D$10))-1)</f>
        <v>-9.6374970255398101E-11</v>
      </c>
    </row>
    <row r="248" spans="2:3" x14ac:dyDescent="0.3">
      <c r="B248" s="71">
        <v>-0.17199999999999999</v>
      </c>
      <c r="C248" s="71">
        <f>$D$6*(EXP(B248/($D$9*$D$10))-1)</f>
        <v>-9.6339946084572918E-11</v>
      </c>
    </row>
    <row r="249" spans="2:3" x14ac:dyDescent="0.3">
      <c r="B249" s="71">
        <v>-0.17150000000000001</v>
      </c>
      <c r="C249" s="71">
        <f>$D$6*(EXP(B249/($D$9*$D$10))-1)</f>
        <v>-9.6304583518581804E-11</v>
      </c>
    </row>
    <row r="250" spans="2:3" x14ac:dyDescent="0.3">
      <c r="B250" s="71">
        <v>-0.17100000000000001</v>
      </c>
      <c r="C250" s="71">
        <f>$D$6*(EXP(B250/($D$9*$D$10))-1)</f>
        <v>-9.6268879287931529E-11</v>
      </c>
    </row>
    <row r="251" spans="2:3" x14ac:dyDescent="0.3">
      <c r="B251" s="71">
        <v>-0.17050000000000001</v>
      </c>
      <c r="C251" s="71">
        <f>$D$6*(EXP(B251/($D$9*$D$10))-1)</f>
        <v>-9.6232830091539844E-11</v>
      </c>
    </row>
    <row r="252" spans="2:3" x14ac:dyDescent="0.3">
      <c r="B252" s="71">
        <v>-0.17</v>
      </c>
      <c r="C252" s="71">
        <f>$D$6*(EXP(B252/($D$9*$D$10))-1)</f>
        <v>-9.6196432596430228E-11</v>
      </c>
    </row>
    <row r="253" spans="2:3" x14ac:dyDescent="0.3">
      <c r="B253" s="71">
        <v>-0.16950000000000001</v>
      </c>
      <c r="C253" s="71">
        <f>$D$6*(EXP(B253/($D$9*$D$10))-1)</f>
        <v>-9.6159683437423718E-11</v>
      </c>
    </row>
    <row r="254" spans="2:3" x14ac:dyDescent="0.3">
      <c r="B254" s="71">
        <v>-0.16900000000000001</v>
      </c>
      <c r="C254" s="71">
        <f>$D$6*(EXP(B254/($D$9*$D$10))-1)</f>
        <v>-9.6122579216827816E-11</v>
      </c>
    </row>
    <row r="255" spans="2:3" x14ac:dyDescent="0.3">
      <c r="B255" s="71">
        <v>-0.16850000000000001</v>
      </c>
      <c r="C255" s="71">
        <f>$D$6*(EXP(B255/($D$9*$D$10))-1)</f>
        <v>-9.6085116504122316E-11</v>
      </c>
    </row>
    <row r="256" spans="2:3" x14ac:dyDescent="0.3">
      <c r="B256" s="71">
        <v>-0.16800000000000001</v>
      </c>
      <c r="C256" s="71">
        <f>$D$6*(EXP(B256/($D$9*$D$10))-1)</f>
        <v>-9.6047291835642167E-11</v>
      </c>
    </row>
    <row r="257" spans="2:3" x14ac:dyDescent="0.3">
      <c r="B257" s="71">
        <v>-0.16750000000000001</v>
      </c>
      <c r="C257" s="71">
        <f>$D$6*(EXP(B257/($D$9*$D$10))-1)</f>
        <v>-9.6009101714257177E-11</v>
      </c>
    </row>
    <row r="258" spans="2:3" x14ac:dyDescent="0.3">
      <c r="B258" s="71">
        <v>-0.16700000000000001</v>
      </c>
      <c r="C258" s="71">
        <f>$D$6*(EXP(B258/($D$9*$D$10))-1)</f>
        <v>-9.5970542609048751E-11</v>
      </c>
    </row>
    <row r="259" spans="2:3" x14ac:dyDescent="0.3">
      <c r="B259" s="71">
        <v>-0.16650000000000001</v>
      </c>
      <c r="C259" s="71">
        <f>$D$6*(EXP(B259/($D$9*$D$10))-1)</f>
        <v>-9.5931610954983401E-11</v>
      </c>
    </row>
    <row r="260" spans="2:3" x14ac:dyDescent="0.3">
      <c r="B260" s="71">
        <v>-0.16600000000000001</v>
      </c>
      <c r="C260" s="71">
        <f>$D$6*(EXP(B260/($D$9*$D$10))-1)</f>
        <v>-9.5892303152583115E-11</v>
      </c>
    </row>
    <row r="261" spans="2:3" x14ac:dyDescent="0.3">
      <c r="B261" s="71">
        <v>-0.16550000000000001</v>
      </c>
      <c r="C261" s="71">
        <f>$D$6*(EXP(B261/($D$9*$D$10))-1)</f>
        <v>-9.5852615567592635E-11</v>
      </c>
    </row>
    <row r="262" spans="2:3" x14ac:dyDescent="0.3">
      <c r="B262" s="71">
        <v>-0.16500000000000001</v>
      </c>
      <c r="C262" s="71">
        <f>$D$6*(EXP(B262/($D$9*$D$10))-1)</f>
        <v>-9.5812544530643315E-11</v>
      </c>
    </row>
    <row r="263" spans="2:3" x14ac:dyDescent="0.3">
      <c r="B263" s="71">
        <v>-0.16450000000000001</v>
      </c>
      <c r="C263" s="71">
        <f>$D$6*(EXP(B263/($D$9*$D$10))-1)</f>
        <v>-9.5772086336914009E-11</v>
      </c>
    </row>
    <row r="264" spans="2:3" x14ac:dyDescent="0.3">
      <c r="B264" s="71">
        <v>-0.16400000000000001</v>
      </c>
      <c r="C264" s="71">
        <f>$D$6*(EXP(B264/($D$9*$D$10))-1)</f>
        <v>-9.5731237245788472E-11</v>
      </c>
    </row>
    <row r="265" spans="2:3" x14ac:dyDescent="0.3">
      <c r="B265" s="71">
        <v>-0.16350000000000001</v>
      </c>
      <c r="C265" s="71">
        <f>$D$6*(EXP(B265/($D$9*$D$10))-1)</f>
        <v>-9.5689993480509512E-11</v>
      </c>
    </row>
    <row r="266" spans="2:3" x14ac:dyDescent="0.3">
      <c r="B266" s="71">
        <v>-0.16300000000000001</v>
      </c>
      <c r="C266" s="71">
        <f>$D$6*(EXP(B266/($D$9*$D$10))-1)</f>
        <v>-9.5648351227829786E-11</v>
      </c>
    </row>
    <row r="267" spans="2:3" x14ac:dyDescent="0.3">
      <c r="B267" s="71">
        <v>-0.16250000000000001</v>
      </c>
      <c r="C267" s="71">
        <f>$D$6*(EXP(B267/($D$9*$D$10))-1)</f>
        <v>-9.5606306637659272E-11</v>
      </c>
    </row>
    <row r="268" spans="2:3" x14ac:dyDescent="0.3">
      <c r="B268" s="71">
        <v>-0.16200000000000001</v>
      </c>
      <c r="C268" s="71">
        <f>$D$6*(EXP(B268/($D$9*$D$10))-1)</f>
        <v>-9.5563855822709352E-11</v>
      </c>
    </row>
    <row r="269" spans="2:3" x14ac:dyDescent="0.3">
      <c r="B269" s="71">
        <v>-0.1615</v>
      </c>
      <c r="C269" s="71">
        <f>$D$6*(EXP(B269/($D$9*$D$10))-1)</f>
        <v>-9.5520994858133299E-11</v>
      </c>
    </row>
    <row r="270" spans="2:3" x14ac:dyDescent="0.3">
      <c r="B270" s="71">
        <v>-0.161</v>
      </c>
      <c r="C270" s="71">
        <f>$D$6*(EXP(B270/($D$9*$D$10))-1)</f>
        <v>-9.5477719781163454E-11</v>
      </c>
    </row>
    <row r="271" spans="2:3" x14ac:dyDescent="0.3">
      <c r="B271" s="71">
        <v>-0.1605</v>
      </c>
      <c r="C271" s="71">
        <f>$D$6*(EXP(B271/($D$9*$D$10))-1)</f>
        <v>-9.5434026590744901E-11</v>
      </c>
    </row>
    <row r="272" spans="2:3" x14ac:dyDescent="0.3">
      <c r="B272" s="71">
        <v>-0.16</v>
      </c>
      <c r="C272" s="71">
        <f>$D$6*(EXP(B272/($D$9*$D$10))-1)</f>
        <v>-9.5389911247165406E-11</v>
      </c>
    </row>
    <row r="273" spans="2:3" x14ac:dyDescent="0.3">
      <c r="B273" s="71">
        <v>-0.1595</v>
      </c>
      <c r="C273" s="71">
        <f>$D$6*(EXP(B273/($D$9*$D$10))-1)</f>
        <v>-9.5345369671682077E-11</v>
      </c>
    </row>
    <row r="274" spans="2:3" x14ac:dyDescent="0.3">
      <c r="B274" s="71">
        <v>-0.159</v>
      </c>
      <c r="C274" s="71">
        <f>$D$6*(EXP(B274/($D$9*$D$10))-1)</f>
        <v>-9.5300397746144144E-11</v>
      </c>
    </row>
    <row r="275" spans="2:3" x14ac:dyDescent="0.3">
      <c r="B275" s="71">
        <v>-0.1585</v>
      </c>
      <c r="C275" s="71">
        <f>$D$6*(EXP(B275/($D$9*$D$10))-1)</f>
        <v>-9.5254991312612246E-11</v>
      </c>
    </row>
    <row r="276" spans="2:3" x14ac:dyDescent="0.3">
      <c r="B276" s="71">
        <v>-0.158</v>
      </c>
      <c r="C276" s="71">
        <f>$D$6*(EXP(B276/($D$9*$D$10))-1)</f>
        <v>-9.5209146172974024E-11</v>
      </c>
    </row>
    <row r="277" spans="2:3" x14ac:dyDescent="0.3">
      <c r="B277" s="71">
        <v>-0.1575</v>
      </c>
      <c r="C277" s="71">
        <f>$D$6*(EXP(B277/($D$9*$D$10))-1)</f>
        <v>-9.5162858088555933E-11</v>
      </c>
    </row>
    <row r="278" spans="2:3" x14ac:dyDescent="0.3">
      <c r="B278" s="71">
        <v>-0.157</v>
      </c>
      <c r="C278" s="71">
        <f>$D$6*(EXP(B278/($D$9*$D$10))-1)</f>
        <v>-9.5116122779731414E-11</v>
      </c>
    </row>
    <row r="279" spans="2:3" x14ac:dyDescent="0.3">
      <c r="B279" s="71">
        <v>-0.1565</v>
      </c>
      <c r="C279" s="71">
        <f>$D$6*(EXP(B279/($D$9*$D$10))-1)</f>
        <v>-9.506893592552515E-11</v>
      </c>
    </row>
    <row r="280" spans="2:3" x14ac:dyDescent="0.3">
      <c r="B280" s="71">
        <v>-0.156</v>
      </c>
      <c r="C280" s="71">
        <f>$D$6*(EXP(B280/($D$9*$D$10))-1)</f>
        <v>-9.5021293163213619E-11</v>
      </c>
    </row>
    <row r="281" spans="2:3" x14ac:dyDescent="0.3">
      <c r="B281" s="71">
        <v>-0.1555</v>
      </c>
      <c r="C281" s="71">
        <f>$D$6*(EXP(B281/($D$9*$D$10))-1)</f>
        <v>-9.4973190087921689E-11</v>
      </c>
    </row>
    <row r="282" spans="2:3" x14ac:dyDescent="0.3">
      <c r="B282" s="71">
        <v>-0.155</v>
      </c>
      <c r="C282" s="71">
        <f>$D$6*(EXP(B282/($D$9*$D$10))-1)</f>
        <v>-9.4924622252215381E-11</v>
      </c>
    </row>
    <row r="283" spans="2:3" x14ac:dyDescent="0.3">
      <c r="B283" s="71">
        <v>-0.1545</v>
      </c>
      <c r="C283" s="71">
        <f>$D$6*(EXP(B283/($D$9*$D$10))-1)</f>
        <v>-9.4875585165690665E-11</v>
      </c>
    </row>
    <row r="284" spans="2:3" x14ac:dyDescent="0.3">
      <c r="B284" s="71">
        <v>-0.154</v>
      </c>
      <c r="C284" s="71">
        <f>$D$6*(EXP(B284/($D$9*$D$10))-1)</f>
        <v>-9.4826074294558324E-11</v>
      </c>
    </row>
    <row r="285" spans="2:3" x14ac:dyDescent="0.3">
      <c r="B285" s="71">
        <v>-0.1535</v>
      </c>
      <c r="C285" s="71">
        <f>$D$6*(EXP(B285/($D$9*$D$10))-1)</f>
        <v>-9.477608506122472E-11</v>
      </c>
    </row>
    <row r="286" spans="2:3" x14ac:dyDescent="0.3">
      <c r="B286" s="71">
        <v>-0.153</v>
      </c>
      <c r="C286" s="71">
        <f>$D$6*(EXP(B286/($D$9*$D$10))-1)</f>
        <v>-9.4725612843868612E-11</v>
      </c>
    </row>
    <row r="287" spans="2:3" x14ac:dyDescent="0.3">
      <c r="B287" s="71">
        <v>-0.1525</v>
      </c>
      <c r="C287" s="71">
        <f>$D$6*(EXP(B287/($D$9*$D$10))-1)</f>
        <v>-9.4674652976013868E-11</v>
      </c>
    </row>
    <row r="288" spans="2:3" x14ac:dyDescent="0.3">
      <c r="B288" s="71">
        <v>-0.152</v>
      </c>
      <c r="C288" s="71">
        <f>$D$6*(EXP(B288/($D$9*$D$10))-1)</f>
        <v>-9.4623200746097904E-11</v>
      </c>
    </row>
    <row r="289" spans="2:3" x14ac:dyDescent="0.3">
      <c r="B289" s="71">
        <v>-0.1515</v>
      </c>
      <c r="C289" s="71">
        <f>$D$6*(EXP(B289/($D$9*$D$10))-1)</f>
        <v>-9.457125139703622E-11</v>
      </c>
    </row>
    <row r="290" spans="2:3" x14ac:dyDescent="0.3">
      <c r="B290" s="71">
        <v>-0.151</v>
      </c>
      <c r="C290" s="71">
        <f>$D$6*(EXP(B290/($D$9*$D$10))-1)</f>
        <v>-9.4518800125782434E-11</v>
      </c>
    </row>
    <row r="291" spans="2:3" x14ac:dyDescent="0.3">
      <c r="B291" s="71">
        <v>-0.15049999999999999</v>
      </c>
      <c r="C291" s="71">
        <f>$D$6*(EXP(B291/($D$9*$D$10))-1)</f>
        <v>-9.4465842082884326E-11</v>
      </c>
    </row>
    <row r="292" spans="2:3" x14ac:dyDescent="0.3">
      <c r="B292" s="71">
        <v>-0.15</v>
      </c>
      <c r="C292" s="71">
        <f>$D$6*(EXP(B292/($D$9*$D$10))-1)</f>
        <v>-9.4412372372035414E-11</v>
      </c>
    </row>
    <row r="293" spans="2:3" x14ac:dyDescent="0.3">
      <c r="B293" s="71">
        <v>-0.14949999999999999</v>
      </c>
      <c r="C293" s="71">
        <f>$D$6*(EXP(B293/($D$9*$D$10))-1)</f>
        <v>-9.4358386049622277E-11</v>
      </c>
    </row>
    <row r="294" spans="2:3" x14ac:dyDescent="0.3">
      <c r="B294" s="71">
        <v>-0.14899999999999999</v>
      </c>
      <c r="C294" s="71">
        <f>$D$6*(EXP(B294/($D$9*$D$10))-1)</f>
        <v>-9.4303878124267475E-11</v>
      </c>
    </row>
    <row r="295" spans="2:3" x14ac:dyDescent="0.3">
      <c r="B295" s="71">
        <v>-0.14849999999999999</v>
      </c>
      <c r="C295" s="71">
        <f>$D$6*(EXP(B295/($D$9*$D$10))-1)</f>
        <v>-9.424884355636806E-11</v>
      </c>
    </row>
    <row r="296" spans="2:3" x14ac:dyDescent="0.3">
      <c r="B296" s="71">
        <v>-0.14799999999999999</v>
      </c>
      <c r="C296" s="71">
        <f>$D$6*(EXP(B296/($D$9*$D$10))-1)</f>
        <v>-9.4193277257629678E-11</v>
      </c>
    </row>
    <row r="297" spans="2:3" x14ac:dyDescent="0.3">
      <c r="B297" s="71">
        <v>-0.14749999999999999</v>
      </c>
      <c r="C297" s="71">
        <f>$D$6*(EXP(B297/($D$9*$D$10))-1)</f>
        <v>-9.4137174090596072E-11</v>
      </c>
    </row>
    <row r="298" spans="2:3" x14ac:dyDescent="0.3">
      <c r="B298" s="71">
        <v>-0.14699999999999999</v>
      </c>
      <c r="C298" s="71">
        <f>$D$6*(EXP(B298/($D$9*$D$10))-1)</f>
        <v>-9.4080528868174101E-11</v>
      </c>
    </row>
    <row r="299" spans="2:3" x14ac:dyDescent="0.3">
      <c r="B299" s="71">
        <v>-0.14649999999999999</v>
      </c>
      <c r="C299" s="71">
        <f>$D$6*(EXP(B299/($D$9*$D$10))-1)</f>
        <v>-9.4023336353154179E-11</v>
      </c>
    </row>
    <row r="300" spans="2:3" x14ac:dyDescent="0.3">
      <c r="B300" s="71">
        <v>-0.14599999999999999</v>
      </c>
      <c r="C300" s="71">
        <f>$D$6*(EXP(B300/($D$9*$D$10))-1)</f>
        <v>-9.3965591257726079E-11</v>
      </c>
    </row>
    <row r="301" spans="2:3" x14ac:dyDescent="0.3">
      <c r="B301" s="71">
        <v>-0.14549999999999999</v>
      </c>
      <c r="C301" s="71">
        <f>$D$6*(EXP(B301/($D$9*$D$10))-1)</f>
        <v>-9.3907288242989979E-11</v>
      </c>
    </row>
    <row r="302" spans="2:3" x14ac:dyDescent="0.3">
      <c r="B302" s="71">
        <v>-0.14499999999999999</v>
      </c>
      <c r="C302" s="71">
        <f>$D$6*(EXP(B302/($D$9*$D$10))-1)</f>
        <v>-9.3848421918462892E-11</v>
      </c>
    </row>
    <row r="303" spans="2:3" x14ac:dyDescent="0.3">
      <c r="B303" s="71">
        <v>-0.14449999999999999</v>
      </c>
      <c r="C303" s="71">
        <f>$D$6*(EXP(B303/($D$9*$D$10))-1)</f>
        <v>-9.3788986841580279E-11</v>
      </c>
    </row>
    <row r="304" spans="2:3" x14ac:dyDescent="0.3">
      <c r="B304" s="71">
        <v>-0.14399999999999999</v>
      </c>
      <c r="C304" s="71">
        <f>$D$6*(EXP(B304/($D$9*$D$10))-1)</f>
        <v>-9.3728977517192849E-11</v>
      </c>
    </row>
    <row r="305" spans="2:3" x14ac:dyDescent="0.3">
      <c r="B305" s="71">
        <v>-0.14349999999999999</v>
      </c>
      <c r="C305" s="71">
        <f>$D$6*(EXP(B305/($D$9*$D$10))-1)</f>
        <v>-9.3668388397058479E-11</v>
      </c>
    </row>
    <row r="306" spans="2:3" x14ac:dyDescent="0.3">
      <c r="B306" s="71">
        <v>-0.14299999999999999</v>
      </c>
      <c r="C306" s="71">
        <f>$D$6*(EXP(B306/($D$9*$D$10))-1)</f>
        <v>-9.3607213879329259E-11</v>
      </c>
    </row>
    <row r="307" spans="2:3" x14ac:dyDescent="0.3">
      <c r="B307" s="71">
        <v>-0.14249999999999999</v>
      </c>
      <c r="C307" s="71">
        <f>$D$6*(EXP(B307/($D$9*$D$10))-1)</f>
        <v>-9.354544830803358E-11</v>
      </c>
    </row>
    <row r="308" spans="2:3" x14ac:dyDescent="0.3">
      <c r="B308" s="71">
        <v>-0.14199999999999999</v>
      </c>
      <c r="C308" s="71">
        <f>$D$6*(EXP(B308/($D$9*$D$10))-1)</f>
        <v>-9.3483085972553147E-11</v>
      </c>
    </row>
    <row r="309" spans="2:3" x14ac:dyDescent="0.3">
      <c r="B309" s="71">
        <v>-0.14149999999999999</v>
      </c>
      <c r="C309" s="71">
        <f>$D$6*(EXP(B309/($D$9*$D$10))-1)</f>
        <v>-9.342012110709511E-11</v>
      </c>
    </row>
    <row r="310" spans="2:3" x14ac:dyDescent="0.3">
      <c r="B310" s="71">
        <v>-0.14099999999999999</v>
      </c>
      <c r="C310" s="71">
        <f>$D$6*(EXP(B310/($D$9*$D$10))-1)</f>
        <v>-9.3356547890158815E-11</v>
      </c>
    </row>
    <row r="311" spans="2:3" x14ac:dyDescent="0.3">
      <c r="B311" s="71">
        <v>-0.14050000000000001</v>
      </c>
      <c r="C311" s="71">
        <f>$D$6*(EXP(B311/($D$9*$D$10))-1)</f>
        <v>-9.3292360443997738E-11</v>
      </c>
    </row>
    <row r="312" spans="2:3" x14ac:dyDescent="0.3">
      <c r="B312" s="71">
        <v>-0.14000000000000001</v>
      </c>
      <c r="C312" s="71">
        <f>$D$6*(EXP(B312/($D$9*$D$10))-1)</f>
        <v>-9.3227552834075932E-11</v>
      </c>
    </row>
    <row r="313" spans="2:3" x14ac:dyDescent="0.3">
      <c r="B313" s="71">
        <v>-0.13950000000000001</v>
      </c>
      <c r="C313" s="71">
        <f>$D$6*(EXP(B313/($D$9*$D$10))-1)</f>
        <v>-9.316211906851937E-11</v>
      </c>
    </row>
    <row r="314" spans="2:3" x14ac:dyDescent="0.3">
      <c r="B314" s="71">
        <v>-0.13900000000000001</v>
      </c>
      <c r="C314" s="71">
        <f>$D$6*(EXP(B314/($D$9*$D$10))-1)</f>
        <v>-9.3096053097562034E-11</v>
      </c>
    </row>
    <row r="315" spans="2:3" x14ac:dyDescent="0.3">
      <c r="B315" s="71">
        <v>-0.13850000000000001</v>
      </c>
      <c r="C315" s="71">
        <f>$D$6*(EXP(B315/($D$9*$D$10))-1)</f>
        <v>-9.3029348812986425E-11</v>
      </c>
    </row>
    <row r="316" spans="2:3" x14ac:dyDescent="0.3">
      <c r="B316" s="71">
        <v>-0.13800000000000001</v>
      </c>
      <c r="C316" s="71">
        <f>$D$6*(EXP(B316/($D$9*$D$10))-1)</f>
        <v>-9.2962000047558994E-11</v>
      </c>
    </row>
    <row r="317" spans="2:3" x14ac:dyDescent="0.3">
      <c r="B317" s="71">
        <v>-0.13750000000000001</v>
      </c>
      <c r="C317" s="71">
        <f>$D$6*(EXP(B317/($D$9*$D$10))-1)</f>
        <v>-9.2894000574459782E-11</v>
      </c>
    </row>
    <row r="318" spans="2:3" x14ac:dyDescent="0.3">
      <c r="B318" s="71">
        <v>-0.13700000000000001</v>
      </c>
      <c r="C318" s="71">
        <f>$D$6*(EXP(B318/($D$9*$D$10))-1)</f>
        <v>-9.2825344106706847E-11</v>
      </c>
    </row>
    <row r="319" spans="2:3" x14ac:dyDescent="0.3">
      <c r="B319" s="71">
        <v>-0.13650000000000001</v>
      </c>
      <c r="C319" s="71">
        <f>$D$6*(EXP(B319/($D$9*$D$10))-1)</f>
        <v>-9.2756024296574872E-11</v>
      </c>
    </row>
    <row r="320" spans="2:3" x14ac:dyDescent="0.3">
      <c r="B320" s="71">
        <v>-0.13600000000000001</v>
      </c>
      <c r="C320" s="71">
        <f>$D$6*(EXP(B320/($D$9*$D$10))-1)</f>
        <v>-9.2686034735008371E-11</v>
      </c>
    </row>
    <row r="321" spans="2:3" x14ac:dyDescent="0.3">
      <c r="B321" s="71">
        <v>-0.13550000000000001</v>
      </c>
      <c r="C321" s="71">
        <f>$D$6*(EXP(B321/($D$9*$D$10))-1)</f>
        <v>-9.2615368951029106E-11</v>
      </c>
    </row>
    <row r="322" spans="2:3" x14ac:dyDescent="0.3">
      <c r="B322" s="71">
        <v>-0.13500000000000001</v>
      </c>
      <c r="C322" s="71">
        <f>$D$6*(EXP(B322/($D$9*$D$10))-1)</f>
        <v>-9.2544020411137759E-11</v>
      </c>
    </row>
    <row r="323" spans="2:3" x14ac:dyDescent="0.3">
      <c r="B323" s="71">
        <v>-0.13450000000000001</v>
      </c>
      <c r="C323" s="71">
        <f>$D$6*(EXP(B323/($D$9*$D$10))-1)</f>
        <v>-9.2471982518709916E-11</v>
      </c>
    </row>
    <row r="324" spans="2:3" x14ac:dyDescent="0.3">
      <c r="B324" s="71">
        <v>-0.13400000000000001</v>
      </c>
      <c r="C324" s="71">
        <f>$D$6*(EXP(B324/($D$9*$D$10))-1)</f>
        <v>-9.2399248613386184E-11</v>
      </c>
    </row>
    <row r="325" spans="2:3" x14ac:dyDescent="0.3">
      <c r="B325" s="71">
        <v>-0.13350000000000001</v>
      </c>
      <c r="C325" s="71">
        <f>$D$6*(EXP(B325/($D$9*$D$10))-1)</f>
        <v>-9.2325811970456319E-11</v>
      </c>
    </row>
    <row r="326" spans="2:3" x14ac:dyDescent="0.3">
      <c r="B326" s="71">
        <v>-0.13300000000000001</v>
      </c>
      <c r="C326" s="71">
        <f>$D$6*(EXP(B326/($D$9*$D$10))-1)</f>
        <v>-9.2251665800237572E-11</v>
      </c>
    </row>
    <row r="327" spans="2:3" x14ac:dyDescent="0.3">
      <c r="B327" s="71">
        <v>-0.13250000000000001</v>
      </c>
      <c r="C327" s="71">
        <f>$D$6*(EXP(B327/($D$9*$D$10))-1)</f>
        <v>-9.21768032474469E-11</v>
      </c>
    </row>
    <row r="328" spans="2:3" x14ac:dyDescent="0.3">
      <c r="B328" s="71">
        <v>-0.13200000000000001</v>
      </c>
      <c r="C328" s="71">
        <f>$D$6*(EXP(B328/($D$9*$D$10))-1)</f>
        <v>-9.2101217390567125E-11</v>
      </c>
    </row>
    <row r="329" spans="2:3" x14ac:dyDescent="0.3">
      <c r="B329" s="71">
        <v>-0.13150000000000001</v>
      </c>
      <c r="C329" s="71">
        <f>$D$6*(EXP(B329/($D$9*$D$10))-1)</f>
        <v>-9.202490124120707E-11</v>
      </c>
    </row>
    <row r="330" spans="2:3" x14ac:dyDescent="0.3">
      <c r="B330" s="71">
        <v>-0.13100000000000001</v>
      </c>
      <c r="C330" s="71">
        <f>$D$6*(EXP(B330/($D$9*$D$10))-1)</f>
        <v>-9.194784774345535E-11</v>
      </c>
    </row>
    <row r="331" spans="2:3" x14ac:dyDescent="0.3">
      <c r="B331" s="71">
        <v>-0.1305</v>
      </c>
      <c r="C331" s="71">
        <f>$D$6*(EXP(B331/($D$9*$D$10))-1)</f>
        <v>-9.1870049773228078E-11</v>
      </c>
    </row>
    <row r="332" spans="2:3" x14ac:dyDescent="0.3">
      <c r="B332" s="71">
        <v>-0.13</v>
      </c>
      <c r="C332" s="71">
        <f>$D$6*(EXP(B332/($D$9*$D$10))-1)</f>
        <v>-9.1791500137610129E-11</v>
      </c>
    </row>
    <row r="333" spans="2:3" x14ac:dyDescent="0.3">
      <c r="B333" s="71">
        <v>-0.1295</v>
      </c>
      <c r="C333" s="71">
        <f>$D$6*(EXP(B333/($D$9*$D$10))-1)</f>
        <v>-9.1712191574190244E-11</v>
      </c>
    </row>
    <row r="334" spans="2:3" x14ac:dyDescent="0.3">
      <c r="B334" s="71">
        <v>-0.129</v>
      </c>
      <c r="C334" s="71">
        <f>$D$6*(EXP(B334/($D$9*$D$10))-1)</f>
        <v>-9.1632116750389369E-11</v>
      </c>
    </row>
    <row r="335" spans="2:3" x14ac:dyDescent="0.3">
      <c r="B335" s="71">
        <v>-0.1285</v>
      </c>
      <c r="C335" s="71">
        <f>$D$6*(EXP(B335/($D$9*$D$10))-1)</f>
        <v>-9.1551268262782916E-11</v>
      </c>
    </row>
    <row r="336" spans="2:3" x14ac:dyDescent="0.3">
      <c r="B336" s="71">
        <v>-0.128</v>
      </c>
      <c r="C336" s="71">
        <f>$D$6*(EXP(B336/($D$9*$D$10))-1)</f>
        <v>-9.1469638636416122E-11</v>
      </c>
    </row>
    <row r="337" spans="2:3" x14ac:dyDescent="0.3">
      <c r="B337" s="71">
        <v>-0.1275</v>
      </c>
      <c r="C337" s="71">
        <f>$D$6*(EXP(B337/($D$9*$D$10))-1)</f>
        <v>-9.1387220324113008E-11</v>
      </c>
    </row>
    <row r="338" spans="2:3" x14ac:dyDescent="0.3">
      <c r="B338" s="71">
        <v>-0.127</v>
      </c>
      <c r="C338" s="71">
        <f>$D$6*(EXP(B338/($D$9*$D$10))-1)</f>
        <v>-9.1304005705778625E-11</v>
      </c>
    </row>
    <row r="339" spans="2:3" x14ac:dyDescent="0.3">
      <c r="B339" s="71">
        <v>-0.1265</v>
      </c>
      <c r="C339" s="71">
        <f>$D$6*(EXP(B339/($D$9*$D$10))-1)</f>
        <v>-9.1219987087694427E-11</v>
      </c>
    </row>
    <row r="340" spans="2:3" x14ac:dyDescent="0.3">
      <c r="B340" s="71">
        <v>-0.126</v>
      </c>
      <c r="C340" s="71">
        <f>$D$6*(EXP(B340/($D$9*$D$10))-1)</f>
        <v>-9.1135156701807035E-11</v>
      </c>
    </row>
    <row r="341" spans="2:3" x14ac:dyDescent="0.3">
      <c r="B341" s="71">
        <v>-0.1255</v>
      </c>
      <c r="C341" s="71">
        <f>$D$6*(EXP(B341/($D$9*$D$10))-1)</f>
        <v>-9.1049506705009989E-11</v>
      </c>
    </row>
    <row r="342" spans="2:3" x14ac:dyDescent="0.3">
      <c r="B342" s="71">
        <v>-0.125</v>
      </c>
      <c r="C342" s="71">
        <f>$D$6*(EXP(B342/($D$9*$D$10))-1)</f>
        <v>-9.0963029178418618E-11</v>
      </c>
    </row>
    <row r="343" spans="2:3" x14ac:dyDescent="0.3">
      <c r="B343" s="71">
        <v>-0.1245</v>
      </c>
      <c r="C343" s="71">
        <f>$D$6*(EXP(B343/($D$9*$D$10))-1)</f>
        <v>-9.0875716126637871E-11</v>
      </c>
    </row>
    <row r="344" spans="2:3" x14ac:dyDescent="0.3">
      <c r="B344" s="71">
        <v>-0.124</v>
      </c>
      <c r="C344" s="71">
        <f>$D$6*(EXP(B344/($D$9*$D$10))-1)</f>
        <v>-9.0787559477023088E-11</v>
      </c>
    </row>
    <row r="345" spans="2:3" x14ac:dyDescent="0.3">
      <c r="B345" s="71">
        <v>-0.1235</v>
      </c>
      <c r="C345" s="71">
        <f>$D$6*(EXP(B345/($D$9*$D$10))-1)</f>
        <v>-9.0698551078933663E-11</v>
      </c>
    </row>
    <row r="346" spans="2:3" x14ac:dyDescent="0.3">
      <c r="B346" s="71">
        <v>-0.123</v>
      </c>
      <c r="C346" s="71">
        <f>$D$6*(EXP(B346/($D$9*$D$10))-1)</f>
        <v>-9.0608682702979456E-11</v>
      </c>
    </row>
    <row r="347" spans="2:3" x14ac:dyDescent="0.3">
      <c r="B347" s="71">
        <v>-0.1225</v>
      </c>
      <c r="C347" s="71">
        <f>$D$6*(EXP(B347/($D$9*$D$10))-1)</f>
        <v>-9.0517946040259906E-11</v>
      </c>
    </row>
    <row r="348" spans="2:3" x14ac:dyDescent="0.3">
      <c r="B348" s="71">
        <v>-0.122</v>
      </c>
      <c r="C348" s="71">
        <f>$D$6*(EXP(B348/($D$9*$D$10))-1)</f>
        <v>-9.0426332701595862E-11</v>
      </c>
    </row>
    <row r="349" spans="2:3" x14ac:dyDescent="0.3">
      <c r="B349" s="71">
        <v>-0.1215</v>
      </c>
      <c r="C349" s="71">
        <f>$D$6*(EXP(B349/($D$9*$D$10))-1)</f>
        <v>-9.0333834216753894E-11</v>
      </c>
    </row>
    <row r="350" spans="2:3" x14ac:dyDescent="0.3">
      <c r="B350" s="71">
        <v>-0.121</v>
      </c>
      <c r="C350" s="71">
        <f>$D$6*(EXP(B350/($D$9*$D$10))-1)</f>
        <v>-9.0240442033663252E-11</v>
      </c>
    </row>
    <row r="351" spans="2:3" x14ac:dyDescent="0.3">
      <c r="B351" s="71">
        <v>-0.1205</v>
      </c>
      <c r="C351" s="71">
        <f>$D$6*(EXP(B351/($D$9*$D$10))-1)</f>
        <v>-9.0146147517625095E-11</v>
      </c>
    </row>
    <row r="352" spans="2:3" x14ac:dyDescent="0.3">
      <c r="B352" s="71">
        <v>-0.12</v>
      </c>
      <c r="C352" s="71">
        <f>$D$6*(EXP(B352/($D$9*$D$10))-1)</f>
        <v>-9.0050941950514181E-11</v>
      </c>
    </row>
    <row r="353" spans="2:3" x14ac:dyDescent="0.3">
      <c r="B353" s="71">
        <v>-0.1195</v>
      </c>
      <c r="C353" s="71">
        <f>$D$6*(EXP(B353/($D$9*$D$10))-1)</f>
        <v>-8.995481652997282E-11</v>
      </c>
    </row>
    <row r="354" spans="2:3" x14ac:dyDescent="0.3">
      <c r="B354" s="71">
        <v>-0.11899999999999999</v>
      </c>
      <c r="C354" s="71">
        <f>$D$6*(EXP(B354/($D$9*$D$10))-1)</f>
        <v>-8.9857762368597072E-11</v>
      </c>
    </row>
    <row r="355" spans="2:3" x14ac:dyDescent="0.3">
      <c r="B355" s="71">
        <v>-0.11849999999999999</v>
      </c>
      <c r="C355" s="71">
        <f>$D$6*(EXP(B355/($D$9*$D$10))-1)</f>
        <v>-8.9759770493115016E-11</v>
      </c>
    </row>
    <row r="356" spans="2:3" x14ac:dyDescent="0.3">
      <c r="B356" s="71">
        <v>-0.11799999999999999</v>
      </c>
      <c r="C356" s="71">
        <f>$D$6*(EXP(B356/($D$9*$D$10))-1)</f>
        <v>-8.9660831843557107E-11</v>
      </c>
    </row>
    <row r="357" spans="2:3" x14ac:dyDescent="0.3">
      <c r="B357" s="71">
        <v>-0.11749999999999999</v>
      </c>
      <c r="C357" s="71">
        <f>$D$6*(EXP(B357/($D$9*$D$10))-1)</f>
        <v>-8.9560937272418561E-11</v>
      </c>
    </row>
    <row r="358" spans="2:3" x14ac:dyDescent="0.3">
      <c r="B358" s="71">
        <v>-0.11700000000000001</v>
      </c>
      <c r="C358" s="71">
        <f>$D$6*(EXP(B358/($D$9*$D$10))-1)</f>
        <v>-8.9460077543813589E-11</v>
      </c>
    </row>
    <row r="359" spans="2:3" x14ac:dyDescent="0.3">
      <c r="B359" s="71">
        <v>-0.11650000000000001</v>
      </c>
      <c r="C359" s="71">
        <f>$D$6*(EXP(B359/($D$9*$D$10))-1)</f>
        <v>-8.9358243332621437E-11</v>
      </c>
    </row>
    <row r="360" spans="2:3" x14ac:dyDescent="0.3">
      <c r="B360" s="71">
        <v>-0.11600000000000001</v>
      </c>
      <c r="C360" s="71">
        <f>$D$6*(EXP(B360/($D$9*$D$10))-1)</f>
        <v>-8.9255425223624336E-11</v>
      </c>
    </row>
    <row r="361" spans="2:3" x14ac:dyDescent="0.3">
      <c r="B361" s="71">
        <v>-0.11550000000000001</v>
      </c>
      <c r="C361" s="71">
        <f>$D$6*(EXP(B361/($D$9*$D$10))-1)</f>
        <v>-8.9151613710636878E-11</v>
      </c>
    </row>
    <row r="362" spans="2:3" x14ac:dyDescent="0.3">
      <c r="B362" s="71">
        <v>-0.115</v>
      </c>
      <c r="C362" s="71">
        <f>$D$6*(EXP(B362/($D$9*$D$10))-1)</f>
        <v>-8.9046799195627193E-11</v>
      </c>
    </row>
    <row r="363" spans="2:3" x14ac:dyDescent="0.3">
      <c r="B363" s="71">
        <v>-0.1145</v>
      </c>
      <c r="C363" s="71">
        <f>$D$6*(EXP(B363/($D$9*$D$10))-1)</f>
        <v>-8.8940971987829495E-11</v>
      </c>
    </row>
    <row r="364" spans="2:3" x14ac:dyDescent="0.3">
      <c r="B364" s="71">
        <v>-0.114</v>
      </c>
      <c r="C364" s="71">
        <f>$D$6*(EXP(B364/($D$9*$D$10))-1)</f>
        <v>-8.8834122302848161E-11</v>
      </c>
    </row>
    <row r="365" spans="2:3" x14ac:dyDescent="0.3">
      <c r="B365" s="71">
        <v>-0.1135</v>
      </c>
      <c r="C365" s="71">
        <f>$D$6*(EXP(B365/($D$9*$D$10))-1)</f>
        <v>-8.8726240261753073E-11</v>
      </c>
    </row>
    <row r="366" spans="2:3" x14ac:dyDescent="0.3">
      <c r="B366" s="71">
        <v>-0.113</v>
      </c>
      <c r="C366" s="71">
        <f>$D$6*(EXP(B366/($D$9*$D$10))-1)</f>
        <v>-8.8617315890166236E-11</v>
      </c>
    </row>
    <row r="367" spans="2:3" x14ac:dyDescent="0.3">
      <c r="B367" s="71">
        <v>-0.1125</v>
      </c>
      <c r="C367" s="71">
        <f>$D$6*(EXP(B367/($D$9*$D$10))-1)</f>
        <v>-8.8507339117339611E-11</v>
      </c>
    </row>
    <row r="368" spans="2:3" x14ac:dyDescent="0.3">
      <c r="B368" s="71">
        <v>-0.112</v>
      </c>
      <c r="C368" s="71">
        <f>$D$6*(EXP(B368/($D$9*$D$10))-1)</f>
        <v>-8.8396299775224005E-11</v>
      </c>
    </row>
    <row r="369" spans="2:3" x14ac:dyDescent="0.3">
      <c r="B369" s="71">
        <v>-0.1115</v>
      </c>
      <c r="C369" s="71">
        <f>$D$6*(EXP(B369/($D$9*$D$10))-1)</f>
        <v>-8.8284187597528945E-11</v>
      </c>
    </row>
    <row r="370" spans="2:3" x14ac:dyDescent="0.3">
      <c r="B370" s="71">
        <v>-0.111</v>
      </c>
      <c r="C370" s="71">
        <f>$D$6*(EXP(B370/($D$9*$D$10))-1)</f>
        <v>-8.8170992218773525E-11</v>
      </c>
    </row>
    <row r="371" spans="2:3" x14ac:dyDescent="0.3">
      <c r="B371" s="71">
        <v>-0.1105</v>
      </c>
      <c r="C371" s="71">
        <f>$D$6*(EXP(B371/($D$9*$D$10))-1)</f>
        <v>-8.8056703173328053E-11</v>
      </c>
    </row>
    <row r="372" spans="2:3" x14ac:dyDescent="0.3">
      <c r="B372" s="71">
        <v>-0.11</v>
      </c>
      <c r="C372" s="71">
        <f>$D$6*(EXP(B372/($D$9*$D$10))-1)</f>
        <v>-8.7941309894446405E-11</v>
      </c>
    </row>
    <row r="373" spans="2:3" x14ac:dyDescent="0.3">
      <c r="B373" s="71">
        <v>-0.1095</v>
      </c>
      <c r="C373" s="71">
        <f>$D$6*(EXP(B373/($D$9*$D$10))-1)</f>
        <v>-8.7824801713289073E-11</v>
      </c>
    </row>
    <row r="374" spans="2:3" x14ac:dyDescent="0.3">
      <c r="B374" s="71">
        <v>-0.109</v>
      </c>
      <c r="C374" s="71">
        <f>$D$6*(EXP(B374/($D$9*$D$10))-1)</f>
        <v>-8.7707167857936816E-11</v>
      </c>
    </row>
    <row r="375" spans="2:3" x14ac:dyDescent="0.3">
      <c r="B375" s="71">
        <v>-0.1085</v>
      </c>
      <c r="C375" s="71">
        <f>$D$6*(EXP(B375/($D$9*$D$10))-1)</f>
        <v>-8.7588397452394632E-11</v>
      </c>
    </row>
    <row r="376" spans="2:3" x14ac:dyDescent="0.3">
      <c r="B376" s="71">
        <v>-0.108</v>
      </c>
      <c r="C376" s="71">
        <f>$D$6*(EXP(B376/($D$9*$D$10))-1)</f>
        <v>-8.7468479515586293E-11</v>
      </c>
    </row>
    <row r="377" spans="2:3" x14ac:dyDescent="0.3">
      <c r="B377" s="71">
        <v>-0.1075</v>
      </c>
      <c r="C377" s="71">
        <f>$D$6*(EXP(B377/($D$9*$D$10))-1)</f>
        <v>-8.7347402960339023E-11</v>
      </c>
    </row>
    <row r="378" spans="2:3" x14ac:dyDescent="0.3">
      <c r="B378" s="71">
        <v>-0.107</v>
      </c>
      <c r="C378" s="71">
        <f>$D$6*(EXP(B378/($D$9*$D$10))-1)</f>
        <v>-8.7225156592358423E-11</v>
      </c>
    </row>
    <row r="379" spans="2:3" x14ac:dyDescent="0.3">
      <c r="B379" s="71">
        <v>-0.1065</v>
      </c>
      <c r="C379" s="71">
        <f>$D$6*(EXP(B379/($D$9*$D$10))-1)</f>
        <v>-8.7101729109193526E-11</v>
      </c>
    </row>
    <row r="380" spans="2:3" x14ac:dyDescent="0.3">
      <c r="B380" s="71">
        <v>-0.106</v>
      </c>
      <c r="C380" s="71">
        <f>$D$6*(EXP(B380/($D$9*$D$10))-1)</f>
        <v>-8.6977109099191749E-11</v>
      </c>
    </row>
    <row r="381" spans="2:3" x14ac:dyDescent="0.3">
      <c r="B381" s="71">
        <v>-0.1055</v>
      </c>
      <c r="C381" s="71">
        <f>$D$6*(EXP(B381/($D$9*$D$10))-1)</f>
        <v>-8.6851285040443899E-11</v>
      </c>
    </row>
    <row r="382" spans="2:3" x14ac:dyDescent="0.3">
      <c r="B382" s="71">
        <v>-0.105</v>
      </c>
      <c r="C382" s="71">
        <f>$D$6*(EXP(B382/($D$9*$D$10))-1)</f>
        <v>-8.6724245299718788E-11</v>
      </c>
    </row>
    <row r="383" spans="2:3" x14ac:dyDescent="0.3">
      <c r="B383" s="71">
        <v>-0.1045</v>
      </c>
      <c r="C383" s="71">
        <f>$D$6*(EXP(B383/($D$9*$D$10))-1)</f>
        <v>-8.6595978131387761E-11</v>
      </c>
    </row>
    <row r="384" spans="2:3" x14ac:dyDescent="0.3">
      <c r="B384" s="71">
        <v>-0.104</v>
      </c>
      <c r="C384" s="71">
        <f>$D$6*(EXP(B384/($D$9*$D$10))-1)</f>
        <v>-8.6466471676338746E-11</v>
      </c>
    </row>
    <row r="385" spans="2:3" x14ac:dyDescent="0.3">
      <c r="B385" s="71">
        <v>-0.10349999999999999</v>
      </c>
      <c r="C385" s="71">
        <f>$D$6*(EXP(B385/($D$9*$D$10))-1)</f>
        <v>-8.6335713960879698E-11</v>
      </c>
    </row>
    <row r="386" spans="2:3" x14ac:dyDescent="0.3">
      <c r="B386" s="71">
        <v>-0.10299999999999999</v>
      </c>
      <c r="C386" s="71">
        <f>$D$6*(EXP(B386/($D$9*$D$10))-1)</f>
        <v>-8.6203692895631639E-11</v>
      </c>
    </row>
    <row r="387" spans="2:3" x14ac:dyDescent="0.3">
      <c r="B387" s="71">
        <v>-0.10249999999999999</v>
      </c>
      <c r="C387" s="71">
        <f>$D$6*(EXP(B387/($D$9*$D$10))-1)</f>
        <v>-8.6070396274410941E-11</v>
      </c>
    </row>
    <row r="388" spans="2:3" x14ac:dyDescent="0.3">
      <c r="B388" s="71">
        <v>-0.10199999999999999</v>
      </c>
      <c r="C388" s="71">
        <f>$D$6*(EXP(B388/($D$9*$D$10))-1)</f>
        <v>-8.5935811773100689E-11</v>
      </c>
    </row>
    <row r="389" spans="2:3" x14ac:dyDescent="0.3">
      <c r="B389" s="71">
        <v>-0.10150000000000001</v>
      </c>
      <c r="C389" s="71">
        <f>$D$6*(EXP(B389/($D$9*$D$10))-1)</f>
        <v>-8.5799926948511361E-11</v>
      </c>
    </row>
    <row r="390" spans="2:3" x14ac:dyDescent="0.3">
      <c r="B390" s="71">
        <v>-0.10100000000000001</v>
      </c>
      <c r="C390" s="71">
        <f>$D$6*(EXP(B390/($D$9*$D$10))-1)</f>
        <v>-8.5662729237230252E-11</v>
      </c>
    </row>
    <row r="391" spans="2:3" x14ac:dyDescent="0.3">
      <c r="B391" s="71">
        <v>-0.10050000000000001</v>
      </c>
      <c r="C391" s="71">
        <f>$D$6*(EXP(B391/($D$9*$D$10))-1)</f>
        <v>-8.5524205954460015E-11</v>
      </c>
    </row>
    <row r="392" spans="2:3" x14ac:dyDescent="0.3">
      <c r="B392" s="71">
        <v>-0.1</v>
      </c>
      <c r="C392" s="71">
        <f>$D$6*(EXP(B392/($D$9*$D$10))-1)</f>
        <v>-8.5384344292845777E-11</v>
      </c>
    </row>
    <row r="393" spans="2:3" x14ac:dyDescent="0.3">
      <c r="B393" s="71">
        <v>-9.9500000000000005E-2</v>
      </c>
      <c r="C393" s="71">
        <f>$D$6*(EXP(B393/($D$9*$D$10))-1)</f>
        <v>-8.5243131321291089E-11</v>
      </c>
    </row>
    <row r="394" spans="2:3" x14ac:dyDescent="0.3">
      <c r="B394" s="71">
        <v>-9.9000000000000005E-2</v>
      </c>
      <c r="C394" s="71">
        <f>$D$6*(EXP(B394/($D$9*$D$10))-1)</f>
        <v>-8.5100553983762359E-11</v>
      </c>
    </row>
    <row r="395" spans="2:3" x14ac:dyDescent="0.3">
      <c r="B395" s="71">
        <v>-9.8500000000000004E-2</v>
      </c>
      <c r="C395" s="71">
        <f>$D$6*(EXP(B395/($D$9*$D$10))-1)</f>
        <v>-8.4956599098081692E-11</v>
      </c>
    </row>
    <row r="396" spans="2:3" x14ac:dyDescent="0.3">
      <c r="B396" s="71">
        <v>-9.8000000000000004E-2</v>
      </c>
      <c r="C396" s="71">
        <f>$D$6*(EXP(B396/($D$9*$D$10))-1)</f>
        <v>-8.4811253354708135E-11</v>
      </c>
    </row>
    <row r="397" spans="2:3" x14ac:dyDescent="0.3">
      <c r="B397" s="71">
        <v>-9.7500000000000003E-2</v>
      </c>
      <c r="C397" s="71">
        <f>$D$6*(EXP(B397/($D$9*$D$10))-1)</f>
        <v>-8.4664503315507174E-11</v>
      </c>
    </row>
    <row r="398" spans="2:3" x14ac:dyDescent="0.3">
      <c r="B398" s="71">
        <v>-9.7000000000000003E-2</v>
      </c>
      <c r="C398" s="71">
        <f>$D$6*(EXP(B398/($D$9*$D$10))-1)</f>
        <v>-8.451633541250818E-11</v>
      </c>
    </row>
    <row r="399" spans="2:3" x14ac:dyDescent="0.3">
      <c r="B399" s="71">
        <v>-9.6500000000000002E-2</v>
      </c>
      <c r="C399" s="71">
        <f>$D$6*(EXP(B399/($D$9*$D$10))-1)</f>
        <v>-8.4366735946650125E-11</v>
      </c>
    </row>
    <row r="400" spans="2:3" x14ac:dyDescent="0.3">
      <c r="B400" s="71">
        <v>-9.6000000000000002E-2</v>
      </c>
      <c r="C400" s="71">
        <f>$D$6*(EXP(B400/($D$9*$D$10))-1)</f>
        <v>-8.4215691086514841E-11</v>
      </c>
    </row>
    <row r="401" spans="2:3" x14ac:dyDescent="0.3">
      <c r="B401" s="71">
        <v>-9.5500000000000002E-2</v>
      </c>
      <c r="C401" s="71">
        <f>$D$6*(EXP(B401/($D$9*$D$10))-1)</f>
        <v>-8.4063186867048387E-11</v>
      </c>
    </row>
    <row r="402" spans="2:3" x14ac:dyDescent="0.3">
      <c r="B402" s="71">
        <v>-9.5000000000000001E-2</v>
      </c>
      <c r="C402" s="71">
        <f>$D$6*(EXP(B402/($D$9*$D$10))-1)</f>
        <v>-8.3909209188269719E-11</v>
      </c>
    </row>
    <row r="403" spans="2:3" x14ac:dyDescent="0.3">
      <c r="B403" s="71">
        <v>-9.4500000000000001E-2</v>
      </c>
      <c r="C403" s="71">
        <f>$D$6*(EXP(B403/($D$9*$D$10))-1)</f>
        <v>-8.375374381396722E-11</v>
      </c>
    </row>
    <row r="404" spans="2:3" x14ac:dyDescent="0.3">
      <c r="B404" s="71">
        <v>-9.4E-2</v>
      </c>
      <c r="C404" s="71">
        <f>$D$6*(EXP(B404/($D$9*$D$10))-1)</f>
        <v>-8.3596776370382373E-11</v>
      </c>
    </row>
    <row r="405" spans="2:3" x14ac:dyDescent="0.3">
      <c r="B405" s="71">
        <v>-9.35E-2</v>
      </c>
      <c r="C405" s="71">
        <f>$D$6*(EXP(B405/($D$9*$D$10))-1)</f>
        <v>-8.3438292344880841E-11</v>
      </c>
    </row>
    <row r="406" spans="2:3" x14ac:dyDescent="0.3">
      <c r="B406" s="71">
        <v>-9.2999999999999999E-2</v>
      </c>
      <c r="C406" s="71">
        <f>$D$6*(EXP(B406/($D$9*$D$10))-1)</f>
        <v>-8.3278277084610705E-11</v>
      </c>
    </row>
    <row r="407" spans="2:3" x14ac:dyDescent="0.3">
      <c r="B407" s="71">
        <v>-9.2499999999999999E-2</v>
      </c>
      <c r="C407" s="71">
        <f>$D$6*(EXP(B407/($D$9*$D$10))-1)</f>
        <v>-8.311671579514762E-11</v>
      </c>
    </row>
    <row r="408" spans="2:3" x14ac:dyDescent="0.3">
      <c r="B408" s="71">
        <v>-9.1999999999999998E-2</v>
      </c>
      <c r="C408" s="71">
        <f>$D$6*(EXP(B408/($D$9*$D$10))-1)</f>
        <v>-8.2953593539127173E-11</v>
      </c>
    </row>
    <row r="409" spans="2:3" x14ac:dyDescent="0.3">
      <c r="B409" s="71">
        <v>-9.1499999999999998E-2</v>
      </c>
      <c r="C409" s="71">
        <f>$D$6*(EXP(B409/($D$9*$D$10))-1)</f>
        <v>-8.2788895234863583E-11</v>
      </c>
    </row>
    <row r="410" spans="2:3" x14ac:dyDescent="0.3">
      <c r="B410" s="71">
        <v>-9.0999999999999998E-2</v>
      </c>
      <c r="C410" s="71">
        <f>$D$6*(EXP(B410/($D$9*$D$10))-1)</f>
        <v>-8.2622605654955502E-11</v>
      </c>
    </row>
    <row r="411" spans="2:3" x14ac:dyDescent="0.3">
      <c r="B411" s="71">
        <v>-9.0499999999999997E-2</v>
      </c>
      <c r="C411" s="71">
        <f>$D$6*(EXP(B411/($D$9*$D$10))-1)</f>
        <v>-8.2454709424878046E-11</v>
      </c>
    </row>
    <row r="412" spans="2:3" x14ac:dyDescent="0.3">
      <c r="B412" s="71">
        <v>-0.09</v>
      </c>
      <c r="C412" s="71">
        <f>$D$6*(EXP(B412/($D$9*$D$10))-1)</f>
        <v>-8.2285191021561371E-11</v>
      </c>
    </row>
    <row r="413" spans="2:3" x14ac:dyDescent="0.3">
      <c r="B413" s="71">
        <v>-8.9499999999999996E-2</v>
      </c>
      <c r="C413" s="71">
        <f>$D$6*(EXP(B413/($D$9*$D$10))-1)</f>
        <v>-8.2114034771955376E-11</v>
      </c>
    </row>
    <row r="414" spans="2:3" x14ac:dyDescent="0.3">
      <c r="B414" s="71">
        <v>-8.8999999999999996E-2</v>
      </c>
      <c r="C414" s="71">
        <f>$D$6*(EXP(B414/($D$9*$D$10))-1)</f>
        <v>-8.1941224851580785E-11</v>
      </c>
    </row>
    <row r="415" spans="2:3" x14ac:dyDescent="0.3">
      <c r="B415" s="71">
        <v>-8.8499999999999995E-2</v>
      </c>
      <c r="C415" s="71">
        <f>$D$6*(EXP(B415/($D$9*$D$10))-1)</f>
        <v>-8.176674528306593E-11</v>
      </c>
    </row>
    <row r="416" spans="2:3" x14ac:dyDescent="0.3">
      <c r="B416" s="71">
        <v>-8.7999999999999995E-2</v>
      </c>
      <c r="C416" s="71">
        <f>$D$6*(EXP(B416/($D$9*$D$10))-1)</f>
        <v>-8.1590579934669597E-11</v>
      </c>
    </row>
    <row r="417" spans="2:3" x14ac:dyDescent="0.3">
      <c r="B417" s="71">
        <v>-8.7499999999999994E-2</v>
      </c>
      <c r="C417" s="71">
        <f>$D$6*(EXP(B417/($D$9*$D$10))-1)</f>
        <v>-8.1412712518789581E-11</v>
      </c>
    </row>
    <row r="418" spans="2:3" x14ac:dyDescent="0.3">
      <c r="B418" s="71">
        <v>-8.6999999999999994E-2</v>
      </c>
      <c r="C418" s="71">
        <f>$D$6*(EXP(B418/($D$9*$D$10))-1)</f>
        <v>-8.1233126590456703E-11</v>
      </c>
    </row>
    <row r="419" spans="2:3" x14ac:dyDescent="0.3">
      <c r="B419" s="71">
        <v>-8.6499999999999994E-2</v>
      </c>
      <c r="C419" s="71">
        <f>$D$6*(EXP(B419/($D$9*$D$10))-1)</f>
        <v>-8.105180554581449E-11</v>
      </c>
    </row>
    <row r="420" spans="2:3" x14ac:dyDescent="0.3">
      <c r="B420" s="71">
        <v>-8.5999999999999993E-2</v>
      </c>
      <c r="C420" s="71">
        <f>$D$6*(EXP(B420/($D$9*$D$10))-1)</f>
        <v>-8.086873262058395E-11</v>
      </c>
    </row>
    <row r="421" spans="2:3" x14ac:dyDescent="0.3">
      <c r="B421" s="71">
        <v>-8.5500000000000007E-2</v>
      </c>
      <c r="C421" s="71">
        <f>$D$6*(EXP(B421/($D$9*$D$10))-1)</f>
        <v>-8.0683890888513595E-11</v>
      </c>
    </row>
    <row r="422" spans="2:3" x14ac:dyDescent="0.3">
      <c r="B422" s="71">
        <v>-8.5000000000000006E-2</v>
      </c>
      <c r="C422" s="71">
        <f>$D$6*(EXP(B422/($D$9*$D$10))-1)</f>
        <v>-8.0497263259814584E-11</v>
      </c>
    </row>
    <row r="423" spans="2:3" x14ac:dyDescent="0.3">
      <c r="B423" s="71">
        <v>-8.4500000000000006E-2</v>
      </c>
      <c r="C423" s="71">
        <f>$D$6*(EXP(B423/($D$9*$D$10))-1)</f>
        <v>-8.030883247958062E-11</v>
      </c>
    </row>
    <row r="424" spans="2:3" x14ac:dyDescent="0.3">
      <c r="B424" s="71">
        <v>-8.4000000000000005E-2</v>
      </c>
      <c r="C424" s="71">
        <f>$D$6*(EXP(B424/($D$9*$D$10))-1)</f>
        <v>-8.0118581126192598E-11</v>
      </c>
    </row>
    <row r="425" spans="2:3" x14ac:dyDescent="0.3">
      <c r="B425" s="71">
        <v>-8.3500000000000005E-2</v>
      </c>
      <c r="C425" s="71">
        <f>$D$6*(EXP(B425/($D$9*$D$10))-1)</f>
        <v>-7.9926491609707927E-11</v>
      </c>
    </row>
    <row r="426" spans="2:3" x14ac:dyDescent="0.3">
      <c r="B426" s="71">
        <v>-8.3000000000000004E-2</v>
      </c>
      <c r="C426" s="71">
        <f>$D$6*(EXP(B426/($D$9*$D$10))-1)</f>
        <v>-7.9732546170234185E-11</v>
      </c>
    </row>
    <row r="427" spans="2:3" x14ac:dyDescent="0.3">
      <c r="B427" s="71">
        <v>-8.2500000000000004E-2</v>
      </c>
      <c r="C427" s="71">
        <f>$D$6*(EXP(B427/($D$9*$D$10))-1)</f>
        <v>-7.9536726876287108E-11</v>
      </c>
    </row>
    <row r="428" spans="2:3" x14ac:dyDescent="0.3">
      <c r="B428" s="71">
        <v>-8.2000000000000003E-2</v>
      </c>
      <c r="C428" s="71">
        <f>$D$6*(EXP(B428/($D$9*$D$10))-1)</f>
        <v>-7.9339015623132734E-11</v>
      </c>
    </row>
    <row r="429" spans="2:3" x14ac:dyDescent="0.3">
      <c r="B429" s="71">
        <v>-8.1500000000000003E-2</v>
      </c>
      <c r="C429" s="71">
        <f>$D$6*(EXP(B429/($D$9*$D$10))-1)</f>
        <v>-7.9139394131113462E-11</v>
      </c>
    </row>
    <row r="430" spans="2:3" x14ac:dyDescent="0.3">
      <c r="B430" s="71">
        <v>-8.1000000000000003E-2</v>
      </c>
      <c r="C430" s="71">
        <f>$D$6*(EXP(B430/($D$9*$D$10))-1)</f>
        <v>-7.8937843943958019E-11</v>
      </c>
    </row>
    <row r="431" spans="2:3" x14ac:dyDescent="0.3">
      <c r="B431" s="71">
        <v>-8.0500000000000002E-2</v>
      </c>
      <c r="C431" s="71">
        <f>$D$6*(EXP(B431/($D$9*$D$10))-1)</f>
        <v>-7.8734346427075067E-11</v>
      </c>
    </row>
    <row r="432" spans="2:3" x14ac:dyDescent="0.3">
      <c r="B432" s="71">
        <v>-0.08</v>
      </c>
      <c r="C432" s="71">
        <f>$D$6*(EXP(B432/($D$9*$D$10))-1)</f>
        <v>-7.8528882765830294E-11</v>
      </c>
    </row>
    <row r="433" spans="2:3" x14ac:dyDescent="0.3">
      <c r="B433" s="71">
        <v>-7.9500000000000001E-2</v>
      </c>
      <c r="C433" s="71">
        <f>$D$6*(EXP(B433/($D$9*$D$10))-1)</f>
        <v>-7.8321433963806862E-11</v>
      </c>
    </row>
    <row r="434" spans="2:3" x14ac:dyDescent="0.3">
      <c r="B434" s="71">
        <v>-7.9000000000000001E-2</v>
      </c>
      <c r="C434" s="71">
        <f>$D$6*(EXP(B434/($D$9*$D$10))-1)</f>
        <v>-7.8111980841049143E-11</v>
      </c>
    </row>
    <row r="435" spans="2:3" x14ac:dyDescent="0.3">
      <c r="B435" s="71">
        <v>-7.85E-2</v>
      </c>
      <c r="C435" s="71">
        <f>$D$6*(EXP(B435/($D$9*$D$10))-1)</f>
        <v>-7.7900504032289335E-11</v>
      </c>
    </row>
    <row r="436" spans="2:3" x14ac:dyDescent="0.3">
      <c r="B436" s="71">
        <v>-7.8E-2</v>
      </c>
      <c r="C436" s="71">
        <f>$D$6*(EXP(B436/($D$9*$D$10))-1)</f>
        <v>-7.7686983985157028E-11</v>
      </c>
    </row>
    <row r="437" spans="2:3" x14ac:dyDescent="0.3">
      <c r="B437" s="71">
        <v>-7.7499999999999999E-2</v>
      </c>
      <c r="C437" s="71">
        <f>$D$6*(EXP(B437/($D$9*$D$10))-1)</f>
        <v>-7.7471400958371534E-11</v>
      </c>
    </row>
    <row r="438" spans="2:3" x14ac:dyDescent="0.3">
      <c r="B438" s="71">
        <v>-7.6999999999999999E-2</v>
      </c>
      <c r="C438" s="71">
        <f>$D$6*(EXP(B438/($D$9*$D$10))-1)</f>
        <v>-7.7253735019916579E-11</v>
      </c>
    </row>
    <row r="439" spans="2:3" x14ac:dyDescent="0.3">
      <c r="B439" s="71">
        <v>-7.6499999999999999E-2</v>
      </c>
      <c r="C439" s="71">
        <f>$D$6*(EXP(B439/($D$9*$D$10))-1)</f>
        <v>-7.7033966045197543E-11</v>
      </c>
    </row>
    <row r="440" spans="2:3" x14ac:dyDescent="0.3">
      <c r="B440" s="71">
        <v>-7.5999999999999998E-2</v>
      </c>
      <c r="C440" s="71">
        <f>$D$6*(EXP(B440/($D$9*$D$10))-1)</f>
        <v>-7.6812073715180789E-11</v>
      </c>
    </row>
    <row r="441" spans="2:3" x14ac:dyDescent="0.3">
      <c r="B441" s="71">
        <v>-7.5499999999999998E-2</v>
      </c>
      <c r="C441" s="71">
        <f>$D$6*(EXP(B441/($D$9*$D$10))-1)</f>
        <v>-7.6588037514514989E-11</v>
      </c>
    </row>
    <row r="442" spans="2:3" x14ac:dyDescent="0.3">
      <c r="B442" s="71">
        <v>-7.4999999999999997E-2</v>
      </c>
      <c r="C442" s="71">
        <f>$D$6*(EXP(B442/($D$9*$D$10))-1)</f>
        <v>-7.6361836729634442E-11</v>
      </c>
    </row>
    <row r="443" spans="2:3" x14ac:dyDescent="0.3">
      <c r="B443" s="71">
        <v>-7.4499999999999997E-2</v>
      </c>
      <c r="C443" s="71">
        <f>$D$6*(EXP(B443/($D$9*$D$10))-1)</f>
        <v>-7.6133450446843937E-11</v>
      </c>
    </row>
    <row r="444" spans="2:3" x14ac:dyDescent="0.3">
      <c r="B444" s="71">
        <v>-7.3999999999999996E-2</v>
      </c>
      <c r="C444" s="71">
        <f>$D$6*(EXP(B444/($D$9*$D$10))-1)</f>
        <v>-7.5902857550385086E-11</v>
      </c>
    </row>
    <row r="445" spans="2:3" x14ac:dyDescent="0.3">
      <c r="B445" s="71">
        <v>-7.3499999999999996E-2</v>
      </c>
      <c r="C445" s="71">
        <f>$D$6*(EXP(B445/($D$9*$D$10))-1)</f>
        <v>-7.5670036720484114E-11</v>
      </c>
    </row>
    <row r="446" spans="2:3" x14ac:dyDescent="0.3">
      <c r="B446" s="71">
        <v>-7.2999999999999995E-2</v>
      </c>
      <c r="C446" s="71">
        <f>$D$6*(EXP(B446/($D$9*$D$10))-1)</f>
        <v>-7.5434966431380702E-11</v>
      </c>
    </row>
    <row r="447" spans="2:3" x14ac:dyDescent="0.3">
      <c r="B447" s="71">
        <v>-7.2499999999999995E-2</v>
      </c>
      <c r="C447" s="71">
        <f>$D$6*(EXP(B447/($D$9*$D$10))-1)</f>
        <v>-7.5197624949337787E-11</v>
      </c>
    </row>
    <row r="448" spans="2:3" x14ac:dyDescent="0.3">
      <c r="B448" s="71">
        <v>-7.1999999999999995E-2</v>
      </c>
      <c r="C448" s="71">
        <f>$D$6*(EXP(B448/($D$9*$D$10))-1)</f>
        <v>-7.4957990330632087E-11</v>
      </c>
    </row>
    <row r="449" spans="2:3" x14ac:dyDescent="0.3">
      <c r="B449" s="71">
        <v>-7.1499999999999994E-2</v>
      </c>
      <c r="C449" s="71">
        <f>$D$6*(EXP(B449/($D$9*$D$10))-1)</f>
        <v>-7.4716040419525369E-11</v>
      </c>
    </row>
    <row r="450" spans="2:3" x14ac:dyDescent="0.3">
      <c r="B450" s="71">
        <v>-7.0999999999999994E-2</v>
      </c>
      <c r="C450" s="71">
        <f>$D$6*(EXP(B450/($D$9*$D$10))-1)</f>
        <v>-7.4471752846215918E-11</v>
      </c>
    </row>
    <row r="451" spans="2:3" x14ac:dyDescent="0.3">
      <c r="B451" s="71">
        <v>-7.0499999999999993E-2</v>
      </c>
      <c r="C451" s="71">
        <f>$D$6*(EXP(B451/($D$9*$D$10))-1)</f>
        <v>-7.4225105024770347E-11</v>
      </c>
    </row>
    <row r="452" spans="2:3" x14ac:dyDescent="0.3">
      <c r="B452" s="71">
        <v>-7.0000000000000007E-2</v>
      </c>
      <c r="C452" s="71">
        <f>$D$6*(EXP(B452/($D$9*$D$10))-1)</f>
        <v>-7.3976074151035394E-11</v>
      </c>
    </row>
    <row r="453" spans="2:3" x14ac:dyDescent="0.3">
      <c r="B453" s="71">
        <v>-6.9500000000000006E-2</v>
      </c>
      <c r="C453" s="71">
        <f>$D$6*(EXP(B453/($D$9*$D$10))-1)</f>
        <v>-7.3724637200529493E-11</v>
      </c>
    </row>
    <row r="454" spans="2:3" x14ac:dyDescent="0.3">
      <c r="B454" s="71">
        <v>-6.9000000000000006E-2</v>
      </c>
      <c r="C454" s="71">
        <f>$D$6*(EXP(B454/($D$9*$D$10))-1)</f>
        <v>-7.3470770926314084E-11</v>
      </c>
    </row>
    <row r="455" spans="2:3" x14ac:dyDescent="0.3">
      <c r="B455" s="71">
        <v>-6.8500000000000005E-2</v>
      </c>
      <c r="C455" s="71">
        <f>$D$6*(EXP(B455/($D$9*$D$10))-1)</f>
        <v>-7.3214451856844216E-11</v>
      </c>
    </row>
    <row r="456" spans="2:3" x14ac:dyDescent="0.3">
      <c r="B456" s="71">
        <v>-6.8000000000000005E-2</v>
      </c>
      <c r="C456" s="71">
        <f>$D$6*(EXP(B456/($D$9*$D$10))-1)</f>
        <v>-7.2955656293798461E-11</v>
      </c>
    </row>
    <row r="457" spans="2:3" x14ac:dyDescent="0.3">
      <c r="B457" s="71">
        <v>-6.7500000000000004E-2</v>
      </c>
      <c r="C457" s="71">
        <f>$D$6*(EXP(B457/($D$9*$D$10))-1)</f>
        <v>-7.2694360309887907E-11</v>
      </c>
    </row>
    <row r="458" spans="2:3" x14ac:dyDescent="0.3">
      <c r="B458" s="71">
        <v>-6.7000000000000004E-2</v>
      </c>
      <c r="C458" s="71">
        <f>$D$6*(EXP(B458/($D$9*$D$10))-1)</f>
        <v>-7.2430539746643888E-11</v>
      </c>
    </row>
    <row r="459" spans="2:3" x14ac:dyDescent="0.3">
      <c r="B459" s="71">
        <v>-6.6500000000000004E-2</v>
      </c>
      <c r="C459" s="71">
        <f>$D$6*(EXP(B459/($D$9*$D$10))-1)</f>
        <v>-7.2164170212184393E-11</v>
      </c>
    </row>
    <row r="460" spans="2:3" x14ac:dyDescent="0.3">
      <c r="B460" s="71">
        <v>-6.6000000000000003E-2</v>
      </c>
      <c r="C460" s="71">
        <f>$D$6*(EXP(B460/($D$9*$D$10))-1)</f>
        <v>-7.1895227078958858E-11</v>
      </c>
    </row>
    <row r="461" spans="2:3" x14ac:dyDescent="0.3">
      <c r="B461" s="71">
        <v>-6.5500000000000003E-2</v>
      </c>
      <c r="C461" s="71">
        <f>$D$6*(EXP(B461/($D$9*$D$10))-1)</f>
        <v>-7.162368548147125E-11</v>
      </c>
    </row>
    <row r="462" spans="2:3" x14ac:dyDescent="0.3">
      <c r="B462" s="71">
        <v>-6.5000000000000002E-2</v>
      </c>
      <c r="C462" s="71">
        <f>$D$6*(EXP(B462/($D$9*$D$10))-1)</f>
        <v>-7.1349520313980996E-11</v>
      </c>
    </row>
    <row r="463" spans="2:3" x14ac:dyDescent="0.3">
      <c r="B463" s="71">
        <v>-6.4500000000000002E-2</v>
      </c>
      <c r="C463" s="71">
        <f>$D$6*(EXP(B463/($D$9*$D$10))-1)</f>
        <v>-7.1072706228181951E-11</v>
      </c>
    </row>
    <row r="464" spans="2:3" x14ac:dyDescent="0.3">
      <c r="B464" s="71">
        <v>-6.4000000000000001E-2</v>
      </c>
      <c r="C464" s="71">
        <f>$D$6*(EXP(B464/($D$9*$D$10))-1)</f>
        <v>-7.0793217630858598E-11</v>
      </c>
    </row>
    <row r="465" spans="2:3" x14ac:dyDescent="0.3">
      <c r="B465" s="71">
        <v>-6.3500000000000001E-2</v>
      </c>
      <c r="C465" s="71">
        <f>$D$6*(EXP(B465/($D$9*$D$10))-1)</f>
        <v>-7.0511028681519958E-11</v>
      </c>
    </row>
    <row r="466" spans="2:3" x14ac:dyDescent="0.3">
      <c r="B466" s="71">
        <v>-6.3E-2</v>
      </c>
      <c r="C466" s="71">
        <f>$D$6*(EXP(B466/($D$9*$D$10))-1)</f>
        <v>-7.0226113290010374E-11</v>
      </c>
    </row>
    <row r="467" spans="2:3" x14ac:dyDescent="0.3">
      <c r="B467" s="71">
        <v>-6.25E-2</v>
      </c>
      <c r="C467" s="71">
        <f>$D$6*(EXP(B467/($D$9*$D$10))-1)</f>
        <v>-6.9938445114097333E-11</v>
      </c>
    </row>
    <row r="468" spans="2:3" x14ac:dyDescent="0.3">
      <c r="B468" s="71">
        <v>-6.2E-2</v>
      </c>
      <c r="C468" s="71">
        <f>$D$6*(EXP(B468/($D$9*$D$10))-1)</f>
        <v>-6.9647997557036001E-11</v>
      </c>
    </row>
    <row r="469" spans="2:3" x14ac:dyDescent="0.3">
      <c r="B469" s="71">
        <v>-6.1499999999999999E-2</v>
      </c>
      <c r="C469" s="71">
        <f>$D$6*(EXP(B469/($D$9*$D$10))-1)</f>
        <v>-6.9354743765110145E-11</v>
      </c>
    </row>
    <row r="470" spans="2:3" x14ac:dyDescent="0.3">
      <c r="B470" s="71">
        <v>-6.0999999999999999E-2</v>
      </c>
      <c r="C470" s="71">
        <f>$D$6*(EXP(B470/($D$9*$D$10))-1)</f>
        <v>-6.9058656625149326E-11</v>
      </c>
    </row>
    <row r="471" spans="2:3" x14ac:dyDescent="0.3">
      <c r="B471" s="71">
        <v>-6.0499999999999998E-2</v>
      </c>
      <c r="C471" s="71">
        <f>$D$6*(EXP(B471/($D$9*$D$10))-1)</f>
        <v>-6.8759708762022164E-11</v>
      </c>
    </row>
    <row r="472" spans="2:3" x14ac:dyDescent="0.3">
      <c r="B472" s="71">
        <v>-0.06</v>
      </c>
      <c r="C472" s="71">
        <f>$D$6*(EXP(B472/($D$9*$D$10))-1)</f>
        <v>-6.8457872536105256E-11</v>
      </c>
    </row>
    <row r="473" spans="2:3" x14ac:dyDescent="0.3">
      <c r="B473" s="71">
        <v>-5.9499999999999997E-2</v>
      </c>
      <c r="C473" s="71">
        <f>$D$6*(EXP(B473/($D$9*$D$10))-1)</f>
        <v>-6.8153120040727785E-11</v>
      </c>
    </row>
    <row r="474" spans="2:3" x14ac:dyDescent="0.3">
      <c r="B474" s="71">
        <v>-5.8999999999999997E-2</v>
      </c>
      <c r="C474" s="71">
        <f>$D$6*(EXP(B474/($D$9*$D$10))-1)</f>
        <v>-6.7845423099591413E-11</v>
      </c>
    </row>
    <row r="475" spans="2:3" x14ac:dyDescent="0.3">
      <c r="B475" s="71">
        <v>-5.8500000000000003E-2</v>
      </c>
      <c r="C475" s="71">
        <f>$D$6*(EXP(B475/($D$9*$D$10))-1)</f>
        <v>-6.7534753264165036E-11</v>
      </c>
    </row>
    <row r="476" spans="2:3" x14ac:dyDescent="0.3">
      <c r="B476" s="71">
        <v>-5.8000000000000003E-2</v>
      </c>
      <c r="C476" s="71">
        <f>$D$6*(EXP(B476/($D$9*$D$10))-1)</f>
        <v>-6.7221081811054738E-11</v>
      </c>
    </row>
    <row r="477" spans="2:3" x14ac:dyDescent="0.3">
      <c r="B477" s="71">
        <v>-5.7500000000000002E-2</v>
      </c>
      <c r="C477" s="71">
        <f>$D$6*(EXP(B477/($D$9*$D$10))-1)</f>
        <v>-6.6904379739347962E-11</v>
      </c>
    </row>
    <row r="478" spans="2:3" x14ac:dyDescent="0.3">
      <c r="B478" s="71">
        <v>-5.7000000000000002E-2</v>
      </c>
      <c r="C478" s="71">
        <f>$D$6*(EXP(B478/($D$9*$D$10))-1)</f>
        <v>-6.6584617767932328E-11</v>
      </c>
    </row>
    <row r="479" spans="2:3" x14ac:dyDescent="0.3">
      <c r="B479" s="71">
        <v>-5.6500000000000002E-2</v>
      </c>
      <c r="C479" s="71">
        <f>$D$6*(EXP(B479/($D$9*$D$10))-1)</f>
        <v>-6.6261766332788303E-11</v>
      </c>
    </row>
    <row r="480" spans="2:3" x14ac:dyDescent="0.3">
      <c r="B480" s="71">
        <v>-5.6000000000000001E-2</v>
      </c>
      <c r="C480" s="71">
        <f>$D$6*(EXP(B480/($D$9*$D$10))-1)</f>
        <v>-6.5935795584255893E-11</v>
      </c>
    </row>
    <row r="481" spans="2:3" x14ac:dyDescent="0.3">
      <c r="B481" s="71">
        <v>-5.5500000000000001E-2</v>
      </c>
      <c r="C481" s="71">
        <f>$D$6*(EXP(B481/($D$9*$D$10))-1)</f>
        <v>-6.5606675384274812E-11</v>
      </c>
    </row>
    <row r="482" spans="2:3" x14ac:dyDescent="0.3">
      <c r="B482" s="71">
        <v>-5.5E-2</v>
      </c>
      <c r="C482" s="71">
        <f>$D$6*(EXP(B482/($D$9*$D$10))-1)</f>
        <v>-6.5274375303598055E-11</v>
      </c>
    </row>
    <row r="483" spans="2:3" x14ac:dyDescent="0.3">
      <c r="B483" s="71">
        <v>-5.45E-2</v>
      </c>
      <c r="C483" s="71">
        <f>$D$6*(EXP(B483/($D$9*$D$10))-1)</f>
        <v>-6.4938864618978478E-11</v>
      </c>
    </row>
    <row r="484" spans="2:3" x14ac:dyDescent="0.3">
      <c r="B484" s="71">
        <v>-5.3999999999999999E-2</v>
      </c>
      <c r="C484" s="71">
        <f>$D$6*(EXP(B484/($D$9*$D$10))-1)</f>
        <v>-6.4600112310328286E-11</v>
      </c>
    </row>
    <row r="485" spans="2:3" x14ac:dyDescent="0.3">
      <c r="B485" s="71">
        <v>-5.3499999999999999E-2</v>
      </c>
      <c r="C485" s="71">
        <f>$D$6*(EXP(B485/($D$9*$D$10))-1)</f>
        <v>-6.4258087057851003E-11</v>
      </c>
    </row>
    <row r="486" spans="2:3" x14ac:dyDescent="0.3">
      <c r="B486" s="71">
        <v>-5.2999999999999999E-2</v>
      </c>
      <c r="C486" s="71">
        <f>$D$6*(EXP(B486/($D$9*$D$10))-1)</f>
        <v>-6.3912757239145784E-11</v>
      </c>
    </row>
    <row r="487" spans="2:3" x14ac:dyDescent="0.3">
      <c r="B487" s="71">
        <v>-5.2499999999999998E-2</v>
      </c>
      <c r="C487" s="71">
        <f>$D$6*(EXP(B487/($D$9*$D$10))-1)</f>
        <v>-6.3564090926283694E-11</v>
      </c>
    </row>
    <row r="488" spans="2:3" x14ac:dyDescent="0.3">
      <c r="B488" s="71">
        <v>-5.1999999999999998E-2</v>
      </c>
      <c r="C488" s="71">
        <f>$D$6*(EXP(B488/($D$9*$D$10))-1)</f>
        <v>-6.3212055882855772E-11</v>
      </c>
    </row>
    <row r="489" spans="2:3" x14ac:dyDescent="0.3">
      <c r="B489" s="71">
        <v>-5.1499999999999997E-2</v>
      </c>
      <c r="C489" s="71">
        <f>$D$6*(EXP(B489/($D$9*$D$10))-1)</f>
        <v>-6.2856619560992608E-11</v>
      </c>
    </row>
    <row r="490" spans="2:3" x14ac:dyDescent="0.3">
      <c r="B490" s="71">
        <v>-5.0999999999999997E-2</v>
      </c>
      <c r="C490" s="71">
        <f>$D$6*(EXP(B490/($D$9*$D$10))-1)</f>
        <v>-6.2497749098355022E-11</v>
      </c>
    </row>
    <row r="491" spans="2:3" x14ac:dyDescent="0.3">
      <c r="B491" s="71">
        <v>-5.0500000000000003E-2</v>
      </c>
      <c r="C491" s="71">
        <f>$D$6*(EXP(B491/($D$9*$D$10))-1)</f>
        <v>-6.2135411315095803E-11</v>
      </c>
    </row>
    <row r="492" spans="2:3" x14ac:dyDescent="0.3">
      <c r="B492" s="71">
        <v>-0.05</v>
      </c>
      <c r="C492" s="71">
        <f>$D$6*(EXP(B492/($D$9*$D$10))-1)</f>
        <v>-6.176957271079194E-11</v>
      </c>
    </row>
    <row r="493" spans="2:3" x14ac:dyDescent="0.3">
      <c r="B493" s="71">
        <v>-4.9500000000000002E-2</v>
      </c>
      <c r="C493" s="71">
        <f>$D$6*(EXP(B493/($D$9*$D$10))-1)</f>
        <v>-6.1400199461347418E-11</v>
      </c>
    </row>
    <row r="494" spans="2:3" x14ac:dyDescent="0.3">
      <c r="B494" s="71">
        <v>-4.9000000000000002E-2</v>
      </c>
      <c r="C494" s="71">
        <f>$D$6*(EXP(B494/($D$9*$D$10))-1)</f>
        <v>-6.1027257415865823E-11</v>
      </c>
    </row>
    <row r="495" spans="2:3" x14ac:dyDescent="0.3">
      <c r="B495" s="71">
        <v>-4.8500000000000001E-2</v>
      </c>
      <c r="C495" s="71">
        <f>$D$6*(EXP(B495/($D$9*$D$10))-1)</f>
        <v>-6.0650712093492957E-11</v>
      </c>
    </row>
    <row r="496" spans="2:3" x14ac:dyDescent="0.3">
      <c r="B496" s="71">
        <v>-4.8000000000000001E-2</v>
      </c>
      <c r="C496" s="71">
        <f>$D$6*(EXP(B496/($D$9*$D$10))-1)</f>
        <v>-6.0270528680228885E-11</v>
      </c>
    </row>
    <row r="497" spans="2:3" x14ac:dyDescent="0.3">
      <c r="B497" s="71">
        <v>-4.7500000000000001E-2</v>
      </c>
      <c r="C497" s="71">
        <f>$D$6*(EXP(B497/($D$9*$D$10))-1)</f>
        <v>-5.9886672025709114E-11</v>
      </c>
    </row>
    <row r="498" spans="2:3" x14ac:dyDescent="0.3">
      <c r="B498" s="71">
        <v>-4.7E-2</v>
      </c>
      <c r="C498" s="71">
        <f>$D$6*(EXP(B498/($D$9*$D$10))-1)</f>
        <v>-5.9499106639954681E-11</v>
      </c>
    </row>
    <row r="499" spans="2:3" x14ac:dyDescent="0.3">
      <c r="B499" s="71">
        <v>-4.65E-2</v>
      </c>
      <c r="C499" s="71">
        <f>$D$6*(EXP(B499/($D$9*$D$10))-1)</f>
        <v>-5.9107796690091024E-11</v>
      </c>
    </row>
    <row r="500" spans="2:3" x14ac:dyDescent="0.3">
      <c r="B500" s="71">
        <v>-4.5999999999999999E-2</v>
      </c>
      <c r="C500" s="71">
        <f>$D$6*(EXP(B500/($D$9*$D$10))-1)</f>
        <v>-5.8712705997034824E-11</v>
      </c>
    </row>
    <row r="501" spans="2:3" x14ac:dyDescent="0.3">
      <c r="B501" s="71">
        <v>-4.5499999999999999E-2</v>
      </c>
      <c r="C501" s="71">
        <f>$D$6*(EXP(B501/($D$9*$D$10))-1)</f>
        <v>-5.8313798032149162E-11</v>
      </c>
    </row>
    <row r="502" spans="2:3" x14ac:dyDescent="0.3">
      <c r="B502" s="71">
        <v>-4.4999999999999998E-2</v>
      </c>
      <c r="C502" s="71">
        <f>$D$6*(EXP(B502/($D$9*$D$10))-1)</f>
        <v>-5.7911035913866162E-11</v>
      </c>
    </row>
    <row r="503" spans="2:3" x14ac:dyDescent="0.3">
      <c r="B503" s="71">
        <v>-4.4499999999999998E-2</v>
      </c>
      <c r="C503" s="71">
        <f>$D$6*(EXP(B503/($D$9*$D$10))-1)</f>
        <v>-5.7504382404277E-11</v>
      </c>
    </row>
    <row r="504" spans="2:3" x14ac:dyDescent="0.3">
      <c r="B504" s="71">
        <v>-4.3999999999999997E-2</v>
      </c>
      <c r="C504" s="71">
        <f>$D$6*(EXP(B504/($D$9*$D$10))-1)</f>
        <v>-5.7093799905689148E-11</v>
      </c>
    </row>
    <row r="505" spans="2:3" x14ac:dyDescent="0.3">
      <c r="B505" s="71">
        <v>-4.3499999999999997E-2</v>
      </c>
      <c r="C505" s="71">
        <f>$D$6*(EXP(B505/($D$9*$D$10))-1)</f>
        <v>-5.6679250457150108E-11</v>
      </c>
    </row>
    <row r="506" spans="2:3" x14ac:dyDescent="0.3">
      <c r="B506" s="71">
        <v>-4.2999999999999997E-2</v>
      </c>
      <c r="C506" s="71">
        <f>$D$6*(EXP(B506/($D$9*$D$10))-1)</f>
        <v>-5.6260695730937756E-11</v>
      </c>
    </row>
    <row r="507" spans="2:3" x14ac:dyDescent="0.3">
      <c r="B507" s="71">
        <v>-4.2500000000000003E-2</v>
      </c>
      <c r="C507" s="71">
        <f>$D$6*(EXP(B507/($D$9*$D$10))-1)</f>
        <v>-5.5838097029016718E-11</v>
      </c>
    </row>
    <row r="508" spans="2:3" x14ac:dyDescent="0.3">
      <c r="B508" s="71">
        <v>-4.2000000000000003E-2</v>
      </c>
      <c r="C508" s="71">
        <f>$D$6*(EXP(B508/($D$9*$D$10))-1)</f>
        <v>-5.5411415279460361E-11</v>
      </c>
    </row>
    <row r="509" spans="2:3" x14ac:dyDescent="0.3">
      <c r="B509" s="71">
        <v>-4.1500000000000002E-2</v>
      </c>
      <c r="C509" s="71">
        <f>$D$6*(EXP(B509/($D$9*$D$10))-1)</f>
        <v>-5.4980611032838519E-11</v>
      </c>
    </row>
    <row r="510" spans="2:3" x14ac:dyDescent="0.3">
      <c r="B510" s="71">
        <v>-4.1000000000000002E-2</v>
      </c>
      <c r="C510" s="71">
        <f>$D$6*(EXP(B510/($D$9*$D$10))-1)</f>
        <v>-5.4545644458570017E-11</v>
      </c>
    </row>
    <row r="511" spans="2:3" x14ac:dyDescent="0.3">
      <c r="B511" s="71">
        <v>-4.0500000000000001E-2</v>
      </c>
      <c r="C511" s="71">
        <f>$D$6*(EXP(B511/($D$9*$D$10))-1)</f>
        <v>-5.4106475341240142E-11</v>
      </c>
    </row>
    <row r="512" spans="2:3" x14ac:dyDescent="0.3">
      <c r="B512" s="71">
        <v>-0.04</v>
      </c>
      <c r="C512" s="71">
        <f>$D$6*(EXP(B512/($D$9*$D$10))-1)</f>
        <v>-5.3663063076882473E-11</v>
      </c>
    </row>
    <row r="513" spans="2:3" x14ac:dyDescent="0.3">
      <c r="B513" s="71">
        <v>-3.95E-2</v>
      </c>
      <c r="C513" s="71">
        <f>$D$6*(EXP(B513/($D$9*$D$10))-1)</f>
        <v>-5.321536666922476E-11</v>
      </c>
    </row>
    <row r="514" spans="2:3" x14ac:dyDescent="0.3">
      <c r="B514" s="71">
        <v>-3.9E-2</v>
      </c>
      <c r="C514" s="71">
        <f>$D$6*(EXP(B514/($D$9*$D$10))-1)</f>
        <v>-5.2763344725898543E-11</v>
      </c>
    </row>
    <row r="515" spans="2:3" x14ac:dyDescent="0.3">
      <c r="B515" s="71">
        <v>-3.85E-2</v>
      </c>
      <c r="C515" s="71">
        <f>$D$6*(EXP(B515/($D$9*$D$10))-1)</f>
        <v>-5.230695545461222E-11</v>
      </c>
    </row>
    <row r="516" spans="2:3" x14ac:dyDescent="0.3">
      <c r="B516" s="71">
        <v>-3.7999999999999999E-2</v>
      </c>
      <c r="C516" s="71">
        <f>$D$6*(EXP(B516/($D$9*$D$10))-1)</f>
        <v>-5.1846156659287077E-11</v>
      </c>
    </row>
    <row r="517" spans="2:3" x14ac:dyDescent="0.3">
      <c r="B517" s="71">
        <v>-3.7499999999999999E-2</v>
      </c>
      <c r="C517" s="71">
        <f>$D$6*(EXP(B517/($D$9*$D$10))-1)</f>
        <v>-5.1380905736155933E-11</v>
      </c>
    </row>
    <row r="518" spans="2:3" x14ac:dyDescent="0.3">
      <c r="B518" s="71">
        <v>-3.6999999999999998E-2</v>
      </c>
      <c r="C518" s="71">
        <f>$D$6*(EXP(B518/($D$9*$D$10))-1)</f>
        <v>-5.0911159669824221E-11</v>
      </c>
    </row>
    <row r="519" spans="2:3" x14ac:dyDescent="0.3">
      <c r="B519" s="71">
        <v>-3.6499999999999998E-2</v>
      </c>
      <c r="C519" s="71">
        <f>$D$6*(EXP(B519/($D$9*$D$10))-1)</f>
        <v>-5.043687502929289E-11</v>
      </c>
    </row>
    <row r="520" spans="2:3" x14ac:dyDescent="0.3">
      <c r="B520" s="71">
        <v>-3.5999999999999997E-2</v>
      </c>
      <c r="C520" s="71">
        <f>$D$6*(EXP(B520/($D$9*$D$10))-1)</f>
        <v>-4.9958007963943005E-11</v>
      </c>
    </row>
    <row r="521" spans="2:3" x14ac:dyDescent="0.3">
      <c r="B521" s="71">
        <v>-3.5499999999999997E-2</v>
      </c>
      <c r="C521" s="71">
        <f>$D$6*(EXP(B521/($D$9*$D$10))-1)</f>
        <v>-4.9474514199481377E-11</v>
      </c>
    </row>
    <row r="522" spans="2:3" x14ac:dyDescent="0.3">
      <c r="B522" s="71">
        <v>-3.5000000000000003E-2</v>
      </c>
      <c r="C522" s="71">
        <f>$D$6*(EXP(B522/($D$9*$D$10))-1)</f>
        <v>-4.8986349033847206E-11</v>
      </c>
    </row>
    <row r="523" spans="2:3" x14ac:dyDescent="0.3">
      <c r="B523" s="71">
        <v>-3.4500000000000003E-2</v>
      </c>
      <c r="C523" s="71">
        <f>$D$6*(EXP(B523/($D$9*$D$10))-1)</f>
        <v>-4.8493467333079082E-11</v>
      </c>
    </row>
    <row r="524" spans="2:3" x14ac:dyDescent="0.3">
      <c r="B524" s="71">
        <v>-3.4000000000000002E-2</v>
      </c>
      <c r="C524" s="71">
        <f>$D$6*(EXP(B524/($D$9*$D$10))-1)</f>
        <v>-4.799582352714203E-11</v>
      </c>
    </row>
    <row r="525" spans="2:3" x14ac:dyDescent="0.3">
      <c r="B525" s="71">
        <v>-3.3500000000000002E-2</v>
      </c>
      <c r="C525" s="71">
        <f>$D$6*(EXP(B525/($D$9*$D$10))-1)</f>
        <v>-4.749337160571427E-11</v>
      </c>
    </row>
    <row r="526" spans="2:3" x14ac:dyDescent="0.3">
      <c r="B526" s="71">
        <v>-3.3000000000000002E-2</v>
      </c>
      <c r="C526" s="71">
        <f>$D$6*(EXP(B526/($D$9*$D$10))-1)</f>
        <v>-4.6986065113933344E-11</v>
      </c>
    </row>
    <row r="527" spans="2:3" x14ac:dyDescent="0.3">
      <c r="B527" s="71">
        <v>-3.2500000000000001E-2</v>
      </c>
      <c r="C527" s="71">
        <f>$D$6*(EXP(B527/($D$9*$D$10))-1)</f>
        <v>-4.6473857148100982E-11</v>
      </c>
    </row>
    <row r="528" spans="2:3" x14ac:dyDescent="0.3">
      <c r="B528" s="71">
        <v>-3.2000000000000001E-2</v>
      </c>
      <c r="C528" s="71">
        <f>$D$6*(EXP(B528/($D$9*$D$10))-1)</f>
        <v>-4.5956700351346597E-11</v>
      </c>
    </row>
    <row r="529" spans="2:3" x14ac:dyDescent="0.3">
      <c r="B529" s="71">
        <v>-3.15E-2</v>
      </c>
      <c r="C529" s="71">
        <f>$D$6*(EXP(B529/($D$9*$D$10))-1)</f>
        <v>-4.5434546909248858E-11</v>
      </c>
    </row>
    <row r="530" spans="2:3" x14ac:dyDescent="0.3">
      <c r="B530" s="71">
        <v>-3.1E-2</v>
      </c>
      <c r="C530" s="71">
        <f>$D$6*(EXP(B530/($D$9*$D$10))-1)</f>
        <v>-4.4907348545414879E-11</v>
      </c>
    </row>
    <row r="531" spans="2:3" x14ac:dyDescent="0.3">
      <c r="B531" s="71">
        <v>-3.0499999999999999E-2</v>
      </c>
      <c r="C531" s="71">
        <f>$D$6*(EXP(B531/($D$9*$D$10))-1)</f>
        <v>-4.4375056517016875E-11</v>
      </c>
    </row>
    <row r="532" spans="2:3" x14ac:dyDescent="0.3">
      <c r="B532" s="71">
        <v>-0.03</v>
      </c>
      <c r="C532" s="71">
        <f>$D$6*(EXP(B532/($D$9*$D$10))-1)</f>
        <v>-4.3837621610285459E-11</v>
      </c>
    </row>
    <row r="533" spans="2:3" x14ac:dyDescent="0.3">
      <c r="B533" s="71">
        <v>-2.9499999999999998E-2</v>
      </c>
      <c r="C533" s="71">
        <f>$D$6*(EXP(B533/($D$9*$D$10))-1)</f>
        <v>-4.3294994135959568E-11</v>
      </c>
    </row>
    <row r="534" spans="2:3" x14ac:dyDescent="0.3">
      <c r="B534" s="71">
        <v>-2.9000000000000001E-2</v>
      </c>
      <c r="C534" s="71">
        <f>$D$6*(EXP(B534/($D$9*$D$10))-1)</f>
        <v>-4.2747123924692419E-11</v>
      </c>
    </row>
    <row r="535" spans="2:3" x14ac:dyDescent="0.3">
      <c r="B535" s="71">
        <v>-2.8500000000000001E-2</v>
      </c>
      <c r="C535" s="71">
        <f>$D$6*(EXP(B535/($D$9*$D$10))-1)</f>
        <v>-4.2193960322412957E-11</v>
      </c>
    </row>
    <row r="536" spans="2:3" x14ac:dyDescent="0.3">
      <c r="B536" s="71">
        <v>-2.8000000000000001E-2</v>
      </c>
      <c r="C536" s="71">
        <f>$D$6*(EXP(B536/($D$9*$D$10))-1)</f>
        <v>-4.1635452185642603E-11</v>
      </c>
    </row>
    <row r="537" spans="2:3" x14ac:dyDescent="0.3">
      <c r="B537" s="71">
        <v>-2.75E-2</v>
      </c>
      <c r="C537" s="71">
        <f>$D$6*(EXP(B537/($D$9*$D$10))-1)</f>
        <v>-4.1071547876766744E-11</v>
      </c>
    </row>
    <row r="538" spans="2:3" x14ac:dyDescent="0.3">
      <c r="B538" s="71">
        <v>-2.7E-2</v>
      </c>
      <c r="C538" s="71">
        <f>$D$6*(EXP(B538/($D$9*$D$10))-1)</f>
        <v>-4.050219525926043E-11</v>
      </c>
    </row>
    <row r="539" spans="2:3" x14ac:dyDescent="0.3">
      <c r="B539" s="71">
        <v>-2.6499999999999999E-2</v>
      </c>
      <c r="C539" s="71">
        <f>$D$6*(EXP(B539/($D$9*$D$10))-1)</f>
        <v>-3.9927341692868105E-11</v>
      </c>
    </row>
    <row r="540" spans="2:3" x14ac:dyDescent="0.3">
      <c r="B540" s="71">
        <v>-2.5999999999999999E-2</v>
      </c>
      <c r="C540" s="71">
        <f>$D$6*(EXP(B540/($D$9*$D$10))-1)</f>
        <v>-3.9346934028736661E-11</v>
      </c>
    </row>
    <row r="541" spans="2:3" x14ac:dyDescent="0.3">
      <c r="B541" s="71">
        <v>-2.5499999999999998E-2</v>
      </c>
      <c r="C541" s="71">
        <f>$D$6*(EXP(B541/($D$9*$D$10))-1)</f>
        <v>-3.8760918604501443E-11</v>
      </c>
    </row>
    <row r="542" spans="2:3" x14ac:dyDescent="0.3">
      <c r="B542" s="71">
        <v>-2.5000000000000001E-2</v>
      </c>
      <c r="C542" s="71">
        <f>$D$6*(EXP(B542/($D$9*$D$10))-1)</f>
        <v>-3.8169241239324862E-11</v>
      </c>
    </row>
    <row r="543" spans="2:3" x14ac:dyDescent="0.3">
      <c r="B543" s="71">
        <v>-2.4500000000000001E-2</v>
      </c>
      <c r="C543" s="71">
        <f>$D$6*(EXP(B543/($D$9*$D$10))-1)</f>
        <v>-3.757184722888704E-11</v>
      </c>
    </row>
    <row r="544" spans="2:3" x14ac:dyDescent="0.3">
      <c r="B544" s="71">
        <v>-2.4E-2</v>
      </c>
      <c r="C544" s="71">
        <f>$D$6*(EXP(B544/($D$9*$D$10))-1)</f>
        <v>-3.6968681340328028E-11</v>
      </c>
    </row>
    <row r="545" spans="2:3" x14ac:dyDescent="0.3">
      <c r="B545" s="71">
        <v>-2.35E-2</v>
      </c>
      <c r="C545" s="71">
        <f>$D$6*(EXP(B545/($D$9*$D$10))-1)</f>
        <v>-3.6359687807141197E-11</v>
      </c>
    </row>
    <row r="546" spans="2:3" x14ac:dyDescent="0.3">
      <c r="B546" s="71">
        <v>-2.3E-2</v>
      </c>
      <c r="C546" s="71">
        <f>$D$6*(EXP(B546/($D$9*$D$10))-1)</f>
        <v>-3.5744810324017265E-11</v>
      </c>
    </row>
    <row r="547" spans="2:3" x14ac:dyDescent="0.3">
      <c r="B547" s="71">
        <v>-2.2499999999999999E-2</v>
      </c>
      <c r="C547" s="71">
        <f>$D$6*(EXP(B547/($D$9*$D$10))-1)</f>
        <v>-3.5123992041638503E-11</v>
      </c>
    </row>
    <row r="548" spans="2:3" x14ac:dyDescent="0.3">
      <c r="B548" s="71">
        <v>-2.1999999999999999E-2</v>
      </c>
      <c r="C548" s="71">
        <f>$D$6*(EXP(B548/($D$9*$D$10))-1)</f>
        <v>-3.449717556142265E-11</v>
      </c>
    </row>
    <row r="549" spans="2:3" x14ac:dyDescent="0.3">
      <c r="B549" s="71">
        <v>-2.1499999999999998E-2</v>
      </c>
      <c r="C549" s="71">
        <f>$D$6*(EXP(B549/($D$9*$D$10))-1)</f>
        <v>-3.3864302930216086E-11</v>
      </c>
    </row>
    <row r="550" spans="2:3" x14ac:dyDescent="0.3">
      <c r="B550" s="71">
        <v>-2.1000000000000001E-2</v>
      </c>
      <c r="C550" s="71">
        <f>$D$6*(EXP(B550/($D$9*$D$10))-1)</f>
        <v>-3.3225315634935684E-11</v>
      </c>
    </row>
    <row r="551" spans="2:3" x14ac:dyDescent="0.3">
      <c r="B551" s="71">
        <v>-2.0500000000000001E-2</v>
      </c>
      <c r="C551" s="71">
        <f>$D$6*(EXP(B551/($D$9*$D$10))-1)</f>
        <v>-3.2580154597158865E-11</v>
      </c>
    </row>
    <row r="552" spans="2:3" x14ac:dyDescent="0.3">
      <c r="B552" s="71">
        <v>-0.02</v>
      </c>
      <c r="C552" s="71">
        <f>$D$6*(EXP(B552/($D$9*$D$10))-1)</f>
        <v>-3.1928760167661466E-11</v>
      </c>
    </row>
    <row r="553" spans="2:3" x14ac:dyDescent="0.3">
      <c r="B553" s="71">
        <v>-1.95E-2</v>
      </c>
      <c r="C553" s="71">
        <f>$D$6*(EXP(B553/($D$9*$D$10))-1)</f>
        <v>-3.1271072120902784E-11</v>
      </c>
    </row>
    <row r="554" spans="2:3" x14ac:dyDescent="0.3">
      <c r="B554" s="71">
        <v>-1.9E-2</v>
      </c>
      <c r="C554" s="71">
        <f>$D$6*(EXP(B554/($D$9*$D$10))-1)</f>
        <v>-3.0607029649457345E-11</v>
      </c>
    </row>
    <row r="555" spans="2:3" x14ac:dyDescent="0.3">
      <c r="B555" s="71">
        <v>-1.8499999999999999E-2</v>
      </c>
      <c r="C555" s="71">
        <f>$D$6*(EXP(B555/($D$9*$D$10))-1)</f>
        <v>-2.9936571358392841E-11</v>
      </c>
    </row>
    <row r="556" spans="2:3" x14ac:dyDescent="0.3">
      <c r="B556" s="71">
        <v>-1.7999999999999999E-2</v>
      </c>
      <c r="C556" s="71">
        <f>$D$6*(EXP(B556/($D$9*$D$10))-1)</f>
        <v>-2.9259635259593833E-11</v>
      </c>
    </row>
    <row r="557" spans="2:3" x14ac:dyDescent="0.3">
      <c r="B557" s="71">
        <v>-1.7500000000000002E-2</v>
      </c>
      <c r="C557" s="71">
        <f>$D$6*(EXP(B557/($D$9*$D$10))-1)</f>
        <v>-2.8576158766030519E-11</v>
      </c>
    </row>
    <row r="558" spans="2:3" x14ac:dyDescent="0.3">
      <c r="B558" s="71">
        <v>-1.7000000000000001E-2</v>
      </c>
      <c r="C558" s="71">
        <f>$D$6*(EXP(B558/($D$9*$D$10))-1)</f>
        <v>-2.7886078685972165E-11</v>
      </c>
    </row>
    <row r="559" spans="2:3" x14ac:dyDescent="0.3">
      <c r="B559" s="71">
        <v>-1.6500000000000001E-2</v>
      </c>
      <c r="C559" s="71">
        <f>$D$6*(EXP(B559/($D$9*$D$10))-1)</f>
        <v>-2.7189331217144656E-11</v>
      </c>
    </row>
    <row r="560" spans="2:3" x14ac:dyDescent="0.3">
      <c r="B560" s="71">
        <v>-1.6E-2</v>
      </c>
      <c r="C560" s="71">
        <f>$D$6*(EXP(B560/($D$9*$D$10))-1)</f>
        <v>-2.6485851940831555E-11</v>
      </c>
    </row>
    <row r="561" spans="2:3" x14ac:dyDescent="0.3">
      <c r="B561" s="71">
        <v>-1.55E-2</v>
      </c>
      <c r="C561" s="71">
        <f>$D$6*(EXP(B561/($D$9*$D$10))-1)</f>
        <v>-2.5775575815918166E-11</v>
      </c>
    </row>
    <row r="562" spans="2:3" x14ac:dyDescent="0.3">
      <c r="B562" s="71">
        <v>-1.4999999999999999E-2</v>
      </c>
      <c r="C562" s="71">
        <f>$D$6*(EXP(B562/($D$9*$D$10))-1)</f>
        <v>-2.5058437172878129E-11</v>
      </c>
    </row>
    <row r="563" spans="2:3" x14ac:dyDescent="0.3">
      <c r="B563" s="71">
        <v>-1.4500000000000001E-2</v>
      </c>
      <c r="C563" s="71">
        <f>$D$6*(EXP(B563/($D$9*$D$10))-1)</f>
        <v>-2.4334369707701779E-11</v>
      </c>
    </row>
    <row r="564" spans="2:3" x14ac:dyDescent="0.3">
      <c r="B564" s="71">
        <v>-1.4E-2</v>
      </c>
      <c r="C564" s="71">
        <f>$D$6*(EXP(B564/($D$9*$D$10))-1)</f>
        <v>-2.3603306475765987E-11</v>
      </c>
    </row>
    <row r="565" spans="2:3" x14ac:dyDescent="0.3">
      <c r="B565" s="71">
        <v>-1.35E-2</v>
      </c>
      <c r="C565" s="71">
        <f>$D$6*(EXP(B565/($D$9*$D$10))-1)</f>
        <v>-2.2865179885644662E-11</v>
      </c>
    </row>
    <row r="566" spans="2:3" x14ac:dyDescent="0.3">
      <c r="B566" s="71">
        <v>-1.2999999999999999E-2</v>
      </c>
      <c r="C566" s="71">
        <f>$D$6*(EXP(B566/($D$9*$D$10))-1)</f>
        <v>-2.2119921692859516E-11</v>
      </c>
    </row>
    <row r="567" spans="2:3" x14ac:dyDescent="0.3">
      <c r="B567" s="71">
        <v>-1.2500000000000001E-2</v>
      </c>
      <c r="C567" s="71">
        <f>$D$6*(EXP(B567/($D$9*$D$10))-1)</f>
        <v>-2.1367462993570443E-11</v>
      </c>
    </row>
    <row r="568" spans="2:3" x14ac:dyDescent="0.3">
      <c r="B568" s="71">
        <v>-1.2E-2</v>
      </c>
      <c r="C568" s="71">
        <f>$D$6*(EXP(B568/($D$9*$D$10))-1)</f>
        <v>-2.060773421820488E-11</v>
      </c>
    </row>
    <row r="569" spans="2:3" x14ac:dyDescent="0.3">
      <c r="B569" s="71">
        <v>-1.15E-2</v>
      </c>
      <c r="C569" s="71">
        <f>$D$6*(EXP(B569/($D$9*$D$10))-1)</f>
        <v>-1.9840665125025683E-11</v>
      </c>
    </row>
    <row r="570" spans="2:3" x14ac:dyDescent="0.3">
      <c r="B570" s="71">
        <v>-1.0999999999999999E-2</v>
      </c>
      <c r="C570" s="71">
        <f>$D$6*(EXP(B570/($D$9*$D$10))-1)</f>
        <v>-1.9066184793636877E-11</v>
      </c>
    </row>
    <row r="571" spans="2:3" x14ac:dyDescent="0.3">
      <c r="B571" s="71">
        <v>-1.0500000000000001E-2</v>
      </c>
      <c r="C571" s="71">
        <f>$D$6*(EXP(B571/($D$9*$D$10))-1)</f>
        <v>-1.8284221618426525E-11</v>
      </c>
    </row>
    <row r="572" spans="2:3" x14ac:dyDescent="0.3">
      <c r="B572" s="71">
        <v>-9.9999999999999499E-3</v>
      </c>
      <c r="C572" s="71">
        <f>$D$6*(EXP(B572/($D$9*$D$10))-1)</f>
        <v>-1.7494703301946327E-11</v>
      </c>
    </row>
    <row r="573" spans="2:3" x14ac:dyDescent="0.3">
      <c r="B573" s="71">
        <v>-9.4999999999999495E-3</v>
      </c>
      <c r="C573" s="71">
        <f>$D$6*(EXP(B573/($D$9*$D$10))-1)</f>
        <v>-1.669755684822756E-11</v>
      </c>
    </row>
    <row r="574" spans="2:3" x14ac:dyDescent="0.3">
      <c r="B574" s="71">
        <v>-8.9999999999999507E-3</v>
      </c>
      <c r="C574" s="71">
        <f>$D$6*(EXP(B574/($D$9*$D$10))-1)</f>
        <v>-1.5892708556031656E-11</v>
      </c>
    </row>
    <row r="575" spans="2:3" x14ac:dyDescent="0.3">
      <c r="B575" s="71">
        <v>-8.5000000000000093E-3</v>
      </c>
      <c r="C575" s="71">
        <f>$D$6*(EXP(B575/($D$9*$D$10))-1)</f>
        <v>-1.508008401203649E-11</v>
      </c>
    </row>
    <row r="576" spans="2:3" x14ac:dyDescent="0.3">
      <c r="B576" s="71">
        <v>-8.0000000000000106E-3</v>
      </c>
      <c r="C576" s="71">
        <f>$D$6*(EXP(B576/($D$9*$D$10))-1)</f>
        <v>-1.4259608083955891E-11</v>
      </c>
    </row>
    <row r="577" spans="2:3" x14ac:dyDescent="0.3">
      <c r="B577" s="71">
        <v>-7.5000000000000101E-3</v>
      </c>
      <c r="C577" s="71">
        <f>$D$6*(EXP(B577/($D$9*$D$10))-1)</f>
        <v>-1.343120491359381E-11</v>
      </c>
    </row>
    <row r="578" spans="2:3" x14ac:dyDescent="0.3">
      <c r="B578" s="71">
        <v>-7.0000000000000097E-3</v>
      </c>
      <c r="C578" s="71">
        <f>$D$6*(EXP(B578/($D$9*$D$10))-1)</f>
        <v>-1.2594797909830338E-11</v>
      </c>
    </row>
    <row r="579" spans="2:3" x14ac:dyDescent="0.3">
      <c r="B579" s="71">
        <v>-6.5000000000000101E-3</v>
      </c>
      <c r="C579" s="71">
        <f>$D$6*(EXP(B579/($D$9*$D$10))-1)</f>
        <v>-1.1750309741540478E-11</v>
      </c>
    </row>
    <row r="580" spans="2:3" x14ac:dyDescent="0.3">
      <c r="B580" s="71">
        <v>-6.0000000000000097E-3</v>
      </c>
      <c r="C580" s="71">
        <f>$D$6*(EXP(B580/($D$9*$D$10))-1)</f>
        <v>-1.0897662330444381E-11</v>
      </c>
    </row>
    <row r="581" spans="2:3" x14ac:dyDescent="0.3">
      <c r="B581" s="71">
        <v>-5.4999999999999997E-3</v>
      </c>
      <c r="C581" s="71">
        <f>$D$6*(EXP(B581/($D$9*$D$10))-1)</f>
        <v>-1.0036776843888519E-11</v>
      </c>
    </row>
    <row r="582" spans="2:3" x14ac:dyDescent="0.3">
      <c r="B582" s="71">
        <v>-5.0000000000000001E-3</v>
      </c>
      <c r="C582" s="71">
        <f>$D$6*(EXP(B582/($D$9*$D$10))-1)</f>
        <v>-9.1675736875571526E-12</v>
      </c>
    </row>
    <row r="583" spans="2:3" x14ac:dyDescent="0.3">
      <c r="B583" s="71">
        <v>-4.4999999999999997E-3</v>
      </c>
      <c r="C583" s="71">
        <f>$D$6*(EXP(B583/($D$9*$D$10))-1)</f>
        <v>-8.2899724981132413E-12</v>
      </c>
    </row>
    <row r="584" spans="2:3" x14ac:dyDescent="0.3">
      <c r="B584" s="71">
        <v>-4.0000000000000001E-3</v>
      </c>
      <c r="C584" s="71">
        <f>$D$6*(EXP(B584/($D$9*$D$10))-1)</f>
        <v>-7.4038921357683991E-12</v>
      </c>
    </row>
    <row r="585" spans="2:3" x14ac:dyDescent="0.3">
      <c r="B585" s="71">
        <v>-3.5000000000000001E-3</v>
      </c>
      <c r="C585" s="71">
        <f>$D$6*(EXP(B585/($D$9*$D$10))-1)</f>
        <v>-6.5092506767810321E-12</v>
      </c>
    </row>
    <row r="586" spans="2:3" x14ac:dyDescent="0.3">
      <c r="B586" s="71">
        <v>-3.0000000000000001E-3</v>
      </c>
      <c r="C586" s="71">
        <f>$D$6*(EXP(B586/($D$9*$D$10))-1)</f>
        <v>-5.6059654058819088E-12</v>
      </c>
    </row>
    <row r="587" spans="2:3" x14ac:dyDescent="0.3">
      <c r="B587" s="71">
        <v>-2.5000000000000001E-3</v>
      </c>
      <c r="C587" s="71">
        <f>$D$6*(EXP(B587/($D$9*$D$10))-1)</f>
        <v>-4.6939528086266458E-12</v>
      </c>
    </row>
    <row r="588" spans="2:3" x14ac:dyDescent="0.3">
      <c r="B588" s="71">
        <v>-2E-3</v>
      </c>
      <c r="C588" s="71">
        <f>$D$6*(EXP(B588/($D$9*$D$10))-1)</f>
        <v>-3.7731285636742779E-12</v>
      </c>
    </row>
    <row r="589" spans="2:3" x14ac:dyDescent="0.3">
      <c r="B589" s="71">
        <v>-1.5E-3</v>
      </c>
      <c r="C589" s="71">
        <f>$D$6*(EXP(B589/($D$9*$D$10))-1)</f>
        <v>-2.8434075349911718E-12</v>
      </c>
    </row>
    <row r="590" spans="2:3" x14ac:dyDescent="0.3">
      <c r="B590" s="71">
        <v>-1E-3</v>
      </c>
      <c r="C590" s="71">
        <f>$D$6*(EXP(B590/($D$9*$D$10))-1)</f>
        <v>-1.9047037639797319E-12</v>
      </c>
    </row>
    <row r="591" spans="2:3" x14ac:dyDescent="0.3">
      <c r="B591" s="71">
        <v>-5.0000000000000001E-4</v>
      </c>
      <c r="C591" s="71">
        <f>$D$6*(EXP(B591/($D$9*$D$10))-1)</f>
        <v>-9.5693046153089178E-13</v>
      </c>
    </row>
    <row r="592" spans="2:3" x14ac:dyDescent="0.3">
      <c r="B592" s="71">
        <v>0</v>
      </c>
      <c r="C592" s="71">
        <f>$D$6*(EXP(B592/($D$9*$D$10))-1)</f>
        <v>0</v>
      </c>
    </row>
    <row r="593" spans="2:3" x14ac:dyDescent="0.3">
      <c r="B593" s="71">
        <v>5.0000000000000001E-4</v>
      </c>
      <c r="C593" s="71">
        <f>$D$6*(EXP(B593/($D$9*$D$10))-1)</f>
        <v>9.661760948949773E-13</v>
      </c>
    </row>
    <row r="594" spans="2:3" x14ac:dyDescent="0.3">
      <c r="B594" s="71">
        <v>1E-3</v>
      </c>
      <c r="C594" s="71">
        <f>$D$6*(EXP(B594/($D$9*$D$10))-1)</f>
        <v>1.9416871522534023E-12</v>
      </c>
    </row>
    <row r="595" spans="2:3" x14ac:dyDescent="0.3">
      <c r="B595" s="71">
        <v>1.5E-3</v>
      </c>
      <c r="C595" s="71">
        <f>$D$6*(EXP(B595/($D$9*$D$10))-1)</f>
        <v>2.9266233642511133E-12</v>
      </c>
    </row>
    <row r="596" spans="2:3" x14ac:dyDescent="0.3">
      <c r="B596" s="71">
        <v>2E-3</v>
      </c>
      <c r="C596" s="71">
        <f>$D$6*(EXP(B596/($D$9*$D$10))-1)</f>
        <v>3.9210757944790905E-12</v>
      </c>
    </row>
    <row r="597" spans="2:3" x14ac:dyDescent="0.3">
      <c r="B597" s="71">
        <v>2.5000000000000001E-3</v>
      </c>
      <c r="C597" s="71">
        <f>$D$6*(EXP(B597/($D$9*$D$10))-1)</f>
        <v>4.9251363863630282E-12</v>
      </c>
    </row>
    <row r="598" spans="2:3" x14ac:dyDescent="0.3">
      <c r="B598" s="71">
        <v>3.0000000000000001E-3</v>
      </c>
      <c r="C598" s="71">
        <f>$D$6*(EXP(B598/($D$9*$D$10))-1)</f>
        <v>5.9388979716640045E-12</v>
      </c>
    </row>
    <row r="599" spans="2:3" x14ac:dyDescent="0.3">
      <c r="B599" s="71">
        <v>3.5000000000000001E-3</v>
      </c>
      <c r="C599" s="71">
        <f>$D$6*(EXP(B599/($D$9*$D$10))-1)</f>
        <v>6.9624542790614149E-12</v>
      </c>
    </row>
    <row r="600" spans="2:3" x14ac:dyDescent="0.3">
      <c r="B600" s="71">
        <v>4.0000000000000001E-3</v>
      </c>
      <c r="C600" s="71">
        <f>$D$6*(EXP(B600/($D$9*$D$10))-1)</f>
        <v>7.9958999428186633E-12</v>
      </c>
    </row>
    <row r="601" spans="2:3" x14ac:dyDescent="0.3">
      <c r="B601" s="71">
        <v>4.4999999999999997E-3</v>
      </c>
      <c r="C601" s="71">
        <f>$D$6*(EXP(B601/($D$9*$D$10))-1)</f>
        <v>9.0393305115328735E-12</v>
      </c>
    </row>
    <row r="602" spans="2:3" x14ac:dyDescent="0.3">
      <c r="B602" s="71">
        <v>5.0000000000000001E-3</v>
      </c>
      <c r="C602" s="71">
        <f>$D$6*(EXP(B602/($D$9*$D$10))-1)</f>
        <v>1.0092842456968822E-11</v>
      </c>
    </row>
    <row r="603" spans="2:3" x14ac:dyDescent="0.3">
      <c r="B603" s="71">
        <v>5.4999999999999997E-3</v>
      </c>
      <c r="C603" s="71">
        <f>$D$6*(EXP(B603/($D$9*$D$10))-1)</f>
        <v>1.1156533182978448E-11</v>
      </c>
    </row>
    <row r="604" spans="2:3" x14ac:dyDescent="0.3">
      <c r="B604" s="71">
        <v>6.0000000000000097E-3</v>
      </c>
      <c r="C604" s="71">
        <f>$D$6*(EXP(B604/($D$9*$D$10))-1)</f>
        <v>1.2230501034506404E-11</v>
      </c>
    </row>
    <row r="605" spans="2:3" x14ac:dyDescent="0.3">
      <c r="B605" s="71">
        <v>6.5000000000000101E-3</v>
      </c>
      <c r="C605" s="71">
        <f>$D$6*(EXP(B605/($D$9*$D$10))-1)</f>
        <v>1.3314845306682657E-11</v>
      </c>
    </row>
    <row r="606" spans="2:3" x14ac:dyDescent="0.3">
      <c r="B606" s="71">
        <v>7.0000000000000097E-3</v>
      </c>
      <c r="C606" s="71">
        <f>$D$6*(EXP(B606/($D$9*$D$10))-1)</f>
        <v>1.4409666254003042E-11</v>
      </c>
    </row>
    <row r="607" spans="2:3" x14ac:dyDescent="0.3">
      <c r="B607" s="71">
        <v>7.5000000000000101E-3</v>
      </c>
      <c r="C607" s="71">
        <f>$D$6*(EXP(B607/($D$9*$D$10))-1)</f>
        <v>1.5515065099598349E-11</v>
      </c>
    </row>
    <row r="608" spans="2:3" x14ac:dyDescent="0.3">
      <c r="B608" s="71">
        <v>8.0000000000000106E-3</v>
      </c>
      <c r="C608" s="71">
        <f>$D$6*(EXP(B608/($D$9*$D$10))-1)</f>
        <v>1.6631144044593029E-11</v>
      </c>
    </row>
    <row r="609" spans="2:3" x14ac:dyDescent="0.3">
      <c r="B609" s="71">
        <v>8.5000000000000093E-3</v>
      </c>
      <c r="C609" s="71">
        <f>$D$6*(EXP(B609/($D$9*$D$10))-1)</f>
        <v>1.7758006277554397E-11</v>
      </c>
    </row>
    <row r="610" spans="2:3" x14ac:dyDescent="0.3">
      <c r="B610" s="71">
        <v>9.0000000000000097E-3</v>
      </c>
      <c r="C610" s="71">
        <f>$D$6*(EXP(B610/($D$9*$D$10))-1)</f>
        <v>1.8895755984033062E-11</v>
      </c>
    </row>
    <row r="611" spans="2:3" x14ac:dyDescent="0.3">
      <c r="B611" s="71">
        <v>9.5000000000000102E-3</v>
      </c>
      <c r="C611" s="71">
        <f>$D$6*(EXP(B611/($D$9*$D$10))-1)</f>
        <v>2.0044498356195444E-11</v>
      </c>
    </row>
    <row r="612" spans="2:3" x14ac:dyDescent="0.3">
      <c r="B612" s="71">
        <v>0.01</v>
      </c>
      <c r="C612" s="71">
        <f>$D$6*(EXP(B612/($D$9*$D$10))-1)</f>
        <v>2.1204339602549574E-11</v>
      </c>
    </row>
    <row r="613" spans="2:3" x14ac:dyDescent="0.3">
      <c r="B613" s="71">
        <v>1.0500000000000001E-2</v>
      </c>
      <c r="C613" s="71">
        <f>$D$6*(EXP(B613/($D$9*$D$10))-1)</f>
        <v>2.2375386957764734E-11</v>
      </c>
    </row>
    <row r="614" spans="2:3" x14ac:dyDescent="0.3">
      <c r="B614" s="71">
        <v>1.0999999999999999E-2</v>
      </c>
      <c r="C614" s="71">
        <f>$D$6*(EXP(B614/($D$9*$D$10))-1)</f>
        <v>2.355774869258587E-11</v>
      </c>
    </row>
    <row r="615" spans="2:3" x14ac:dyDescent="0.3">
      <c r="B615" s="71">
        <v>1.15E-2</v>
      </c>
      <c r="C615" s="71">
        <f>$D$6*(EXP(B615/($D$9*$D$10))-1)</f>
        <v>2.4751534123844036E-11</v>
      </c>
    </row>
    <row r="616" spans="2:3" x14ac:dyDescent="0.3">
      <c r="B616" s="71">
        <v>1.2E-2</v>
      </c>
      <c r="C616" s="71">
        <f>$D$6*(EXP(B616/($D$9*$D$10))-1)</f>
        <v>2.5956853624563374E-11</v>
      </c>
    </row>
    <row r="617" spans="2:3" x14ac:dyDescent="0.3">
      <c r="B617" s="71">
        <v>1.2500000000000001E-2</v>
      </c>
      <c r="C617" s="71">
        <f>$D$6*(EXP(B617/($D$9*$D$10))-1)</f>
        <v>2.7173818634165751E-11</v>
      </c>
    </row>
    <row r="618" spans="2:3" x14ac:dyDescent="0.3">
      <c r="B618" s="71">
        <v>1.2999999999999999E-2</v>
      </c>
      <c r="C618" s="71">
        <f>$D$6*(EXP(B618/($D$9*$D$10))-1)</f>
        <v>2.8402541668774146E-11</v>
      </c>
    </row>
    <row r="619" spans="2:3" x14ac:dyDescent="0.3">
      <c r="B619" s="71">
        <v>1.35E-2</v>
      </c>
      <c r="C619" s="71">
        <f>$D$6*(EXP(B619/($D$9*$D$10))-1)</f>
        <v>2.9643136331615397E-11</v>
      </c>
    </row>
    <row r="620" spans="2:3" x14ac:dyDescent="0.3">
      <c r="B620" s="71">
        <v>1.4E-2</v>
      </c>
      <c r="C620" s="71">
        <f>$D$6*(EXP(B620/($D$9*$D$10))-1)</f>
        <v>3.0895717323523592E-11</v>
      </c>
    </row>
    <row r="621" spans="2:3" x14ac:dyDescent="0.3">
      <c r="B621" s="71">
        <v>1.4500000000000001E-2</v>
      </c>
      <c r="C621" s="71">
        <f>$D$6*(EXP(B621/($D$9*$D$10))-1)</f>
        <v>3.2160400453544765E-11</v>
      </c>
    </row>
    <row r="622" spans="2:3" x14ac:dyDescent="0.3">
      <c r="B622" s="71">
        <v>1.4999999999999999E-2</v>
      </c>
      <c r="C622" s="71">
        <f>$D$6*(EXP(B622/($D$9*$D$10))-1)</f>
        <v>3.3437302649644379E-11</v>
      </c>
    </row>
    <row r="623" spans="2:3" x14ac:dyDescent="0.3">
      <c r="B623" s="71">
        <v>1.55E-2</v>
      </c>
      <c r="C623" s="71">
        <f>$D$6*(EXP(B623/($D$9*$D$10))-1)</f>
        <v>3.4726541969517903E-11</v>
      </c>
    </row>
    <row r="624" spans="2:3" x14ac:dyDescent="0.3">
      <c r="B624" s="71">
        <v>1.6E-2</v>
      </c>
      <c r="C624" s="71">
        <f>$D$6*(EXP(B624/($D$9*$D$10))-1)</f>
        <v>3.6028237611506025E-11</v>
      </c>
    </row>
    <row r="625" spans="2:3" x14ac:dyDescent="0.3">
      <c r="B625" s="71">
        <v>1.6500000000000001E-2</v>
      </c>
      <c r="C625" s="71">
        <f>$D$6*(EXP(B625/($D$9*$D$10))-1)</f>
        <v>3.7342509925615323E-11</v>
      </c>
    </row>
    <row r="626" spans="2:3" x14ac:dyDescent="0.3">
      <c r="B626" s="71">
        <v>1.7000000000000001E-2</v>
      </c>
      <c r="C626" s="71">
        <f>$D$6*(EXP(B626/($D$9*$D$10))-1)</f>
        <v>3.8669480424645379E-11</v>
      </c>
    </row>
    <row r="627" spans="2:3" x14ac:dyDescent="0.3">
      <c r="B627" s="71">
        <v>1.7500000000000002E-2</v>
      </c>
      <c r="C627" s="71">
        <f>$D$6*(EXP(B627/($D$9*$D$10))-1)</f>
        <v>4.0009271795423383E-11</v>
      </c>
    </row>
    <row r="628" spans="2:3" x14ac:dyDescent="0.3">
      <c r="B628" s="71">
        <v>1.7999999999999999E-2</v>
      </c>
      <c r="C628" s="71">
        <f>$D$6*(EXP(B628/($D$9*$D$10))-1)</f>
        <v>4.1362007910147263E-11</v>
      </c>
    </row>
    <row r="629" spans="2:3" x14ac:dyDescent="0.3">
      <c r="B629" s="71">
        <v>1.8499999999999999E-2</v>
      </c>
      <c r="C629" s="71">
        <f>$D$6*(EXP(B629/($D$9*$D$10))-1)</f>
        <v>4.2727813837838662E-11</v>
      </c>
    </row>
    <row r="630" spans="2:3" x14ac:dyDescent="0.3">
      <c r="B630" s="71">
        <v>1.9E-2</v>
      </c>
      <c r="C630" s="71">
        <f>$D$6*(EXP(B630/($D$9*$D$10))-1)</f>
        <v>4.4106815855906062E-11</v>
      </c>
    </row>
    <row r="631" spans="2:3" x14ac:dyDescent="0.3">
      <c r="B631" s="71">
        <v>1.95E-2</v>
      </c>
      <c r="C631" s="71">
        <f>$D$6*(EXP(B631/($D$9*$D$10))-1)</f>
        <v>4.5499141461820131E-11</v>
      </c>
    </row>
    <row r="632" spans="2:3" x14ac:dyDescent="0.3">
      <c r="B632" s="71">
        <v>0.02</v>
      </c>
      <c r="C632" s="71">
        <f>$D$6*(EXP(B632/($D$9*$D$10))-1)</f>
        <v>4.6904919384901676E-11</v>
      </c>
    </row>
    <row r="633" spans="2:3" x14ac:dyDescent="0.3">
      <c r="B633" s="71">
        <v>2.0500000000000001E-2</v>
      </c>
      <c r="C633" s="71">
        <f>$D$6*(EXP(B633/($D$9*$D$10))-1)</f>
        <v>4.8324279598223329E-11</v>
      </c>
    </row>
    <row r="634" spans="2:3" x14ac:dyDescent="0.3">
      <c r="B634" s="71">
        <v>2.1000000000000001E-2</v>
      </c>
      <c r="C634" s="71">
        <f>$D$6*(EXP(B634/($D$9*$D$10))-1)</f>
        <v>4.9757353330626548E-11</v>
      </c>
    </row>
    <row r="635" spans="2:3" x14ac:dyDescent="0.3">
      <c r="B635" s="71">
        <v>2.1499999999999998E-2</v>
      </c>
      <c r="C635" s="71">
        <f>$D$6*(EXP(B635/($D$9*$D$10))-1)</f>
        <v>5.1204273078854455E-11</v>
      </c>
    </row>
    <row r="636" spans="2:3" x14ac:dyDescent="0.3">
      <c r="B636" s="71">
        <v>2.1999999999999999E-2</v>
      </c>
      <c r="C636" s="71">
        <f>$D$6*(EXP(B636/($D$9*$D$10))-1)</f>
        <v>5.2665172619802067E-11</v>
      </c>
    </row>
    <row r="637" spans="2:3" x14ac:dyDescent="0.3">
      <c r="B637" s="71">
        <v>2.2499999999999999E-2</v>
      </c>
      <c r="C637" s="71">
        <f>$D$6*(EXP(B637/($D$9*$D$10))-1)</f>
        <v>5.4140187022884732E-11</v>
      </c>
    </row>
    <row r="638" spans="2:3" x14ac:dyDescent="0.3">
      <c r="B638" s="71">
        <v>2.3E-2</v>
      </c>
      <c r="C638" s="71">
        <f>$D$6*(EXP(B638/($D$9*$D$10))-1)</f>
        <v>5.5629452662526247E-11</v>
      </c>
    </row>
    <row r="639" spans="2:3" x14ac:dyDescent="0.3">
      <c r="B639" s="71">
        <v>2.35E-2</v>
      </c>
      <c r="C639" s="71">
        <f>$D$6*(EXP(B639/($D$9*$D$10))-1)</f>
        <v>5.7133107230767465E-11</v>
      </c>
    </row>
    <row r="640" spans="2:3" x14ac:dyDescent="0.3">
      <c r="B640" s="71">
        <v>2.4E-2</v>
      </c>
      <c r="C640" s="71">
        <f>$D$6*(EXP(B640/($D$9*$D$10))-1)</f>
        <v>5.8651289749996842E-11</v>
      </c>
    </row>
    <row r="641" spans="2:3" x14ac:dyDescent="0.3">
      <c r="B641" s="71">
        <v>2.4500000000000001E-2</v>
      </c>
      <c r="C641" s="71">
        <f>$D$6*(EXP(B641/($D$9*$D$10))-1)</f>
        <v>6.0184140585803873E-11</v>
      </c>
    </row>
    <row r="642" spans="2:3" x14ac:dyDescent="0.3">
      <c r="B642" s="71">
        <v>2.5000000000000001E-2</v>
      </c>
      <c r="C642" s="71">
        <f>$D$6*(EXP(B642/($D$9*$D$10))-1)</f>
        <v>6.1731801459956858E-11</v>
      </c>
    </row>
    <row r="643" spans="2:3" x14ac:dyDescent="0.3">
      <c r="B643" s="71">
        <v>2.5499999999999998E-2</v>
      </c>
      <c r="C643" s="71">
        <f>$D$6*(EXP(B643/($D$9*$D$10))-1)</f>
        <v>6.3294415463505943E-11</v>
      </c>
    </row>
    <row r="644" spans="2:3" x14ac:dyDescent="0.3">
      <c r="B644" s="71">
        <v>2.5999999999999999E-2</v>
      </c>
      <c r="C644" s="71">
        <f>$D$6*(EXP(B644/($D$9*$D$10))-1)</f>
        <v>6.4872127070012836E-11</v>
      </c>
    </row>
    <row r="645" spans="2:3" x14ac:dyDescent="0.3">
      <c r="B645" s="71">
        <v>2.6499999999999999E-2</v>
      </c>
      <c r="C645" s="71">
        <f>$D$6*(EXP(B645/($D$9*$D$10))-1)</f>
        <v>6.6465082148908145E-11</v>
      </c>
    </row>
    <row r="646" spans="2:3" x14ac:dyDescent="0.3">
      <c r="B646" s="71">
        <v>2.7E-2</v>
      </c>
      <c r="C646" s="71">
        <f>$D$6*(EXP(B646/($D$9*$D$10))-1)</f>
        <v>6.8073427978978179E-11</v>
      </c>
    </row>
    <row r="647" spans="2:3" x14ac:dyDescent="0.3">
      <c r="B647" s="71">
        <v>2.75E-2</v>
      </c>
      <c r="C647" s="71">
        <f>$D$6*(EXP(B647/($D$9*$D$10))-1)</f>
        <v>6.9697313261981602E-11</v>
      </c>
    </row>
    <row r="648" spans="2:3" x14ac:dyDescent="0.3">
      <c r="B648" s="71">
        <v>2.8000000000000001E-2</v>
      </c>
      <c r="C648" s="71">
        <f>$D$6*(EXP(B648/($D$9*$D$10))-1)</f>
        <v>7.1336888136397905E-11</v>
      </c>
    </row>
    <row r="649" spans="2:3" x14ac:dyDescent="0.3">
      <c r="B649" s="71">
        <v>2.8500000000000001E-2</v>
      </c>
      <c r="C649" s="71">
        <f>$D$6*(EXP(B649/($D$9*$D$10))-1)</f>
        <v>7.2992304191308726E-11</v>
      </c>
    </row>
    <row r="650" spans="2:3" x14ac:dyDescent="0.3">
      <c r="B650" s="71">
        <v>2.9000000000000001E-2</v>
      </c>
      <c r="C650" s="71">
        <f>$D$6*(EXP(B650/($D$9*$D$10))-1)</f>
        <v>7.4663714480413125E-11</v>
      </c>
    </row>
    <row r="651" spans="2:3" x14ac:dyDescent="0.3">
      <c r="B651" s="71">
        <v>2.9499999999999998E-2</v>
      </c>
      <c r="C651" s="71">
        <f>$D$6*(EXP(B651/($D$9*$D$10))-1)</f>
        <v>7.6351273536178491E-11</v>
      </c>
    </row>
    <row r="652" spans="2:3" x14ac:dyDescent="0.3">
      <c r="B652" s="71">
        <v>0.03</v>
      </c>
      <c r="C652" s="71">
        <f>$D$6*(EXP(B652/($D$9*$D$10))-1)</f>
        <v>7.805513738412792E-11</v>
      </c>
    </row>
    <row r="653" spans="2:3" x14ac:dyDescent="0.3">
      <c r="B653" s="71">
        <v>3.0499999999999999E-2</v>
      </c>
      <c r="C653" s="71">
        <f>$D$6*(EXP(B653/($D$9*$D$10))-1)</f>
        <v>7.9775463557265743E-11</v>
      </c>
    </row>
    <row r="654" spans="2:3" x14ac:dyDescent="0.3">
      <c r="B654" s="71">
        <v>3.1E-2</v>
      </c>
      <c r="C654" s="71">
        <f>$D$6*(EXP(B654/($D$9*$D$10))-1)</f>
        <v>8.1512411110642658E-11</v>
      </c>
    </row>
    <row r="655" spans="2:3" x14ac:dyDescent="0.3">
      <c r="B655" s="71">
        <v>3.15E-2</v>
      </c>
      <c r="C655" s="71">
        <f>$D$6*(EXP(B655/($D$9*$D$10))-1)</f>
        <v>8.3266140636061212E-11</v>
      </c>
    </row>
    <row r="656" spans="2:3" x14ac:dyDescent="0.3">
      <c r="B656" s="71">
        <v>3.2000000000000001E-2</v>
      </c>
      <c r="C656" s="71">
        <f>$D$6*(EXP(B656/($D$9*$D$10))-1)</f>
        <v>8.5036814276923416E-11</v>
      </c>
    </row>
    <row r="657" spans="2:3" x14ac:dyDescent="0.3">
      <c r="B657" s="71">
        <v>3.2500000000000001E-2</v>
      </c>
      <c r="C657" s="71">
        <f>$D$6*(EXP(B657/($D$9*$D$10))-1)</f>
        <v>8.6824595743222246E-11</v>
      </c>
    </row>
    <row r="658" spans="2:3" x14ac:dyDescent="0.3">
      <c r="B658" s="71">
        <v>3.3000000000000002E-2</v>
      </c>
      <c r="C658" s="71">
        <f>$D$6*(EXP(B658/($D$9*$D$10))-1)</f>
        <v>8.8629650326677457E-11</v>
      </c>
    </row>
    <row r="659" spans="2:3" x14ac:dyDescent="0.3">
      <c r="B659" s="71">
        <v>3.3500000000000002E-2</v>
      </c>
      <c r="C659" s="71">
        <f>$D$6*(EXP(B659/($D$9*$D$10))-1)</f>
        <v>9.0452144916017773E-11</v>
      </c>
    </row>
    <row r="660" spans="2:3" x14ac:dyDescent="0.3">
      <c r="B660" s="71">
        <v>3.4000000000000002E-2</v>
      </c>
      <c r="C660" s="71">
        <f>$D$6*(EXP(B660/($D$9*$D$10))-1)</f>
        <v>9.2292248012411086E-11</v>
      </c>
    </row>
    <row r="661" spans="2:3" x14ac:dyDescent="0.3">
      <c r="B661" s="71">
        <v>3.4500000000000003E-2</v>
      </c>
      <c r="C661" s="71">
        <f>$D$6*(EXP(B661/($D$9*$D$10))-1)</f>
        <v>9.4150129745043164E-11</v>
      </c>
    </row>
    <row r="662" spans="2:3" x14ac:dyDescent="0.3">
      <c r="B662" s="71">
        <v>3.5000000000000003E-2</v>
      </c>
      <c r="C662" s="71">
        <f>$D$6*(EXP(B662/($D$9*$D$10))-1)</f>
        <v>9.6025961886847326E-11</v>
      </c>
    </row>
    <row r="663" spans="2:3" x14ac:dyDescent="0.3">
      <c r="B663" s="71">
        <v>3.5499999999999997E-2</v>
      </c>
      <c r="C663" s="71">
        <f>$D$6*(EXP(B663/($D$9*$D$10))-1)</f>
        <v>9.7919917870385982E-11</v>
      </c>
    </row>
    <row r="664" spans="2:3" x14ac:dyDescent="0.3">
      <c r="B664" s="71">
        <v>3.5999999999999997E-2</v>
      </c>
      <c r="C664" s="71">
        <f>$D$6*(EXP(B664/($D$9*$D$10))-1)</f>
        <v>9.9832172803885403E-11</v>
      </c>
    </row>
    <row r="665" spans="2:3" x14ac:dyDescent="0.3">
      <c r="B665" s="71">
        <v>3.6499999999999998E-2</v>
      </c>
      <c r="C665" s="71">
        <f>$D$6*(EXP(B665/($D$9*$D$10))-1)</f>
        <v>1.0176290348742574E-10</v>
      </c>
    </row>
    <row r="666" spans="2:3" x14ac:dyDescent="0.3">
      <c r="B666" s="71">
        <v>3.6999999999999998E-2</v>
      </c>
      <c r="C666" s="71">
        <f>$D$6*(EXP(B666/($D$9*$D$10))-1)</f>
        <v>1.037122884292873E-10</v>
      </c>
    </row>
    <row r="667" spans="2:3" x14ac:dyDescent="0.3">
      <c r="B667" s="71">
        <v>3.7499999999999999E-2</v>
      </c>
      <c r="C667" s="71">
        <f>$D$6*(EXP(B667/($D$9*$D$10))-1)</f>
        <v>1.0568050786245455E-10</v>
      </c>
    </row>
    <row r="668" spans="2:3" x14ac:dyDescent="0.3">
      <c r="B668" s="71">
        <v>3.7999999999999999E-2</v>
      </c>
      <c r="C668" s="71">
        <f>$D$6*(EXP(B668/($D$9*$D$10))-1)</f>
        <v>1.0766774376128018E-10</v>
      </c>
    </row>
    <row r="669" spans="2:3" x14ac:dyDescent="0.3">
      <c r="B669" s="71">
        <v>3.85E-2</v>
      </c>
      <c r="C669" s="71">
        <f>$D$6*(EXP(B669/($D$9*$D$10))-1)</f>
        <v>1.0967417985830942E-10</v>
      </c>
    </row>
    <row r="670" spans="2:3" x14ac:dyDescent="0.3">
      <c r="B670" s="71">
        <v>3.9E-2</v>
      </c>
      <c r="C670" s="71">
        <f>$D$6*(EXP(B670/($D$9*$D$10))-1)</f>
        <v>1.117000016612675E-10</v>
      </c>
    </row>
    <row r="671" spans="2:3" x14ac:dyDescent="0.3">
      <c r="B671" s="71">
        <v>3.95E-2</v>
      </c>
      <c r="C671" s="71">
        <f>$D$6*(EXP(B671/($D$9*$D$10))-1)</f>
        <v>1.1374539647021094E-10</v>
      </c>
    </row>
    <row r="672" spans="2:3" x14ac:dyDescent="0.3">
      <c r="B672" s="71">
        <v>0.04</v>
      </c>
      <c r="C672" s="71">
        <f>$D$6*(EXP(B672/($D$9*$D$10))-1)</f>
        <v>1.158105533948446E-10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>
      <selection activeCell="E9" sqref="E9"/>
    </sheetView>
  </sheetViews>
  <sheetFormatPr defaultRowHeight="14.4" x14ac:dyDescent="0.3"/>
  <cols>
    <col min="1" max="1" width="6.109375" customWidth="1"/>
    <col min="7" max="7" width="12" bestFit="1" customWidth="1"/>
    <col min="9" max="9" width="11.5546875" customWidth="1"/>
  </cols>
  <sheetData>
    <row r="2" spans="1:7" x14ac:dyDescent="0.3">
      <c r="A2" t="s">
        <v>54</v>
      </c>
      <c r="D2">
        <v>2</v>
      </c>
    </row>
    <row r="3" spans="1:7" ht="16.2" x14ac:dyDescent="0.35">
      <c r="A3" s="11" t="s">
        <v>30</v>
      </c>
      <c r="D3">
        <v>2.5999999999999999E-2</v>
      </c>
      <c r="E3" t="s">
        <v>1</v>
      </c>
      <c r="G3" s="24"/>
    </row>
    <row r="4" spans="1:7" x14ac:dyDescent="0.3">
      <c r="A4" s="11"/>
      <c r="G4" s="24"/>
    </row>
    <row r="5" spans="1:7" ht="18.600000000000001" x14ac:dyDescent="0.45">
      <c r="A5" s="11"/>
      <c r="B5" s="10" t="s">
        <v>185</v>
      </c>
      <c r="G5" s="24"/>
    </row>
    <row r="6" spans="1:7" ht="16.2" x14ac:dyDescent="0.3">
      <c r="B6" s="2" t="s">
        <v>3</v>
      </c>
      <c r="C6" s="2" t="s">
        <v>4</v>
      </c>
      <c r="D6" t="s">
        <v>5</v>
      </c>
      <c r="G6" s="24"/>
    </row>
    <row r="7" spans="1:7" ht="18" x14ac:dyDescent="0.4">
      <c r="A7" s="4" t="s">
        <v>8</v>
      </c>
      <c r="B7">
        <v>10</v>
      </c>
      <c r="C7">
        <v>-9</v>
      </c>
      <c r="D7" s="7">
        <f>B7*POWER(10,C7)</f>
        <v>1E-8</v>
      </c>
      <c r="E7" s="2" t="s">
        <v>9</v>
      </c>
      <c r="G7" s="24"/>
    </row>
    <row r="8" spans="1:7" x14ac:dyDescent="0.3">
      <c r="A8" s="11"/>
      <c r="G8" s="24"/>
    </row>
    <row r="9" spans="1:7" x14ac:dyDescent="0.3">
      <c r="A9" s="11"/>
      <c r="G9" s="24"/>
    </row>
    <row r="11" spans="1:7" ht="18.600000000000001" x14ac:dyDescent="0.45">
      <c r="B11" s="10" t="s">
        <v>62</v>
      </c>
    </row>
    <row r="13" spans="1:7" ht="16.2" x14ac:dyDescent="0.3">
      <c r="B13" s="2" t="s">
        <v>3</v>
      </c>
      <c r="C13" s="2" t="s">
        <v>4</v>
      </c>
      <c r="D13" t="s">
        <v>5</v>
      </c>
    </row>
    <row r="14" spans="1:7" ht="18" x14ac:dyDescent="0.4">
      <c r="A14" s="4" t="s">
        <v>8</v>
      </c>
      <c r="B14">
        <v>10</v>
      </c>
      <c r="C14">
        <v>-9</v>
      </c>
      <c r="D14" s="7">
        <f>B14*POWER(10,C14)</f>
        <v>1E-8</v>
      </c>
      <c r="E14" s="2" t="s">
        <v>9</v>
      </c>
      <c r="F14" s="21" t="s">
        <v>29</v>
      </c>
      <c r="G14" s="26">
        <f>D16*D3*LN((D15+D14)/D14)</f>
        <v>0.29933632208792593</v>
      </c>
    </row>
    <row r="15" spans="1:7" ht="15.6" x14ac:dyDescent="0.3">
      <c r="A15" s="4" t="s">
        <v>63</v>
      </c>
      <c r="B15">
        <v>1</v>
      </c>
      <c r="C15">
        <v>-3</v>
      </c>
      <c r="D15" s="7">
        <f>B15*POWER(10,C15)</f>
        <v>1E-3</v>
      </c>
      <c r="E15" s="2" t="s">
        <v>9</v>
      </c>
    </row>
    <row r="16" spans="1:7" x14ac:dyDescent="0.3">
      <c r="A16" t="s">
        <v>54</v>
      </c>
      <c r="D16">
        <v>1</v>
      </c>
    </row>
    <row r="17" spans="1:11" ht="18" x14ac:dyDescent="0.4">
      <c r="F17" s="14" t="s">
        <v>65</v>
      </c>
    </row>
    <row r="18" spans="1:11" ht="16.2" x14ac:dyDescent="0.35">
      <c r="A18" t="s">
        <v>2</v>
      </c>
      <c r="B18">
        <v>10</v>
      </c>
      <c r="C18">
        <v>3</v>
      </c>
      <c r="D18" s="7">
        <f>B18*POWER(10,C18)</f>
        <v>10000</v>
      </c>
      <c r="E18" s="25" t="s">
        <v>6</v>
      </c>
      <c r="F18" s="20" t="s">
        <v>28</v>
      </c>
      <c r="G18">
        <f>D14*(EXP((G21/2)/(D16*D3))-1)</f>
        <v>9.4036940548078711E-4</v>
      </c>
      <c r="H18" s="20" t="s">
        <v>28</v>
      </c>
      <c r="I18">
        <f>D14*(EXP((I21/2)/(D16*D3))-1)</f>
        <v>4.4362891532415388E-4</v>
      </c>
    </row>
    <row r="19" spans="1:11" ht="16.2" x14ac:dyDescent="0.35">
      <c r="A19" t="s">
        <v>2</v>
      </c>
      <c r="B19">
        <v>1</v>
      </c>
      <c r="C19">
        <v>3</v>
      </c>
      <c r="D19" s="7">
        <f>B19*POWER(10,C19)</f>
        <v>1000</v>
      </c>
      <c r="E19" s="25" t="s">
        <v>6</v>
      </c>
      <c r="F19" s="20" t="s">
        <v>64</v>
      </c>
      <c r="G19">
        <f>G21/D18</f>
        <v>5.9547558733885294E-5</v>
      </c>
      <c r="H19" s="20" t="s">
        <v>64</v>
      </c>
      <c r="I19">
        <f>I21/D19</f>
        <v>5.5640942051633313E-4</v>
      </c>
    </row>
    <row r="20" spans="1:11" ht="15.6" x14ac:dyDescent="0.3">
      <c r="F20" s="4" t="s">
        <v>63</v>
      </c>
      <c r="G20">
        <f>G18+G19</f>
        <v>9.9991696421467251E-4</v>
      </c>
      <c r="H20" s="4" t="s">
        <v>63</v>
      </c>
      <c r="I20">
        <f>I18+I19</f>
        <v>1.0000383358404869E-3</v>
      </c>
    </row>
    <row r="21" spans="1:11" x14ac:dyDescent="0.3">
      <c r="F21" s="2" t="s">
        <v>1</v>
      </c>
      <c r="G21" s="27">
        <v>0.59547558733885297</v>
      </c>
      <c r="H21" s="2" t="s">
        <v>1</v>
      </c>
      <c r="I21" s="27">
        <v>0.55640942051633313</v>
      </c>
    </row>
    <row r="22" spans="1:11" ht="16.2" x14ac:dyDescent="0.35">
      <c r="F22" s="21" t="s">
        <v>29</v>
      </c>
      <c r="G22" s="26">
        <f>G21/2</f>
        <v>0.29773779366942649</v>
      </c>
      <c r="H22" s="21" t="s">
        <v>29</v>
      </c>
      <c r="I22" s="26">
        <f>I21/2</f>
        <v>0.27820471025816657</v>
      </c>
    </row>
    <row r="24" spans="1:11" ht="18.600000000000001" x14ac:dyDescent="0.45">
      <c r="B24" s="10" t="s">
        <v>66</v>
      </c>
    </row>
    <row r="26" spans="1:11" ht="18" x14ac:dyDescent="0.4">
      <c r="A26" s="4" t="s">
        <v>63</v>
      </c>
      <c r="B26">
        <v>5</v>
      </c>
      <c r="C26">
        <v>-3</v>
      </c>
      <c r="D26" s="7">
        <f>B26*POWER(10,C26)</f>
        <v>5.0000000000000001E-3</v>
      </c>
      <c r="E26" s="2" t="s">
        <v>9</v>
      </c>
      <c r="F26" s="14" t="s">
        <v>71</v>
      </c>
    </row>
    <row r="27" spans="1:11" ht="16.2" x14ac:dyDescent="0.35">
      <c r="F27" s="20" t="s">
        <v>28</v>
      </c>
      <c r="G27">
        <f>D14*(EXP(G30/(D16*D3))-1)</f>
        <v>4.6606404783148311E-3</v>
      </c>
    </row>
    <row r="28" spans="1:11" ht="16.2" x14ac:dyDescent="0.35">
      <c r="F28" s="20" t="s">
        <v>64</v>
      </c>
      <c r="G28">
        <f>G30/D19</f>
        <v>3.3935409276567621E-4</v>
      </c>
    </row>
    <row r="29" spans="1:11" ht="15.6" x14ac:dyDescent="0.3">
      <c r="F29" s="4" t="s">
        <v>63</v>
      </c>
      <c r="G29">
        <f>G27+G28</f>
        <v>4.9999945710805073E-3</v>
      </c>
    </row>
    <row r="30" spans="1:11" ht="16.2" x14ac:dyDescent="0.35">
      <c r="F30" s="21" t="s">
        <v>67</v>
      </c>
      <c r="G30" s="26">
        <v>0.33935409276567619</v>
      </c>
      <c r="H30" s="21" t="s">
        <v>68</v>
      </c>
      <c r="I30" s="26">
        <f>D16*D3*LN((D26+D14)/D14)</f>
        <v>0.34118149981246054</v>
      </c>
      <c r="K30">
        <f>G30+I30</f>
        <v>0.68053559257813667</v>
      </c>
    </row>
    <row r="31" spans="1:11" x14ac:dyDescent="0.3">
      <c r="F31" s="21"/>
    </row>
    <row r="32" spans="1:11" x14ac:dyDescent="0.3">
      <c r="G32" t="s">
        <v>69</v>
      </c>
      <c r="I32" t="s">
        <v>70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F11" sqref="F11"/>
    </sheetView>
  </sheetViews>
  <sheetFormatPr defaultRowHeight="14.4" x14ac:dyDescent="0.3"/>
  <sheetData>
    <row r="2" spans="1:7" ht="18.600000000000001" x14ac:dyDescent="0.45">
      <c r="B2" s="10" t="s">
        <v>72</v>
      </c>
    </row>
    <row r="4" spans="1:7" ht="16.2" x14ac:dyDescent="0.3">
      <c r="B4" s="2" t="s">
        <v>3</v>
      </c>
      <c r="C4" s="2" t="s">
        <v>4</v>
      </c>
      <c r="D4" t="s">
        <v>5</v>
      </c>
    </row>
    <row r="5" spans="1:7" ht="18" x14ac:dyDescent="0.4">
      <c r="A5" s="4" t="s">
        <v>8</v>
      </c>
      <c r="B5">
        <v>14.11</v>
      </c>
      <c r="C5">
        <v>-9</v>
      </c>
      <c r="D5" s="7">
        <f>B5*POWER(10,C5)</f>
        <v>1.411E-8</v>
      </c>
      <c r="E5" s="2" t="s">
        <v>9</v>
      </c>
      <c r="F5" s="4" t="s">
        <v>74</v>
      </c>
      <c r="G5" s="26">
        <f>$D$5*(EXP(D7/($D$6*$D$8))-1)</f>
        <v>1.1346230359332438E-2</v>
      </c>
    </row>
    <row r="6" spans="1:7" x14ac:dyDescent="0.3">
      <c r="A6" t="s">
        <v>54</v>
      </c>
      <c r="D6">
        <v>1.98</v>
      </c>
    </row>
    <row r="7" spans="1:7" x14ac:dyDescent="0.3">
      <c r="A7" t="s">
        <v>73</v>
      </c>
      <c r="D7" s="7">
        <v>0.7</v>
      </c>
      <c r="E7" t="s">
        <v>1</v>
      </c>
      <c r="F7" t="s">
        <v>75</v>
      </c>
      <c r="G7">
        <f>($D$6*$D$8)/(G5+$D$5)</f>
        <v>4.5371840999146791</v>
      </c>
    </row>
    <row r="8" spans="1:7" ht="16.2" x14ac:dyDescent="0.35">
      <c r="A8" s="11" t="s">
        <v>30</v>
      </c>
      <c r="D8">
        <v>2.5999999999999999E-2</v>
      </c>
      <c r="E8" t="s">
        <v>1</v>
      </c>
      <c r="F8" t="s">
        <v>76</v>
      </c>
      <c r="G8" s="26">
        <f>G7*2</f>
        <v>9.0743681998293582</v>
      </c>
    </row>
    <row r="10" spans="1:7" ht="16.2" x14ac:dyDescent="0.35">
      <c r="F10" s="21" t="s">
        <v>79</v>
      </c>
      <c r="G10" s="4" t="s">
        <v>80</v>
      </c>
    </row>
    <row r="11" spans="1:7" x14ac:dyDescent="0.3">
      <c r="A11" t="s">
        <v>77</v>
      </c>
      <c r="D11" s="7">
        <f>G5*1.1</f>
        <v>1.2480853395265683E-2</v>
      </c>
      <c r="F11">
        <f>$D$6*$D$8*LN((D11+$D$5)/$D$5)</f>
        <v>0.7049065622363565</v>
      </c>
      <c r="G11" s="26">
        <f>F11-$D$7</f>
        <v>4.9065622363565486E-3</v>
      </c>
    </row>
    <row r="12" spans="1:7" x14ac:dyDescent="0.3">
      <c r="A12" t="s">
        <v>78</v>
      </c>
      <c r="D12" s="7">
        <f>G5*0.9</f>
        <v>1.0211607323399194E-2</v>
      </c>
      <c r="F12">
        <f>$D$6*$D$8*LN((D12+$D$5)/$D$5)</f>
        <v>0.69457604776723092</v>
      </c>
      <c r="G12" s="26">
        <f>F12-$D$7</f>
        <v>-5.4239522327690359E-3</v>
      </c>
    </row>
    <row r="15" spans="1:7" x14ac:dyDescent="0.3">
      <c r="A15" t="s">
        <v>81</v>
      </c>
      <c r="D15" s="7">
        <f>G5*2</f>
        <v>2.2692460718664875E-2</v>
      </c>
    </row>
    <row r="17" spans="1:7" ht="18.600000000000001" x14ac:dyDescent="0.45">
      <c r="B17" s="10" t="s">
        <v>82</v>
      </c>
    </row>
    <row r="18" spans="1:7" x14ac:dyDescent="0.3">
      <c r="F18" s="9" t="s">
        <v>83</v>
      </c>
      <c r="G18">
        <f>$D$5*(EXP(D22/($D$6*$D$8))-1)</f>
        <v>1.6264117167541401E-3</v>
      </c>
    </row>
    <row r="19" spans="1:7" x14ac:dyDescent="0.3">
      <c r="F19" s="9" t="s">
        <v>85</v>
      </c>
      <c r="G19">
        <f>G5-G18</f>
        <v>9.7198186425782977E-3</v>
      </c>
    </row>
    <row r="20" spans="1:7" x14ac:dyDescent="0.3">
      <c r="F20" t="s">
        <v>2</v>
      </c>
      <c r="G20" s="26">
        <f>D22/G19</f>
        <v>61.7295468221661</v>
      </c>
    </row>
    <row r="21" spans="1:7" x14ac:dyDescent="0.3">
      <c r="F21" t="s">
        <v>87</v>
      </c>
      <c r="G21">
        <f>($D$6*$D$8)/(G18+$D$5)</f>
        <v>31.652227327660366</v>
      </c>
    </row>
    <row r="22" spans="1:7" x14ac:dyDescent="0.3">
      <c r="A22" t="s">
        <v>84</v>
      </c>
      <c r="D22" s="7">
        <v>0.6</v>
      </c>
    </row>
    <row r="23" spans="1:7" x14ac:dyDescent="0.3">
      <c r="F23" t="s">
        <v>86</v>
      </c>
      <c r="G23" s="26">
        <f>(G20*G21)/(G20+G21)+G7</f>
        <v>25.460727978121099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opLeftCell="A22" workbookViewId="0">
      <selection activeCell="F23" sqref="F23"/>
    </sheetView>
  </sheetViews>
  <sheetFormatPr defaultRowHeight="14.4" x14ac:dyDescent="0.3"/>
  <cols>
    <col min="5" max="5" width="11" bestFit="1" customWidth="1"/>
  </cols>
  <sheetData>
    <row r="2" spans="1:4" ht="18.600000000000001" x14ac:dyDescent="0.45">
      <c r="B2" s="10" t="s">
        <v>88</v>
      </c>
    </row>
    <row r="11" spans="1:4" ht="15.6" x14ac:dyDescent="0.3">
      <c r="A11" s="14" t="s">
        <v>92</v>
      </c>
    </row>
    <row r="15" spans="1:4" ht="15.6" x14ac:dyDescent="0.3">
      <c r="A15" s="14" t="s">
        <v>93</v>
      </c>
    </row>
    <row r="16" spans="1:4" x14ac:dyDescent="0.3">
      <c r="A16" t="s">
        <v>54</v>
      </c>
      <c r="D16" s="7">
        <v>1.6722408026755855</v>
      </c>
    </row>
    <row r="17" spans="1:7" ht="16.2" x14ac:dyDescent="0.35">
      <c r="A17" s="11" t="s">
        <v>30</v>
      </c>
      <c r="D17">
        <v>2.5999999999999999E-2</v>
      </c>
      <c r="E17" t="s">
        <v>1</v>
      </c>
    </row>
    <row r="19" spans="1:7" x14ac:dyDescent="0.3">
      <c r="A19" t="s">
        <v>90</v>
      </c>
      <c r="D19">
        <v>0.7</v>
      </c>
    </row>
    <row r="20" spans="1:7" x14ac:dyDescent="0.3">
      <c r="A20" t="s">
        <v>89</v>
      </c>
      <c r="D20">
        <v>1E-3</v>
      </c>
    </row>
    <row r="22" spans="1:7" ht="18" x14ac:dyDescent="0.4">
      <c r="A22" s="14" t="s">
        <v>94</v>
      </c>
    </row>
    <row r="23" spans="1:7" ht="18" x14ac:dyDescent="0.4">
      <c r="E23" s="4" t="s">
        <v>95</v>
      </c>
      <c r="F23" s="4" t="s">
        <v>96</v>
      </c>
      <c r="G23" s="4" t="s">
        <v>97</v>
      </c>
    </row>
    <row r="24" spans="1:7" ht="15.6" x14ac:dyDescent="0.3">
      <c r="A24" s="14" t="s">
        <v>91</v>
      </c>
      <c r="C24">
        <v>1.7911448806434201E-3</v>
      </c>
      <c r="E24">
        <f>D19+2.3*$D$16*$D$17*LOG10(C24/D20)</f>
        <v>0.72531307161221514</v>
      </c>
      <c r="F24">
        <f>C24*3000</f>
        <v>5.3734346419302605</v>
      </c>
      <c r="G24" s="22">
        <f>E24*5+F24</f>
        <v>8.9999999999913367</v>
      </c>
    </row>
    <row r="26" spans="1:7" ht="18" x14ac:dyDescent="0.4">
      <c r="A26" s="14" t="s">
        <v>98</v>
      </c>
      <c r="E26" s="26">
        <f>E24*5</f>
        <v>3.6265653580610757</v>
      </c>
    </row>
    <row r="29" spans="1:7" ht="18.600000000000001" x14ac:dyDescent="0.45">
      <c r="B29" s="10" t="s">
        <v>99</v>
      </c>
    </row>
    <row r="31" spans="1:7" ht="18" x14ac:dyDescent="0.4">
      <c r="A31" s="4" t="s">
        <v>97</v>
      </c>
      <c r="D31" s="28">
        <v>10</v>
      </c>
    </row>
    <row r="32" spans="1:7" ht="18" x14ac:dyDescent="0.4">
      <c r="A32" s="4" t="s">
        <v>102</v>
      </c>
      <c r="B32">
        <v>1</v>
      </c>
      <c r="C32">
        <v>-6</v>
      </c>
      <c r="D32" s="7">
        <f>B32*POWER(10,C32)</f>
        <v>9.9999999999999995E-7</v>
      </c>
    </row>
    <row r="33" spans="1:7" ht="18" x14ac:dyDescent="0.4">
      <c r="A33" s="4" t="s">
        <v>103</v>
      </c>
      <c r="B33">
        <v>1</v>
      </c>
      <c r="C33">
        <v>-9</v>
      </c>
      <c r="D33" s="7">
        <f>B33*POWER(10,C33)</f>
        <v>1.0000000000000001E-9</v>
      </c>
    </row>
    <row r="34" spans="1:7" x14ac:dyDescent="0.3">
      <c r="A34" t="s">
        <v>54</v>
      </c>
      <c r="D34" s="7">
        <v>2</v>
      </c>
    </row>
    <row r="35" spans="1:7" x14ac:dyDescent="0.3">
      <c r="A35" t="s">
        <v>2</v>
      </c>
      <c r="D35" s="7">
        <v>1000</v>
      </c>
    </row>
    <row r="37" spans="1:7" ht="18" x14ac:dyDescent="0.4">
      <c r="D37" s="4" t="s">
        <v>100</v>
      </c>
      <c r="E37" s="4" t="s">
        <v>101</v>
      </c>
      <c r="F37" s="4" t="s">
        <v>96</v>
      </c>
      <c r="G37" s="4" t="s">
        <v>97</v>
      </c>
    </row>
    <row r="38" spans="1:7" ht="15.6" x14ac:dyDescent="0.3">
      <c r="A38" s="14" t="s">
        <v>91</v>
      </c>
      <c r="C38">
        <v>8.6972798557768856E-3</v>
      </c>
      <c r="D38" s="26">
        <f>$D$34*$D$17*LN(($C38+D32)/D32)</f>
        <v>0.47168578950309192</v>
      </c>
      <c r="E38" s="26">
        <f>$D$34*$D$17*LN(($C38+D33)/D33)</f>
        <v>0.83088309145188588</v>
      </c>
      <c r="F38">
        <f>C38*D35</f>
        <v>8.6972798557768858</v>
      </c>
      <c r="G38">
        <f>D38+E38+F38</f>
        <v>9.9998487367318631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J22" sqref="J22"/>
    </sheetView>
  </sheetViews>
  <sheetFormatPr defaultRowHeight="14.4" x14ac:dyDescent="0.3"/>
  <cols>
    <col min="2" max="2" width="5.5546875" customWidth="1"/>
    <col min="5" max="5" width="11.6640625" bestFit="1" customWidth="1"/>
    <col min="7" max="7" width="7.109375" customWidth="1"/>
    <col min="8" max="8" width="12.5546875" customWidth="1"/>
    <col min="9" max="9" width="6.5546875" customWidth="1"/>
    <col min="13" max="13" width="7.5546875" customWidth="1"/>
    <col min="14" max="14" width="13.88671875" customWidth="1"/>
    <col min="17" max="17" width="14.44140625" customWidth="1"/>
  </cols>
  <sheetData>
    <row r="2" spans="1:14" x14ac:dyDescent="0.3">
      <c r="A2" t="s">
        <v>114</v>
      </c>
      <c r="H2" t="s">
        <v>121</v>
      </c>
    </row>
    <row r="3" spans="1:14" x14ac:dyDescent="0.3">
      <c r="A3" t="s">
        <v>115</v>
      </c>
      <c r="B3" s="46" t="s">
        <v>116</v>
      </c>
      <c r="H3" t="s">
        <v>122</v>
      </c>
    </row>
    <row r="4" spans="1:14" x14ac:dyDescent="0.3">
      <c r="B4" s="46" t="s">
        <v>120</v>
      </c>
      <c r="H4" t="s">
        <v>123</v>
      </c>
    </row>
    <row r="5" spans="1:14" x14ac:dyDescent="0.3">
      <c r="B5" s="46"/>
      <c r="C5" s="46" t="s">
        <v>117</v>
      </c>
    </row>
    <row r="6" spans="1:14" x14ac:dyDescent="0.3">
      <c r="C6" t="s">
        <v>118</v>
      </c>
      <c r="H6" t="s">
        <v>124</v>
      </c>
    </row>
    <row r="7" spans="1:14" x14ac:dyDescent="0.3">
      <c r="A7" t="s">
        <v>119</v>
      </c>
      <c r="H7" t="s">
        <v>125</v>
      </c>
    </row>
    <row r="9" spans="1:14" ht="15" thickBot="1" x14ac:dyDescent="0.35"/>
    <row r="10" spans="1:14" ht="18" x14ac:dyDescent="0.4">
      <c r="G10" s="4" t="s">
        <v>104</v>
      </c>
      <c r="H10" s="7">
        <v>4</v>
      </c>
      <c r="J10" s="29">
        <v>1</v>
      </c>
      <c r="K10" s="30">
        <v>1</v>
      </c>
      <c r="L10" s="31">
        <v>-1</v>
      </c>
      <c r="N10" s="47">
        <v>0</v>
      </c>
    </row>
    <row r="11" spans="1:14" ht="18" x14ac:dyDescent="0.4">
      <c r="G11" s="4" t="s">
        <v>105</v>
      </c>
      <c r="H11" s="7">
        <v>5</v>
      </c>
      <c r="I11" s="25" t="s">
        <v>109</v>
      </c>
      <c r="J11" s="32">
        <f>R_a</f>
        <v>9.9999999999999995E-7</v>
      </c>
      <c r="K11" s="33">
        <f>-R_n-R_a</f>
        <v>-1000.000001</v>
      </c>
      <c r="L11" s="34">
        <v>0</v>
      </c>
      <c r="N11" s="48">
        <f>V_2-V_1</f>
        <v>1</v>
      </c>
    </row>
    <row r="12" spans="1:14" ht="18.600000000000001" thickBot="1" x14ac:dyDescent="0.45">
      <c r="G12" s="4" t="s">
        <v>106</v>
      </c>
      <c r="H12" s="7">
        <v>3</v>
      </c>
      <c r="J12" s="35">
        <v>0</v>
      </c>
      <c r="K12" s="36">
        <f>R_n+R_a</f>
        <v>1000.000001</v>
      </c>
      <c r="L12" s="37">
        <f>R_a</f>
        <v>9.9999999999999995E-7</v>
      </c>
      <c r="N12" s="49">
        <f>V_3-V_2</f>
        <v>-2</v>
      </c>
    </row>
    <row r="13" spans="1:14" ht="15.6" x14ac:dyDescent="0.3">
      <c r="G13" s="4"/>
      <c r="J13" s="33"/>
      <c r="K13" s="33"/>
      <c r="L13" s="33"/>
      <c r="N13" s="33"/>
    </row>
    <row r="15" spans="1:14" ht="18" x14ac:dyDescent="0.4">
      <c r="G15" s="4" t="s">
        <v>107</v>
      </c>
      <c r="H15" s="7">
        <v>1000</v>
      </c>
      <c r="J15" s="38">
        <f t="array" ref="J15:L17">MINVERSE(J10:L12)</f>
        <v>0.49999999974999992</v>
      </c>
      <c r="K15" s="39">
        <v>500000.00025000004</v>
      </c>
      <c r="L15" s="40">
        <v>499999.99974999996</v>
      </c>
      <c r="M15" s="25" t="s">
        <v>111</v>
      </c>
      <c r="N15" s="50">
        <f t="array" ref="N15:N17">MMULT(J15:L17,N10:N12)</f>
        <v>-499999.99924999988</v>
      </c>
    </row>
    <row r="16" spans="1:14" ht="18.600000000000001" x14ac:dyDescent="0.4">
      <c r="G16" s="4" t="s">
        <v>108</v>
      </c>
      <c r="H16" s="7">
        <v>9.9999999999999995E-7</v>
      </c>
      <c r="I16" s="25" t="s">
        <v>110</v>
      </c>
      <c r="J16" s="41">
        <v>4.9999999924999992E-10</v>
      </c>
      <c r="K16" s="33">
        <v>-4.9999999925000001E-4</v>
      </c>
      <c r="L16" s="42">
        <v>4.999999992499999E-4</v>
      </c>
      <c r="M16" s="25" t="s">
        <v>112</v>
      </c>
      <c r="N16" s="50">
        <v>-1.4999999977499999E-3</v>
      </c>
    </row>
    <row r="17" spans="1:14" ht="16.2" x14ac:dyDescent="0.35">
      <c r="J17" s="43">
        <v>-0.49999999975000003</v>
      </c>
      <c r="K17" s="44">
        <v>499999.99975000002</v>
      </c>
      <c r="L17" s="45">
        <v>500000.00024999998</v>
      </c>
      <c r="M17" s="25" t="s">
        <v>113</v>
      </c>
      <c r="N17" s="50">
        <v>-500000.00074999995</v>
      </c>
    </row>
    <row r="21" spans="1:14" x14ac:dyDescent="0.3">
      <c r="A21" t="s">
        <v>128</v>
      </c>
    </row>
    <row r="22" spans="1:14" x14ac:dyDescent="0.3">
      <c r="A22" t="s">
        <v>126</v>
      </c>
    </row>
    <row r="23" spans="1:14" x14ac:dyDescent="0.3">
      <c r="A23" t="s">
        <v>127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8:R61"/>
  <sheetViews>
    <sheetView topLeftCell="A17" zoomScaleNormal="100" workbookViewId="0">
      <selection activeCell="P44" sqref="P44"/>
    </sheetView>
  </sheetViews>
  <sheetFormatPr defaultRowHeight="14.4" x14ac:dyDescent="0.3"/>
  <cols>
    <col min="5" max="5" width="12.33203125" customWidth="1"/>
  </cols>
  <sheetData>
    <row r="8" spans="1:10" x14ac:dyDescent="0.3">
      <c r="A8" t="s">
        <v>158</v>
      </c>
      <c r="G8" t="s">
        <v>160</v>
      </c>
    </row>
    <row r="9" spans="1:10" ht="16.2" x14ac:dyDescent="0.35">
      <c r="A9" t="s">
        <v>155</v>
      </c>
      <c r="D9" s="51" t="s">
        <v>145</v>
      </c>
      <c r="E9">
        <v>20</v>
      </c>
      <c r="G9" t="s">
        <v>148</v>
      </c>
      <c r="I9" s="51" t="s">
        <v>147</v>
      </c>
      <c r="J9">
        <v>100</v>
      </c>
    </row>
    <row r="10" spans="1:10" ht="16.2" x14ac:dyDescent="0.35">
      <c r="A10" t="s">
        <v>154</v>
      </c>
      <c r="D10" s="51" t="s">
        <v>150</v>
      </c>
      <c r="E10">
        <v>2000</v>
      </c>
      <c r="G10" t="s">
        <v>157</v>
      </c>
      <c r="I10" s="51" t="s">
        <v>152</v>
      </c>
      <c r="J10">
        <v>20</v>
      </c>
    </row>
    <row r="11" spans="1:10" ht="16.2" x14ac:dyDescent="0.35">
      <c r="D11" s="53" t="s">
        <v>162</v>
      </c>
      <c r="E11" s="54">
        <f>E9*(E13/(E10+E13))</f>
        <v>19.960079840319359</v>
      </c>
      <c r="I11" s="53" t="s">
        <v>163</v>
      </c>
      <c r="J11" s="55">
        <f>E11*J9</f>
        <v>1996.0079840319358</v>
      </c>
    </row>
    <row r="12" spans="1:10" x14ac:dyDescent="0.3">
      <c r="A12" t="s">
        <v>159</v>
      </c>
      <c r="G12" t="s">
        <v>161</v>
      </c>
    </row>
    <row r="13" spans="1:10" ht="16.2" x14ac:dyDescent="0.35">
      <c r="A13" t="s">
        <v>153</v>
      </c>
      <c r="D13" s="51" t="s">
        <v>149</v>
      </c>
      <c r="E13" s="52">
        <v>1000000</v>
      </c>
      <c r="G13" t="s">
        <v>156</v>
      </c>
      <c r="I13" s="51" t="s">
        <v>151</v>
      </c>
      <c r="J13">
        <v>10</v>
      </c>
    </row>
    <row r="14" spans="1:10" ht="16.2" x14ac:dyDescent="0.35">
      <c r="G14" t="s">
        <v>146</v>
      </c>
      <c r="I14" s="51" t="s">
        <v>144</v>
      </c>
      <c r="J14">
        <f>J11*(J13/(J13+J10))</f>
        <v>665.33599467731187</v>
      </c>
    </row>
    <row r="18" spans="5:10" ht="16.2" x14ac:dyDescent="0.35">
      <c r="I18" s="51" t="s">
        <v>149</v>
      </c>
      <c r="J18" s="52">
        <v>1000000</v>
      </c>
    </row>
    <row r="19" spans="5:10" ht="16.2" x14ac:dyDescent="0.35">
      <c r="E19" s="56">
        <f>1/(1+J18/(J19+J20*J18))</f>
        <v>0.99009901186158167</v>
      </c>
      <c r="I19" s="51" t="s">
        <v>152</v>
      </c>
      <c r="J19">
        <v>20</v>
      </c>
    </row>
    <row r="20" spans="5:10" ht="16.2" x14ac:dyDescent="0.35">
      <c r="I20" s="51" t="s">
        <v>147</v>
      </c>
      <c r="J20">
        <v>100</v>
      </c>
    </row>
    <row r="25" spans="5:10" x14ac:dyDescent="0.3">
      <c r="E25" s="56">
        <f>1/(1+1/J20)</f>
        <v>0.99009900990099009</v>
      </c>
    </row>
    <row r="39" spans="8:16" ht="16.2" x14ac:dyDescent="0.35">
      <c r="H39" s="51" t="s">
        <v>149</v>
      </c>
      <c r="I39" s="52">
        <v>1000000</v>
      </c>
      <c r="K39" s="51" t="s">
        <v>164</v>
      </c>
      <c r="L39">
        <v>1000</v>
      </c>
    </row>
    <row r="40" spans="8:16" ht="16.2" x14ac:dyDescent="0.35">
      <c r="H40" s="51" t="s">
        <v>152</v>
      </c>
      <c r="I40">
        <v>20</v>
      </c>
      <c r="K40" s="51" t="s">
        <v>165</v>
      </c>
      <c r="L40">
        <v>5000</v>
      </c>
    </row>
    <row r="41" spans="8:16" ht="16.2" x14ac:dyDescent="0.35">
      <c r="H41" s="51" t="s">
        <v>145</v>
      </c>
      <c r="I41">
        <v>1</v>
      </c>
    </row>
    <row r="42" spans="8:16" x14ac:dyDescent="0.3">
      <c r="H42" s="51" t="s">
        <v>9</v>
      </c>
      <c r="I42">
        <v>100</v>
      </c>
      <c r="M42" t="s">
        <v>166</v>
      </c>
    </row>
    <row r="44" spans="8:16" x14ac:dyDescent="0.3">
      <c r="H44" s="38">
        <f>-1/L40</f>
        <v>-2.0000000000000001E-4</v>
      </c>
      <c r="I44" s="58">
        <f>1/L39+1/L40-1/I39</f>
        <v>1.1990000000000002E-3</v>
      </c>
      <c r="K44" s="59">
        <f>I41/L39</f>
        <v>1E-3</v>
      </c>
      <c r="M44">
        <f t="array" ref="M44:N45">MINVERSE(H44:I45)</f>
        <v>-4716.1259663492838</v>
      </c>
      <c r="N44">
        <v>1.1309722456203832</v>
      </c>
      <c r="P44" s="57">
        <f t="array" ref="P44:P45">MMULT(M44:N45,K44:K45)</f>
        <v>-4.716125966349284</v>
      </c>
    </row>
    <row r="45" spans="8:16" x14ac:dyDescent="0.3">
      <c r="H45" s="43">
        <f>1/L40+1/I40</f>
        <v>5.0200000000000002E-2</v>
      </c>
      <c r="I45" s="45">
        <f>I42/I40-1/L40</f>
        <v>4.9997999999999996</v>
      </c>
      <c r="K45" s="60">
        <v>0</v>
      </c>
      <c r="M45">
        <v>47.35179877409778</v>
      </c>
      <c r="N45">
        <v>0.18865258475736166</v>
      </c>
      <c r="P45" s="57">
        <v>4.7351798774097779E-2</v>
      </c>
    </row>
    <row r="49" spans="8:18" ht="16.2" x14ac:dyDescent="0.35">
      <c r="H49" s="51" t="s">
        <v>149</v>
      </c>
      <c r="I49" s="52">
        <v>1000000</v>
      </c>
      <c r="K49" s="51" t="s">
        <v>164</v>
      </c>
      <c r="L49">
        <v>1000</v>
      </c>
    </row>
    <row r="50" spans="8:18" ht="16.2" x14ac:dyDescent="0.35">
      <c r="H50" s="51" t="s">
        <v>152</v>
      </c>
      <c r="I50">
        <v>20</v>
      </c>
      <c r="K50" s="51" t="s">
        <v>167</v>
      </c>
      <c r="L50">
        <v>5000</v>
      </c>
    </row>
    <row r="51" spans="8:18" ht="16.2" x14ac:dyDescent="0.35">
      <c r="H51" s="51" t="s">
        <v>145</v>
      </c>
      <c r="I51">
        <v>1</v>
      </c>
    </row>
    <row r="52" spans="8:18" x14ac:dyDescent="0.3">
      <c r="H52" s="51" t="s">
        <v>9</v>
      </c>
      <c r="I52">
        <v>100</v>
      </c>
    </row>
    <row r="53" spans="8:18" x14ac:dyDescent="0.3">
      <c r="P53" t="s">
        <v>168</v>
      </c>
      <c r="R53" t="s">
        <v>169</v>
      </c>
    </row>
    <row r="55" spans="8:18" x14ac:dyDescent="0.3">
      <c r="H55">
        <f>-1/L50</f>
        <v>-2.0000000000000001E-4</v>
      </c>
      <c r="I55" s="52">
        <f>1/I49+1/L50+1/L49</f>
        <v>1.201E-3</v>
      </c>
      <c r="K55" s="52">
        <f>I51/I49</f>
        <v>9.9999999999999995E-7</v>
      </c>
      <c r="M55">
        <f t="array" ref="M55:N56">MINVERSE(H55:I56)</f>
        <v>-4715.6793745476298</v>
      </c>
      <c r="N55">
        <v>1.1327514958261753</v>
      </c>
      <c r="P55" s="57">
        <f t="array" ref="P55:P56">MMULT(M55:N56,K55:K56)</f>
        <v>5.6590417997563289</v>
      </c>
      <c r="R55">
        <f>1+L50/L49</f>
        <v>6</v>
      </c>
    </row>
    <row r="56" spans="8:18" x14ac:dyDescent="0.3">
      <c r="H56">
        <f>1/I50+1/L50</f>
        <v>5.0200000000000002E-2</v>
      </c>
      <c r="I56">
        <f>I52/I50-1/L50</f>
        <v>4.9997999999999996</v>
      </c>
      <c r="K56">
        <f>I52*I51/I50</f>
        <v>5</v>
      </c>
      <c r="M56">
        <v>47.34731481305073</v>
      </c>
      <c r="N56">
        <v>0.18863472037072004</v>
      </c>
      <c r="P56" s="57">
        <v>0.94322094916841326</v>
      </c>
    </row>
    <row r="57" spans="8:18" x14ac:dyDescent="0.3">
      <c r="R57" t="s">
        <v>170</v>
      </c>
    </row>
    <row r="59" spans="8:18" x14ac:dyDescent="0.3">
      <c r="L59" t="s">
        <v>171</v>
      </c>
      <c r="M59">
        <f>L49/(L49+L50)</f>
        <v>0.16666666666666666</v>
      </c>
      <c r="R59">
        <f>(P55-R55)/R55</f>
        <v>-5.682636670727851E-2</v>
      </c>
    </row>
    <row r="61" spans="8:18" x14ac:dyDescent="0.3">
      <c r="M61">
        <f>-1/(1+I52*M59)</f>
        <v>-5.6603773584905669E-2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1265" r:id="rId4">
          <objectPr defaultSize="0" autoPict="0" r:id="rId5">
            <anchor moveWithCells="1">
              <from>
                <xdr:col>0</xdr:col>
                <xdr:colOff>220980</xdr:colOff>
                <xdr:row>1</xdr:row>
                <xdr:rowOff>22860</xdr:rowOff>
              </from>
              <to>
                <xdr:col>3</xdr:col>
                <xdr:colOff>609600</xdr:colOff>
                <xdr:row>4</xdr:row>
                <xdr:rowOff>45720</xdr:rowOff>
              </to>
            </anchor>
          </objectPr>
        </oleObject>
      </mc:Choice>
      <mc:Fallback>
        <oleObject progId="Equation.DSMT4" shapeId="11265" r:id="rId4"/>
      </mc:Fallback>
    </mc:AlternateContent>
    <mc:AlternateContent xmlns:mc="http://schemas.openxmlformats.org/markup-compatibility/2006">
      <mc:Choice Requires="x14">
        <oleObject progId="Equation.DSMT4" shapeId="11266" r:id="rId6">
          <objectPr defaultSize="0" autoPict="0" r:id="rId7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3</xdr:col>
                <xdr:colOff>160020</xdr:colOff>
                <xdr:row>20</xdr:row>
                <xdr:rowOff>121920</xdr:rowOff>
              </to>
            </anchor>
          </objectPr>
        </oleObject>
      </mc:Choice>
      <mc:Fallback>
        <oleObject progId="Equation.DSMT4" shapeId="11266" r:id="rId6"/>
      </mc:Fallback>
    </mc:AlternateContent>
    <mc:AlternateContent xmlns:mc="http://schemas.openxmlformats.org/markup-compatibility/2006">
      <mc:Choice Requires="x14">
        <oleObject progId="Equation.DSMT4" shapeId="11267" r:id="rId8">
          <objectPr defaultSize="0" autoPict="0" r:id="rId9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2</xdr:col>
                <xdr:colOff>274320</xdr:colOff>
                <xdr:row>27</xdr:row>
                <xdr:rowOff>7620</xdr:rowOff>
              </to>
            </anchor>
          </objectPr>
        </oleObject>
      </mc:Choice>
      <mc:Fallback>
        <oleObject progId="Equation.DSMT4" shapeId="11267" r:id="rId8"/>
      </mc:Fallback>
    </mc:AlternateContent>
    <mc:AlternateContent xmlns:mc="http://schemas.openxmlformats.org/markup-compatibility/2006">
      <mc:Choice Requires="x14">
        <oleObject progId="Equation.DSMT4" shapeId="11268" r:id="rId10">
          <objectPr defaultSize="0" autoPict="0" r:id="rId11">
            <anchor moveWithCells="1">
              <from>
                <xdr:col>7</xdr:col>
                <xdr:colOff>22860</xdr:colOff>
                <xdr:row>28</xdr:row>
                <xdr:rowOff>60960</xdr:rowOff>
              </from>
              <to>
                <xdr:col>11</xdr:col>
                <xdr:colOff>289560</xdr:colOff>
                <xdr:row>31</xdr:row>
                <xdr:rowOff>22860</xdr:rowOff>
              </to>
            </anchor>
          </objectPr>
        </oleObject>
      </mc:Choice>
      <mc:Fallback>
        <oleObject progId="Equation.DSMT4" shapeId="11268" r:id="rId10"/>
      </mc:Fallback>
    </mc:AlternateContent>
    <mc:AlternateContent xmlns:mc="http://schemas.openxmlformats.org/markup-compatibility/2006">
      <mc:Choice Requires="x14">
        <oleObject progId="Equation.DSMT4" shapeId="11269" r:id="rId12">
          <objectPr defaultSize="0" autoPict="0" r:id="rId13">
            <anchor moveWithCells="1">
              <from>
                <xdr:col>7</xdr:col>
                <xdr:colOff>22860</xdr:colOff>
                <xdr:row>31</xdr:row>
                <xdr:rowOff>106680</xdr:rowOff>
              </from>
              <to>
                <xdr:col>10</xdr:col>
                <xdr:colOff>541020</xdr:colOff>
                <xdr:row>34</xdr:row>
                <xdr:rowOff>60960</xdr:rowOff>
              </to>
            </anchor>
          </objectPr>
        </oleObject>
      </mc:Choice>
      <mc:Fallback>
        <oleObject progId="Equation.DSMT4" shapeId="11269" r:id="rId12"/>
      </mc:Fallback>
    </mc:AlternateContent>
    <mc:AlternateContent xmlns:mc="http://schemas.openxmlformats.org/markup-compatibility/2006">
      <mc:Choice Requires="x14">
        <oleObject progId="Equation.DSMT4" shapeId="11270" r:id="rId14">
          <objectPr defaultSize="0" autoPict="0" r:id="rId15">
            <anchor moveWithCells="1">
              <from>
                <xdr:col>12</xdr:col>
                <xdr:colOff>38100</xdr:colOff>
                <xdr:row>28</xdr:row>
                <xdr:rowOff>22860</xdr:rowOff>
              </from>
              <to>
                <xdr:col>16</xdr:col>
                <xdr:colOff>533400</xdr:colOff>
                <xdr:row>34</xdr:row>
                <xdr:rowOff>114300</xdr:rowOff>
              </to>
            </anchor>
          </objectPr>
        </oleObject>
      </mc:Choice>
      <mc:Fallback>
        <oleObject progId="Equation.DSMT4" shapeId="11270" r:id="rId14"/>
      </mc:Fallback>
    </mc:AlternateContent>
    <mc:AlternateContent xmlns:mc="http://schemas.openxmlformats.org/markup-compatibility/2006">
      <mc:Choice Requires="x14">
        <oleObject progId="Equation.DSMT4" shapeId="11271" r:id="rId16">
          <objectPr defaultSize="0" autoPict="0" r:id="rId17">
            <anchor moveWithCells="1">
              <from>
                <xdr:col>6</xdr:col>
                <xdr:colOff>594360</xdr:colOff>
                <xdr:row>34</xdr:row>
                <xdr:rowOff>144780</xdr:rowOff>
              </from>
              <to>
                <xdr:col>8</xdr:col>
                <xdr:colOff>304800</xdr:colOff>
                <xdr:row>36</xdr:row>
                <xdr:rowOff>99060</xdr:rowOff>
              </to>
            </anchor>
          </objectPr>
        </oleObject>
      </mc:Choice>
      <mc:Fallback>
        <oleObject progId="Equation.DSMT4" shapeId="11271" r:id="rId16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H17"/>
  <sheetViews>
    <sheetView workbookViewId="0">
      <selection activeCell="B17" sqref="B17"/>
    </sheetView>
  </sheetViews>
  <sheetFormatPr defaultRowHeight="14.4" x14ac:dyDescent="0.3"/>
  <sheetData>
    <row r="4" spans="2:8" ht="16.2" x14ac:dyDescent="0.35">
      <c r="B4" s="51" t="s">
        <v>149</v>
      </c>
      <c r="C4" s="52">
        <v>1000000</v>
      </c>
      <c r="E4" s="51" t="s">
        <v>164</v>
      </c>
      <c r="F4">
        <v>1000</v>
      </c>
      <c r="G4" s="51" t="s">
        <v>173</v>
      </c>
      <c r="H4">
        <v>1000</v>
      </c>
    </row>
    <row r="5" spans="2:8" ht="16.2" x14ac:dyDescent="0.35">
      <c r="B5" s="51" t="s">
        <v>152</v>
      </c>
      <c r="C5">
        <v>20</v>
      </c>
      <c r="E5" s="51" t="s">
        <v>165</v>
      </c>
      <c r="F5">
        <v>5000</v>
      </c>
      <c r="G5" s="51" t="s">
        <v>174</v>
      </c>
      <c r="H5">
        <v>5000</v>
      </c>
    </row>
    <row r="6" spans="2:8" x14ac:dyDescent="0.3">
      <c r="B6" s="51" t="s">
        <v>9</v>
      </c>
      <c r="C6">
        <v>100</v>
      </c>
    </row>
    <row r="8" spans="2:8" ht="16.2" x14ac:dyDescent="0.35">
      <c r="B8" s="51" t="s">
        <v>145</v>
      </c>
      <c r="C8">
        <v>10</v>
      </c>
    </row>
    <row r="9" spans="2:8" ht="16.2" x14ac:dyDescent="0.35">
      <c r="B9" s="51" t="s">
        <v>172</v>
      </c>
      <c r="C9">
        <v>5</v>
      </c>
    </row>
    <row r="10" spans="2:8" x14ac:dyDescent="0.3">
      <c r="E10" s="38">
        <f>-1/F5</f>
        <v>-2.0000000000000001E-4</v>
      </c>
      <c r="F10" s="61">
        <f>1/F4+1/F5-1/C4</f>
        <v>1.1990000000000002E-3</v>
      </c>
      <c r="G10" s="58">
        <f>1/C4</f>
        <v>9.9999999999999995E-7</v>
      </c>
      <c r="H10">
        <f>C8/F4</f>
        <v>0.01</v>
      </c>
    </row>
    <row r="11" spans="2:8" x14ac:dyDescent="0.3">
      <c r="E11" s="41">
        <v>0</v>
      </c>
      <c r="F11" s="62">
        <f>1/C4</f>
        <v>9.9999999999999995E-7</v>
      </c>
      <c r="G11" s="63">
        <f>1/H4-1/C4+1/H5</f>
        <v>1.1990000000000002E-3</v>
      </c>
      <c r="H11">
        <f>C9/H4</f>
        <v>5.0000000000000001E-3</v>
      </c>
    </row>
    <row r="12" spans="2:8" x14ac:dyDescent="0.3">
      <c r="E12" s="43">
        <f>1/C5+1/F5</f>
        <v>5.0200000000000002E-2</v>
      </c>
      <c r="F12" s="44">
        <f>C6/C5-1/F5</f>
        <v>4.9997999999999996</v>
      </c>
      <c r="G12" s="45">
        <f>-C6/C5</f>
        <v>-5</v>
      </c>
      <c r="H12">
        <v>0</v>
      </c>
    </row>
    <row r="14" spans="2:8" x14ac:dyDescent="0.3">
      <c r="E14">
        <f t="array" ref="E14:G16">MINVERSE(E10:G12)</f>
        <v>-4716.3493028909952</v>
      </c>
      <c r="F14">
        <v>4716.5376499674312</v>
      </c>
      <c r="G14">
        <v>1.130082458601614</v>
      </c>
      <c r="H14" s="57">
        <f t="array" ref="H14:H16">MMULT(E14:G16,H10:H12)</f>
        <v>-23.580804779072796</v>
      </c>
    </row>
    <row r="15" spans="2:8" x14ac:dyDescent="0.3">
      <c r="E15">
        <v>47.314577884487527</v>
      </c>
      <c r="F15">
        <v>786.05017283123914</v>
      </c>
      <c r="G15">
        <v>0.18850429436050806</v>
      </c>
      <c r="H15" s="64">
        <v>4.4033966430010709</v>
      </c>
    </row>
    <row r="16" spans="2:8" x14ac:dyDescent="0.3">
      <c r="E16">
        <v>-3.946169965345081E-2</v>
      </c>
      <c r="F16">
        <v>833.3727688299989</v>
      </c>
      <c r="G16">
        <v>-1.5721792690617852E-4</v>
      </c>
      <c r="H16" s="64">
        <v>4.1664692271534598</v>
      </c>
    </row>
    <row r="17" spans="2:2" x14ac:dyDescent="0.3">
      <c r="B17" s="57">
        <f>(F5/F4)*(C9-C8)</f>
        <v>-25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autoPict="0" r:id="rId5">
            <anchor moveWithCells="1">
              <from>
                <xdr:col>0</xdr:col>
                <xdr:colOff>373380</xdr:colOff>
                <xdr:row>12</xdr:row>
                <xdr:rowOff>22860</xdr:rowOff>
              </from>
              <to>
                <xdr:col>2</xdr:col>
                <xdr:colOff>381000</xdr:colOff>
                <xdr:row>14</xdr:row>
                <xdr:rowOff>152400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opLeftCell="A10" workbookViewId="0">
      <selection activeCell="H27" sqref="H27"/>
    </sheetView>
  </sheetViews>
  <sheetFormatPr defaultRowHeight="14.4" x14ac:dyDescent="0.3"/>
  <cols>
    <col min="4" max="4" width="9" bestFit="1" customWidth="1"/>
    <col min="5" max="6" width="12" bestFit="1" customWidth="1"/>
  </cols>
  <sheetData>
    <row r="3" spans="2:14" x14ac:dyDescent="0.3">
      <c r="I3">
        <v>3000</v>
      </c>
      <c r="J3" t="s">
        <v>132</v>
      </c>
      <c r="K3">
        <f>1/I3</f>
        <v>3.3333333333333332E-4</v>
      </c>
      <c r="M3" t="s">
        <v>137</v>
      </c>
      <c r="N3">
        <v>8.0000000000000002E-3</v>
      </c>
    </row>
    <row r="4" spans="2:14" x14ac:dyDescent="0.3">
      <c r="B4" t="s">
        <v>129</v>
      </c>
      <c r="C4">
        <f>1/1000</f>
        <v>1E-3</v>
      </c>
      <c r="I4">
        <v>6000</v>
      </c>
      <c r="J4" t="s">
        <v>133</v>
      </c>
      <c r="K4">
        <f t="shared" ref="K4:K7" si="0">1/I4</f>
        <v>1.6666666666666666E-4</v>
      </c>
      <c r="M4" t="s">
        <v>138</v>
      </c>
      <c r="N4">
        <v>2E-3</v>
      </c>
    </row>
    <row r="5" spans="2:14" x14ac:dyDescent="0.3">
      <c r="B5" t="s">
        <v>130</v>
      </c>
      <c r="C5">
        <f>1/2000</f>
        <v>5.0000000000000001E-4</v>
      </c>
      <c r="I5">
        <v>6000</v>
      </c>
      <c r="J5" t="s">
        <v>134</v>
      </c>
      <c r="K5">
        <f t="shared" si="0"/>
        <v>1.6666666666666666E-4</v>
      </c>
    </row>
    <row r="6" spans="2:14" x14ac:dyDescent="0.3">
      <c r="B6" t="s">
        <v>131</v>
      </c>
      <c r="C6">
        <f>1/4000</f>
        <v>2.5000000000000001E-4</v>
      </c>
      <c r="I6">
        <v>2000</v>
      </c>
      <c r="J6" t="s">
        <v>135</v>
      </c>
      <c r="K6">
        <f t="shared" si="0"/>
        <v>5.0000000000000001E-4</v>
      </c>
    </row>
    <row r="7" spans="2:14" x14ac:dyDescent="0.3">
      <c r="I7">
        <v>1000</v>
      </c>
      <c r="J7" t="s">
        <v>136</v>
      </c>
      <c r="K7">
        <f t="shared" si="0"/>
        <v>1E-3</v>
      </c>
    </row>
    <row r="9" spans="2:14" x14ac:dyDescent="0.3">
      <c r="C9">
        <f>C4+C5</f>
        <v>1.5E-3</v>
      </c>
      <c r="D9">
        <f>-C5</f>
        <v>-5.0000000000000001E-4</v>
      </c>
      <c r="E9">
        <f>-C4</f>
        <v>-1E-3</v>
      </c>
      <c r="G9">
        <v>4.0000000000000001E-3</v>
      </c>
    </row>
    <row r="10" spans="2:14" x14ac:dyDescent="0.3">
      <c r="C10">
        <f>-C5</f>
        <v>-5.0000000000000001E-4</v>
      </c>
      <c r="D10">
        <f>C4+C5+C6</f>
        <v>1.75E-3</v>
      </c>
      <c r="E10">
        <f>-C6</f>
        <v>-2.5000000000000001E-4</v>
      </c>
      <c r="G10">
        <v>0</v>
      </c>
      <c r="J10">
        <f>K3+K4</f>
        <v>5.0000000000000001E-4</v>
      </c>
      <c r="K10">
        <f>-K4</f>
        <v>-1.6666666666666666E-4</v>
      </c>
      <c r="L10">
        <v>0</v>
      </c>
      <c r="N10">
        <f>N3-N4</f>
        <v>6.0000000000000001E-3</v>
      </c>
    </row>
    <row r="11" spans="2:14" x14ac:dyDescent="0.3">
      <c r="C11">
        <f>-C4</f>
        <v>-1E-3</v>
      </c>
      <c r="D11">
        <f>-C6</f>
        <v>-2.5000000000000001E-4</v>
      </c>
      <c r="E11">
        <f>C4+C6</f>
        <v>1.25E-3</v>
      </c>
      <c r="G11">
        <v>-2E-3</v>
      </c>
      <c r="J11">
        <f>-K4</f>
        <v>-1.6666666666666666E-4</v>
      </c>
      <c r="K11">
        <f>K4+K5+K6</f>
        <v>8.3333333333333328E-4</v>
      </c>
      <c r="L11">
        <f>-K6</f>
        <v>-5.0000000000000001E-4</v>
      </c>
      <c r="N11">
        <v>0</v>
      </c>
    </row>
    <row r="12" spans="2:14" x14ac:dyDescent="0.3">
      <c r="J12">
        <v>0</v>
      </c>
      <c r="K12">
        <f>-K6</f>
        <v>-5.0000000000000001E-4</v>
      </c>
      <c r="L12">
        <f>K6+K7</f>
        <v>1.5E-3</v>
      </c>
      <c r="N12">
        <f>N4</f>
        <v>2E-3</v>
      </c>
    </row>
    <row r="14" spans="2:14" x14ac:dyDescent="0.3">
      <c r="C14">
        <f t="array" ref="C14:E16">MINVERSE(C9:E11)</f>
        <v>2428.571428571428</v>
      </c>
      <c r="D14">
        <v>999.99999999999966</v>
      </c>
      <c r="E14">
        <v>2142.8571428571422</v>
      </c>
      <c r="G14">
        <f t="array" ref="G14:G16">MMULT(C14:E16,G9:G11)</f>
        <v>5.428571428571427</v>
      </c>
    </row>
    <row r="15" spans="2:14" x14ac:dyDescent="0.3">
      <c r="C15">
        <v>999.99999999999966</v>
      </c>
      <c r="D15">
        <v>999.99999999999989</v>
      </c>
      <c r="E15">
        <v>999.99999999999955</v>
      </c>
      <c r="G15">
        <v>1.9999999999999996</v>
      </c>
      <c r="J15">
        <f t="array" ref="J15:L17">MINVERSE(J10:L12)</f>
        <v>2181.8181818181815</v>
      </c>
      <c r="K15">
        <v>545.4545454545455</v>
      </c>
      <c r="L15">
        <v>181.81818181818181</v>
      </c>
      <c r="N15">
        <f t="array" ref="N15:N17">MMULT(J15:L17,N10:N12)</f>
        <v>13.454545454545453</v>
      </c>
    </row>
    <row r="16" spans="2:14" x14ac:dyDescent="0.3">
      <c r="C16">
        <v>2142.8571428571422</v>
      </c>
      <c r="D16">
        <v>999.99999999999966</v>
      </c>
      <c r="E16">
        <v>2714.2857142857133</v>
      </c>
      <c r="G16">
        <v>3.1428571428571423</v>
      </c>
      <c r="J16">
        <v>545.4545454545455</v>
      </c>
      <c r="K16">
        <v>1636.3636363636365</v>
      </c>
      <c r="L16">
        <v>545.4545454545455</v>
      </c>
      <c r="N16">
        <v>4.3636363636363642</v>
      </c>
    </row>
    <row r="17" spans="1:14" x14ac:dyDescent="0.3">
      <c r="J17">
        <v>181.81818181818184</v>
      </c>
      <c r="K17">
        <v>545.4545454545455</v>
      </c>
      <c r="L17">
        <v>848.4848484848485</v>
      </c>
      <c r="N17">
        <v>2.7878787878787881</v>
      </c>
    </row>
    <row r="21" spans="1:14" x14ac:dyDescent="0.3">
      <c r="A21" t="s">
        <v>139</v>
      </c>
      <c r="B21">
        <v>9000</v>
      </c>
      <c r="D21" s="38">
        <f>B23+B24</f>
        <v>10000</v>
      </c>
      <c r="E21" s="39">
        <v>0</v>
      </c>
      <c r="F21" s="40">
        <f>-B24</f>
        <v>-6000</v>
      </c>
      <c r="G21">
        <v>-6</v>
      </c>
      <c r="I21">
        <v>3000</v>
      </c>
      <c r="J21" t="s">
        <v>132</v>
      </c>
      <c r="K21">
        <f>1/I21</f>
        <v>3.3333333333333332E-4</v>
      </c>
      <c r="M21" t="s">
        <v>137</v>
      </c>
      <c r="N21">
        <v>8.0000000000000002E-3</v>
      </c>
    </row>
    <row r="22" spans="1:14" x14ac:dyDescent="0.3">
      <c r="A22" t="s">
        <v>140</v>
      </c>
      <c r="B22">
        <v>3000</v>
      </c>
      <c r="D22" s="41">
        <v>0</v>
      </c>
      <c r="E22" s="33">
        <f>B21+B22</f>
        <v>12000</v>
      </c>
      <c r="F22" s="42">
        <f>-B22</f>
        <v>-3000</v>
      </c>
      <c r="G22">
        <v>6</v>
      </c>
      <c r="I22">
        <v>6000</v>
      </c>
      <c r="J22" t="s">
        <v>133</v>
      </c>
      <c r="K22">
        <f t="shared" ref="K22:K24" si="1">1/I22</f>
        <v>1.6666666666666666E-4</v>
      </c>
      <c r="M22" t="s">
        <v>138</v>
      </c>
      <c r="N22">
        <v>2E-3</v>
      </c>
    </row>
    <row r="23" spans="1:14" x14ac:dyDescent="0.3">
      <c r="A23" t="s">
        <v>141</v>
      </c>
      <c r="B23">
        <v>4000</v>
      </c>
      <c r="D23" s="43">
        <f>-B24</f>
        <v>-6000</v>
      </c>
      <c r="E23" s="44">
        <f>-B22</f>
        <v>-3000</v>
      </c>
      <c r="F23" s="45">
        <f>B22+B24+B25</f>
        <v>21000</v>
      </c>
      <c r="G23">
        <v>0</v>
      </c>
      <c r="I23">
        <v>2000</v>
      </c>
      <c r="J23" t="s">
        <v>134</v>
      </c>
      <c r="K23">
        <f t="shared" si="1"/>
        <v>5.0000000000000001E-4</v>
      </c>
    </row>
    <row r="24" spans="1:14" x14ac:dyDescent="0.3">
      <c r="A24" t="s">
        <v>142</v>
      </c>
      <c r="B24">
        <v>6000</v>
      </c>
      <c r="I24">
        <v>1000</v>
      </c>
      <c r="J24" t="s">
        <v>135</v>
      </c>
      <c r="K24">
        <f t="shared" si="1"/>
        <v>1E-3</v>
      </c>
    </row>
    <row r="25" spans="1:14" x14ac:dyDescent="0.3">
      <c r="A25" t="s">
        <v>143</v>
      </c>
      <c r="B25">
        <v>12000</v>
      </c>
      <c r="D25">
        <f t="array" ref="D25:F27">MINVERSE(D21:F23)</f>
        <v>1.2162162162162163E-4</v>
      </c>
      <c r="E25">
        <v>9.0090090090090078E-6</v>
      </c>
      <c r="F25">
        <v>3.6036036036036031E-5</v>
      </c>
      <c r="G25">
        <f t="array" ref="G25:G27">MMULT(D25:F27,G21:G23)</f>
        <v>-6.7567567567567571E-4</v>
      </c>
      <c r="H25">
        <f>G25*1000</f>
        <v>-0.67567567567567566</v>
      </c>
    </row>
    <row r="26" spans="1:14" x14ac:dyDescent="0.3">
      <c r="D26">
        <v>9.0090090090090095E-6</v>
      </c>
      <c r="E26">
        <v>8.7087087087087082E-5</v>
      </c>
      <c r="F26">
        <v>1.5015015015015015E-5</v>
      </c>
      <c r="G26">
        <v>4.6846846846846843E-4</v>
      </c>
      <c r="H26">
        <f>G26*1000</f>
        <v>0.46846846846846846</v>
      </c>
    </row>
    <row r="27" spans="1:14" x14ac:dyDescent="0.3">
      <c r="D27">
        <v>3.6036036036036038E-5</v>
      </c>
      <c r="E27">
        <v>1.5015015015015015E-5</v>
      </c>
      <c r="F27">
        <v>6.0060060060060059E-5</v>
      </c>
      <c r="G27">
        <v>-1.2612612612612615E-4</v>
      </c>
      <c r="H27">
        <f>G27*1000</f>
        <v>-0.12612612612612614</v>
      </c>
      <c r="J27">
        <f>K21+K22+K23</f>
        <v>1E-3</v>
      </c>
      <c r="K27">
        <f>-K23</f>
        <v>-5.0000000000000001E-4</v>
      </c>
      <c r="M27">
        <f>N21-N22-12*K22-12*K23</f>
        <v>-2E-3</v>
      </c>
    </row>
    <row r="28" spans="1:14" x14ac:dyDescent="0.3">
      <c r="J28">
        <f>-K23</f>
        <v>-5.0000000000000001E-4</v>
      </c>
      <c r="K28">
        <f>K23+K24</f>
        <v>1.5E-3</v>
      </c>
      <c r="M28">
        <f>N22+12*K23</f>
        <v>8.0000000000000002E-3</v>
      </c>
    </row>
    <row r="31" spans="1:14" x14ac:dyDescent="0.3">
      <c r="J31">
        <f t="array" ref="J31:K32">MINVERSE(J27:K28)</f>
        <v>1200</v>
      </c>
      <c r="K31">
        <v>400</v>
      </c>
      <c r="M31">
        <f t="array" ref="M31:M32">MMULT(J31:K32,M27:M28)</f>
        <v>0.80000000000000027</v>
      </c>
    </row>
    <row r="32" spans="1:14" x14ac:dyDescent="0.3">
      <c r="J32">
        <v>400</v>
      </c>
      <c r="K32">
        <v>800</v>
      </c>
      <c r="M32">
        <v>5.6000000000000005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M18"/>
  <sheetViews>
    <sheetView workbookViewId="0">
      <selection activeCell="L22" sqref="L22"/>
    </sheetView>
  </sheetViews>
  <sheetFormatPr defaultRowHeight="14.4" x14ac:dyDescent="0.3"/>
  <sheetData>
    <row r="3" spans="2:13" ht="16.2" x14ac:dyDescent="0.35">
      <c r="B3" s="51" t="s">
        <v>149</v>
      </c>
      <c r="C3" s="52">
        <v>1000000</v>
      </c>
      <c r="E3" s="51" t="s">
        <v>164</v>
      </c>
      <c r="F3">
        <v>1000</v>
      </c>
      <c r="G3" s="51"/>
    </row>
    <row r="4" spans="2:13" ht="16.2" x14ac:dyDescent="0.35">
      <c r="B4" s="51" t="s">
        <v>152</v>
      </c>
      <c r="C4">
        <v>20</v>
      </c>
      <c r="E4" s="51" t="s">
        <v>165</v>
      </c>
      <c r="F4">
        <v>5000</v>
      </c>
      <c r="G4" s="51"/>
    </row>
    <row r="5" spans="2:13" ht="16.2" x14ac:dyDescent="0.35">
      <c r="B5" s="51" t="s">
        <v>9</v>
      </c>
      <c r="C5">
        <v>100</v>
      </c>
      <c r="E5" s="51" t="s">
        <v>176</v>
      </c>
      <c r="F5">
        <v>2000</v>
      </c>
    </row>
    <row r="7" spans="2:13" ht="16.2" x14ac:dyDescent="0.35">
      <c r="B7" s="51" t="s">
        <v>175</v>
      </c>
      <c r="C7">
        <v>1</v>
      </c>
      <c r="J7" s="57">
        <f>(C7-C8)*(1+F4/F3+(2*F4)/F5)</f>
        <v>-11</v>
      </c>
    </row>
    <row r="8" spans="2:13" ht="16.2" x14ac:dyDescent="0.35">
      <c r="B8" s="51" t="s">
        <v>172</v>
      </c>
      <c r="C8">
        <v>2</v>
      </c>
    </row>
    <row r="10" spans="2:13" x14ac:dyDescent="0.3">
      <c r="E10" s="38">
        <f>1/C4+1/F4</f>
        <v>5.0200000000000002E-2</v>
      </c>
      <c r="F10" s="39">
        <f>C5/C4-1/F4</f>
        <v>4.9997999999999996</v>
      </c>
      <c r="G10" s="39">
        <v>0</v>
      </c>
      <c r="H10" s="40">
        <v>0</v>
      </c>
      <c r="I10" s="52"/>
      <c r="J10">
        <f>C5*C7/C4</f>
        <v>5</v>
      </c>
    </row>
    <row r="11" spans="2:13" x14ac:dyDescent="0.3">
      <c r="E11" s="41">
        <f>-1/F4</f>
        <v>-2.0000000000000001E-4</v>
      </c>
      <c r="F11" s="62">
        <f>1/C3+1/F4+1/F5+1/F3</f>
        <v>1.701E-3</v>
      </c>
      <c r="G11" s="33">
        <f>-1/F5</f>
        <v>-5.0000000000000001E-4</v>
      </c>
      <c r="H11" s="42">
        <f>-1/F3</f>
        <v>-1E-3</v>
      </c>
      <c r="J11" s="52">
        <f>C7/C3</f>
        <v>9.9999999999999995E-7</v>
      </c>
    </row>
    <row r="12" spans="2:13" x14ac:dyDescent="0.3">
      <c r="E12" s="41">
        <v>0</v>
      </c>
      <c r="F12" s="33">
        <f>-1/F3</f>
        <v>-1E-3</v>
      </c>
      <c r="G12" s="62">
        <f>C5/C4-1/F3</f>
        <v>4.9989999999999997</v>
      </c>
      <c r="H12" s="42">
        <f>1/C4+2/F3</f>
        <v>5.2000000000000005E-2</v>
      </c>
      <c r="I12" s="52"/>
      <c r="J12">
        <f>C5*C8/C4</f>
        <v>10</v>
      </c>
    </row>
    <row r="13" spans="2:13" x14ac:dyDescent="0.3">
      <c r="E13" s="43">
        <v>0</v>
      </c>
      <c r="F13" s="44">
        <f>-1/F5</f>
        <v>-5.0000000000000001E-4</v>
      </c>
      <c r="G13" s="66">
        <f>1/C3+1/F4+1/F5+1/F3</f>
        <v>1.701E-3</v>
      </c>
      <c r="H13" s="45">
        <f>-1/F3</f>
        <v>-1E-3</v>
      </c>
      <c r="J13" s="52">
        <f>C8/C3</f>
        <v>1.9999999999999999E-6</v>
      </c>
    </row>
    <row r="15" spans="2:13" ht="16.2" x14ac:dyDescent="0.35">
      <c r="E15">
        <f t="array" ref="E15:H18">MINVERSE(E10:H13)</f>
        <v>1.9726014029628289</v>
      </c>
      <c r="F15">
        <v>-4504.8770478563301</v>
      </c>
      <c r="G15">
        <v>-1.9489588073424149</v>
      </c>
      <c r="H15">
        <v>4403.5311898745249</v>
      </c>
      <c r="J15" s="57">
        <f t="array" ref="J15:J18">MMULT(E15:H18,J10:J13)</f>
        <v>-9.6222788732781108</v>
      </c>
      <c r="K15" s="65" t="s">
        <v>177</v>
      </c>
      <c r="M15">
        <f>J15</f>
        <v>-9.6222788732781108</v>
      </c>
    </row>
    <row r="16" spans="2:13" ht="16.2" x14ac:dyDescent="0.35">
      <c r="E16">
        <v>0.18020229000585344</v>
      </c>
      <c r="F16">
        <v>45.230774791469216</v>
      </c>
      <c r="G16">
        <v>1.9568329158884203E-2</v>
      </c>
      <c r="H16">
        <v>-44.213221675207237</v>
      </c>
      <c r="J16" s="67">
        <v>1.0966515459495503</v>
      </c>
      <c r="K16" s="65" t="s">
        <v>178</v>
      </c>
      <c r="M16">
        <f>J16</f>
        <v>1.0966515459495503</v>
      </c>
    </row>
    <row r="17" spans="5:13" ht="16.2" x14ac:dyDescent="0.35">
      <c r="E17">
        <v>9.5636515689151349E-4</v>
      </c>
      <c r="F17">
        <v>0.24004765437976991</v>
      </c>
      <c r="G17">
        <v>0.19666590365615047</v>
      </c>
      <c r="H17">
        <v>9.9865793357400552</v>
      </c>
      <c r="J17" s="67">
        <v>1.9714610755522881</v>
      </c>
      <c r="K17" s="65" t="s">
        <v>179</v>
      </c>
      <c r="M17">
        <f>J18</f>
        <v>2.8031295165396668</v>
      </c>
    </row>
    <row r="18" spans="5:13" ht="16.2" x14ac:dyDescent="0.35">
      <c r="E18">
        <v>-8.8474367871054255E-2</v>
      </c>
      <c r="F18">
        <v>-22.207066335634622</v>
      </c>
      <c r="G18">
        <v>0.32474453753966981</v>
      </c>
      <c r="H18">
        <v>-960.90621771230258</v>
      </c>
      <c r="J18" s="67">
        <v>2.8031295165396668</v>
      </c>
      <c r="K18" s="65" t="s">
        <v>180</v>
      </c>
      <c r="M18">
        <f>J17</f>
        <v>1.9714610755522881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r:id="rId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10</xdr:col>
                <xdr:colOff>251460</xdr:colOff>
                <xdr:row>4</xdr:row>
                <xdr:rowOff>160020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10</vt:i4>
      </vt:variant>
    </vt:vector>
  </HeadingPairs>
  <TitlesOfParts>
    <vt:vector size="23" baseType="lpstr">
      <vt:lpstr>Exmpl1.2.1-exact</vt:lpstr>
      <vt:lpstr>Exmpl1.2.1-lin approx</vt:lpstr>
      <vt:lpstr>P1.1.2</vt:lpstr>
      <vt:lpstr>P1.1.3-1.1.5</vt:lpstr>
      <vt:lpstr>P1.1.6</vt:lpstr>
      <vt:lpstr>P1.1.7-1.1.9</vt:lpstr>
      <vt:lpstr>DP1.1.10-1.1.11</vt:lpstr>
      <vt:lpstr>P1.1.12-1.1.13</vt:lpstr>
      <vt:lpstr>P1.1.14</vt:lpstr>
      <vt:lpstr>Лист1</vt:lpstr>
      <vt:lpstr>Лист2</vt:lpstr>
      <vt:lpstr>Лист3</vt:lpstr>
      <vt:lpstr>Лист4</vt:lpstr>
      <vt:lpstr>Eta</vt:lpstr>
      <vt:lpstr>Is</vt:lpstr>
      <vt:lpstr>R_</vt:lpstr>
      <vt:lpstr>P1.1.14!R_a</vt:lpstr>
      <vt:lpstr>P1.1.14!R_n</vt:lpstr>
      <vt:lpstr>P1.1.14!V_1</vt:lpstr>
      <vt:lpstr>P1.1.14!V_2</vt:lpstr>
      <vt:lpstr>P1.1.14!V_3</vt:lpstr>
      <vt:lpstr>Vsrc</vt:lpstr>
      <vt:lpstr>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2017-06-08T09:55:06Z</dcterms:modified>
</cp:coreProperties>
</file>