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10.xml" ContentType="application/vnd.openxmlformats-officedocument.drawing+xml"/>
  <Override PartName="/xl/embeddings/oleObject13.bin" ContentType="application/vnd.openxmlformats-officedocument.oleObject"/>
  <Override PartName="/xl/drawings/drawing11.xml" ContentType="application/vnd.openxmlformats-officedocument.drawing+xml"/>
  <Override PartName="/xl/embeddings/oleObject1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11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-1.1.9" sheetId="5" r:id="rId5"/>
    <sheet name="DP1.1.10-1.1.11" sheetId="6" r:id="rId6"/>
    <sheet name="P1.1.12-1.1.13" sheetId="7" r:id="rId7"/>
    <sheet name="P1.1.14" sheetId="9" r:id="rId8"/>
    <sheet name="Лист1" sheetId="10" r:id="rId9"/>
    <sheet name="Лист2" sheetId="11" r:id="rId10"/>
    <sheet name="Лист3" sheetId="12" r:id="rId11"/>
    <sheet name="Лист4" sheetId="13" r:id="rId12"/>
  </sheets>
  <definedNames>
    <definedName name="Eta">'Exmpl1.2.1-exact'!$J$3</definedName>
    <definedName name="Is">'Exmpl1.2.1-exact'!$J$2</definedName>
    <definedName name="R_">'Exmpl1.2.1-exact'!$J$6</definedName>
    <definedName name="R_a" localSheetId="7">P1.1.14!$H$16</definedName>
    <definedName name="R_n" localSheetId="7">P1.1.14!$H$15</definedName>
    <definedName name="V_1" localSheetId="7">P1.1.14!$H$10</definedName>
    <definedName name="V_2" localSheetId="7">P1.1.14!$H$11</definedName>
    <definedName name="V_3" localSheetId="7">P1.1.14!$H$12</definedName>
    <definedName name="Vsrc">'Exmpl1.2.1-exact'!$J$5</definedName>
    <definedName name="Vt">'Exmpl1.2.1-exact'!$J$4</definedName>
  </definedNames>
  <calcPr calcId="152511"/>
</workbook>
</file>

<file path=xl/calcChain.xml><?xml version="1.0" encoding="utf-8"?>
<calcChain xmlns="http://schemas.openxmlformats.org/spreadsheetml/2006/main">
  <c r="M18" i="13" l="1"/>
  <c r="M17" i="13"/>
  <c r="M16" i="13"/>
  <c r="M15" i="13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J16" i="13"/>
  <c r="J18" i="13"/>
  <c r="F14" i="11"/>
  <c r="G15" i="11"/>
  <c r="G14" i="11"/>
  <c r="E16" i="11"/>
  <c r="E15" i="11"/>
  <c r="F16" i="11"/>
  <c r="E14" i="11"/>
  <c r="F15" i="11"/>
  <c r="G16" i="11"/>
  <c r="M61" i="10"/>
  <c r="M59" i="10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D25" i="12" s="1" a="1"/>
  <c r="D25" i="12" s="1"/>
  <c r="K24" i="12"/>
  <c r="K23" i="12"/>
  <c r="M28" i="12" s="1"/>
  <c r="K22" i="12"/>
  <c r="K21" i="12"/>
  <c r="J10" i="12"/>
  <c r="N12" i="12"/>
  <c r="N10" i="12"/>
  <c r="J11" i="12"/>
  <c r="K10" i="12"/>
  <c r="K4" i="12"/>
  <c r="K11" i="12" s="1"/>
  <c r="K5" i="12"/>
  <c r="K6" i="12"/>
  <c r="K12" i="12" s="1"/>
  <c r="K7" i="12"/>
  <c r="L12" i="12" s="1"/>
  <c r="K3" i="12"/>
  <c r="C10" i="12"/>
  <c r="E9" i="12"/>
  <c r="C9" i="12"/>
  <c r="C6" i="12"/>
  <c r="D11" i="12" s="1"/>
  <c r="C5" i="12"/>
  <c r="D9" i="12" s="1"/>
  <c r="C4" i="12"/>
  <c r="C11" i="12" s="1"/>
  <c r="D10" i="12" l="1"/>
  <c r="C14" i="12" s="1" a="1"/>
  <c r="E10" i="12"/>
  <c r="L11" i="12"/>
  <c r="J15" i="12" s="1" a="1"/>
  <c r="E11" i="12"/>
  <c r="P44" i="10"/>
  <c r="P45" i="10"/>
  <c r="D27" i="12"/>
  <c r="F25" i="12"/>
  <c r="F27" i="12"/>
  <c r="E26" i="12"/>
  <c r="E27" i="12"/>
  <c r="D26" i="12"/>
  <c r="F26" i="12"/>
  <c r="E25" i="12"/>
  <c r="G25" i="12" s="1" a="1"/>
  <c r="J27" i="12"/>
  <c r="M27" i="12"/>
  <c r="J28" i="12"/>
  <c r="K28" i="12"/>
  <c r="K27" i="12"/>
  <c r="J15" i="12" l="1"/>
  <c r="J16" i="12"/>
  <c r="K17" i="12"/>
  <c r="J17" i="12"/>
  <c r="K16" i="12"/>
  <c r="L15" i="12"/>
  <c r="L16" i="12"/>
  <c r="L17" i="12"/>
  <c r="K15" i="12"/>
  <c r="G26" i="12"/>
  <c r="H26" i="12" s="1"/>
  <c r="G25" i="12"/>
  <c r="H25" i="12" s="1"/>
  <c r="G27" i="12"/>
  <c r="H27" i="12" s="1"/>
  <c r="C14" i="12"/>
  <c r="D16" i="12"/>
  <c r="D14" i="12"/>
  <c r="C16" i="12"/>
  <c r="E14" i="12"/>
  <c r="E15" i="12"/>
  <c r="C15" i="12"/>
  <c r="E16" i="12"/>
  <c r="D15" i="12"/>
  <c r="J31" i="12" a="1"/>
  <c r="G14" i="12" l="1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5" i="5"/>
  <c r="I21" i="5"/>
  <c r="D18" i="5"/>
  <c r="I18" i="5" s="1"/>
  <c r="G21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7" i="5"/>
  <c r="G18" i="5" s="1"/>
  <c r="D14" i="5"/>
  <c r="D13" i="5"/>
  <c r="I29" i="5" s="1"/>
  <c r="K29" i="5" s="1"/>
  <c r="G17" i="5" l="1"/>
  <c r="G19" i="5" s="1"/>
  <c r="I17" i="5"/>
  <c r="I19" i="5" s="1"/>
  <c r="G13" i="5"/>
  <c r="D6" i="5"/>
  <c r="D5" i="5"/>
  <c r="G5" i="5" l="1"/>
  <c r="L25" i="3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7" i="5"/>
  <c r="G28" i="5" s="1"/>
  <c r="G26" i="5"/>
</calcChain>
</file>

<file path=xl/sharedStrings.xml><?xml version="1.0" encoding="utf-8"?>
<sst xmlns="http://schemas.openxmlformats.org/spreadsheetml/2006/main" count="307" uniqueCount="183">
  <si>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</si>
  <si>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</si>
  <si>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</si>
  <si>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</si>
  <si>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</si>
  <si>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</si>
  <si>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</si>
  <si>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</si>
  <si>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</si>
  <si>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</si>
  <si>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</si>
  <si>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</si>
  <si>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</si>
  <si>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</si>
  <si>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</si>
  <si>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</si>
  <si>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</si>
  <si>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</si>
  <si>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</si>
  <si>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</si>
  <si>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</si>
  <si>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</si>
  <si>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</si>
  <si>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</si>
  <si>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</si>
  <si>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</si>
  <si>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</si>
  <si>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</si>
  <si>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</si>
  <si>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</si>
  <si>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</si>
  <si>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</si>
  <si>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</si>
  <si>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</si>
  <si>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</si>
  <si>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</si>
  <si>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</si>
  <si>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</si>
  <si>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</si>
  <si>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</si>
  <si>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</si>
  <si>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</si>
  <si>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</si>
  <si>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</si>
  <si>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</si>
  <si>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</si>
  <si>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</si>
  <si>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</si>
  <si>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</si>
  <si>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</si>
  <si>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</si>
  <si>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</si>
  <si>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</si>
  <si>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</si>
  <si>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</si>
  <si>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</si>
  <si>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</si>
  <si>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</si>
  <si>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</si>
  <si>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</si>
  <si>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</si>
  <si>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</si>
  <si>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Can get correct answer if Eta = 1</t>
  </si>
  <si>
    <t>Don't know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</si>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</sst>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E+00"/>
    <numFmt numFmtId="165" formatCode="0.000E+00"/>
    <numFmt numFmtId="166" formatCode="0.000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4" fillId="0" borderId="0" xfId="0" applyFont="1"/>
    <xf numFmtId="0" fontId="17" fillId="0" borderId="0" xfId="0" applyFont="1"/>
    <xf numFmtId="0" fontId="17" fillId="2" borderId="0" xfId="0" applyFont="1" applyFill="1" applyAlignment="1">
      <alignment horizontal="center"/>
    </xf>
    <xf numFmtId="0" fontId="12" fillId="0" borderId="0" xfId="0" applyFont="1"/>
    <xf numFmtId="0" fontId="18" fillId="0" borderId="0" xfId="0" applyFont="1"/>
    <xf numFmtId="0" fontId="4" fillId="0" borderId="0" xfId="0" applyFont="1"/>
    <xf numFmtId="0" fontId="21" fillId="3" borderId="0" xfId="0" applyFont="1" applyFill="1"/>
    <xf numFmtId="0" fontId="22" fillId="3" borderId="0" xfId="0" applyFont="1" applyFill="1"/>
    <xf numFmtId="0" fontId="11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165" fontId="11" fillId="3" borderId="0" xfId="0" applyNumberFormat="1" applyFont="1" applyFill="1"/>
    <xf numFmtId="0" fontId="17" fillId="0" borderId="0" xfId="0" applyFont="1" applyAlignment="1">
      <alignment horizontal="center"/>
    </xf>
    <xf numFmtId="0" fontId="11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6" fillId="0" borderId="0" xfId="0" applyFont="1"/>
    <xf numFmtId="11" fontId="0" fillId="0" borderId="0" xfId="0" applyNumberFormat="1"/>
    <xf numFmtId="0" fontId="29" fillId="0" borderId="0" xfId="0" applyFont="1"/>
    <xf numFmtId="2" fontId="31" fillId="0" borderId="0" xfId="0" applyNumberFormat="1" applyFont="1"/>
    <xf numFmtId="0" fontId="31" fillId="0" borderId="0" xfId="0" applyFont="1"/>
    <xf numFmtId="166" fontId="0" fillId="0" borderId="0" xfId="0" applyNumberFormat="1"/>
    <xf numFmtId="0" fontId="11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2" fillId="6" borderId="0" xfId="0" applyFont="1" applyFill="1"/>
    <xf numFmtId="0" fontId="26" fillId="0" borderId="0" xfId="0" applyFont="1" applyAlignment="1">
      <alignment horizontal="center"/>
    </xf>
    <xf numFmtId="11" fontId="0" fillId="0" borderId="18" xfId="0" applyNumberFormat="1" applyBorder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813024"/>
        <c:axId val="1233804864"/>
      </c:lineChart>
      <c:catAx>
        <c:axId val="12338130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3380486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233804864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8130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g"/><Relationship Id="rId1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198120</xdr:colOff>
          <xdr:row>0</xdr:row>
          <xdr:rowOff>76200</xdr:rowOff>
        </xdr:from>
        <xdr:to>
          <xdr:col>12</xdr:col>
          <xdr:colOff>845820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144780</xdr:rowOff>
        </xdr:from>
        <xdr:to>
          <xdr:col>12</xdr:col>
          <xdr:colOff>1143000</xdr:colOff>
          <xdr:row>6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83820</xdr:rowOff>
        </xdr:from>
        <xdr:to>
          <xdr:col>12</xdr:col>
          <xdr:colOff>601980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14</xdr:row>
          <xdr:rowOff>60960</xdr:rowOff>
        </xdr:from>
        <xdr:to>
          <xdr:col>14</xdr:col>
          <xdr:colOff>563880</xdr:colOff>
          <xdr:row>15</xdr:row>
          <xdr:rowOff>182880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106680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25</xdr:row>
      <xdr:rowOff>145669</xdr:rowOff>
    </xdr:from>
    <xdr:to>
      <xdr:col>4</xdr:col>
      <xdr:colOff>601981</xdr:colOff>
      <xdr:row>33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25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1</xdr:row>
          <xdr:rowOff>22860</xdr:rowOff>
        </xdr:from>
        <xdr:to>
          <xdr:col>3</xdr:col>
          <xdr:colOff>609600</xdr:colOff>
          <xdr:row>4</xdr:row>
          <xdr:rowOff>45720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160020</xdr:colOff>
          <xdr:row>20</xdr:row>
          <xdr:rowOff>121920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274320</xdr:colOff>
          <xdr:row>27</xdr:row>
          <xdr:rowOff>7620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28</xdr:row>
          <xdr:rowOff>60960</xdr:rowOff>
        </xdr:from>
        <xdr:to>
          <xdr:col>11</xdr:col>
          <xdr:colOff>289560</xdr:colOff>
          <xdr:row>31</xdr:row>
          <xdr:rowOff>22860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31</xdr:row>
          <xdr:rowOff>106680</xdr:rowOff>
        </xdr:from>
        <xdr:to>
          <xdr:col>10</xdr:col>
          <xdr:colOff>541020</xdr:colOff>
          <xdr:row>34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22860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34</xdr:row>
          <xdr:rowOff>144780</xdr:rowOff>
        </xdr:from>
        <xdr:to>
          <xdr:col>8</xdr:col>
          <xdr:colOff>304800</xdr:colOff>
          <xdr:row>36</xdr:row>
          <xdr:rowOff>99060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12</xdr:row>
          <xdr:rowOff>22860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243840</xdr:colOff>
          <xdr:row>4</xdr:row>
          <xdr:rowOff>160020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8.bin"/><Relationship Id="rId13" Type="http://schemas.openxmlformats.org/officeDocument/2006/relationships/image" Target="../media/image15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2.emf"/><Relationship Id="rId12" Type="http://schemas.openxmlformats.org/officeDocument/2006/relationships/oleObject" Target="../embeddings/oleObject10.bin"/><Relationship Id="rId17" Type="http://schemas.openxmlformats.org/officeDocument/2006/relationships/image" Target="../media/image17.e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12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7.bin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5" Type="http://schemas.openxmlformats.org/officeDocument/2006/relationships/image" Target="../media/image16.emf"/><Relationship Id="rId10" Type="http://schemas.openxmlformats.org/officeDocument/2006/relationships/oleObject" Target="../embeddings/oleObject9.bin"/><Relationship Id="rId4" Type="http://schemas.openxmlformats.org/officeDocument/2006/relationships/oleObject" Target="../embeddings/oleObject6.bin"/><Relationship Id="rId9" Type="http://schemas.openxmlformats.org/officeDocument/2006/relationships/image" Target="../media/image13.emf"/><Relationship Id="rId14" Type="http://schemas.openxmlformats.org/officeDocument/2006/relationships/oleObject" Target="../embeddings/oleObject1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0.emf"/><Relationship Id="rId4" Type="http://schemas.openxmlformats.org/officeDocument/2006/relationships/oleObject" Target="../embeddings/oleObject1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4.4" x14ac:dyDescent="0.3"/>
  <cols>
    <col min="6" max="6" width="19.5546875" customWidth="1"/>
    <col min="8" max="9" width="9.109375" customWidth="1"/>
    <col min="12" max="12" width="17.5546875" customWidth="1"/>
    <col min="13" max="13" width="20.44140625" customWidth="1"/>
    <col min="15" max="15" width="4.6640625" customWidth="1"/>
    <col min="16" max="16" width="6.5546875" customWidth="1"/>
    <col min="17" max="17" width="12.44140625" customWidth="1"/>
    <col min="18" max="18" width="13.44140625" bestFit="1" customWidth="1"/>
  </cols>
  <sheetData>
    <row r="1" spans="1:18" ht="16.2" x14ac:dyDescent="0.3">
      <c r="H1" s="2" t="s">
        <v>3</v>
      </c>
      <c r="I1" s="2" t="s">
        <v>4</v>
      </c>
      <c r="J1" t="s">
        <v>5</v>
      </c>
    </row>
    <row r="2" spans="1:18" ht="18" x14ac:dyDescent="0.4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6" x14ac:dyDescent="0.3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6.2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3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3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6.2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3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3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3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399999999999999" x14ac:dyDescent="0.4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3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3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3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3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3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3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3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3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3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3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3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3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3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3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3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3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3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3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3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3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3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3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3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3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3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3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3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3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3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3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3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3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3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3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3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3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3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3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3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3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3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3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3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3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3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3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3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3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3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3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3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3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3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3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3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3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3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3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3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3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3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3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3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3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3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3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3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3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3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3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3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3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3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3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3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3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3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3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3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3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3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3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3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3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3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3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3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3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3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3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198120</xdr:colOff>
                <xdr:row>0</xdr:row>
                <xdr:rowOff>76200</xdr:rowOff>
              </from>
              <to>
                <xdr:col>12</xdr:col>
                <xdr:colOff>845820</xdr:colOff>
                <xdr:row>3</xdr:row>
                <xdr:rowOff>7620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144780</xdr:rowOff>
              </from>
              <to>
                <xdr:col>12</xdr:col>
                <xdr:colOff>1143000</xdr:colOff>
                <xdr:row>6</xdr:row>
                <xdr:rowOff>160020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4.4" x14ac:dyDescent="0.3"/>
  <cols>
    <col min="6" max="6" width="8.109375" customWidth="1"/>
    <col min="8" max="9" width="9.109375" customWidth="1"/>
    <col min="12" max="12" width="17.5546875" customWidth="1"/>
    <col min="13" max="13" width="20.44140625" customWidth="1"/>
  </cols>
  <sheetData>
    <row r="1" spans="1:14" ht="16.2" x14ac:dyDescent="0.3">
      <c r="H1" s="2" t="s">
        <v>3</v>
      </c>
      <c r="I1" s="2" t="s">
        <v>4</v>
      </c>
      <c r="J1" t="s">
        <v>5</v>
      </c>
    </row>
    <row r="2" spans="1:14" ht="18" x14ac:dyDescent="0.4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399999999999999" x14ac:dyDescent="0.4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6" x14ac:dyDescent="0.3">
      <c r="G4" s="4"/>
      <c r="K4" s="2"/>
    </row>
    <row r="5" spans="1:14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3">
      <c r="G9" t="s">
        <v>21</v>
      </c>
    </row>
    <row r="13" spans="1:14" ht="20.399999999999999" x14ac:dyDescent="0.45">
      <c r="A13" s="1" t="s">
        <v>0</v>
      </c>
    </row>
    <row r="14" spans="1:14" ht="16.2" x14ac:dyDescent="0.35">
      <c r="G14" t="s">
        <v>22</v>
      </c>
    </row>
    <row r="18" spans="7:7" x14ac:dyDescent="0.3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83820</xdr:rowOff>
              </from>
              <to>
                <xdr:col>12</xdr:col>
                <xdr:colOff>601980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30480</xdr:colOff>
                <xdr:row>14</xdr:row>
                <xdr:rowOff>60960</xdr:rowOff>
              </from>
              <to>
                <xdr:col>14</xdr:col>
                <xdr:colOff>563880</xdr:colOff>
                <xdr:row>15</xdr:row>
                <xdr:rowOff>182880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106680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4.4" x14ac:dyDescent="0.3"/>
  <cols>
    <col min="5" max="5" width="11.109375" customWidth="1"/>
    <col min="12" max="12" width="15.5546875" customWidth="1"/>
  </cols>
  <sheetData>
    <row r="2" spans="1:12" ht="18.600000000000001" x14ac:dyDescent="0.45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2" x14ac:dyDescent="0.35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" x14ac:dyDescent="0.4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" x14ac:dyDescent="0.4">
      <c r="E6" s="16" t="s">
        <v>34</v>
      </c>
      <c r="F6">
        <f>I3/B5</f>
        <v>28.076923076923077</v>
      </c>
    </row>
    <row r="7" spans="1:12" x14ac:dyDescent="0.3">
      <c r="A7" s="11" t="s">
        <v>36</v>
      </c>
      <c r="B7">
        <f>LN(E3)</f>
        <v>0.69314718055994529</v>
      </c>
    </row>
    <row r="9" spans="1:12" x14ac:dyDescent="0.3">
      <c r="A9" t="s">
        <v>35</v>
      </c>
      <c r="G9" t="s">
        <v>38</v>
      </c>
    </row>
    <row r="10" spans="1:12" ht="18" x14ac:dyDescent="0.35">
      <c r="L10" s="17">
        <f>(F6-F5)/B7</f>
        <v>1.6646481241026494</v>
      </c>
    </row>
    <row r="13" spans="1:12" ht="18" x14ac:dyDescent="0.35">
      <c r="G13" t="s">
        <v>39</v>
      </c>
      <c r="L13" s="17">
        <f>1/EXP(F5/L10)</f>
        <v>9.4616475818645175E-8</v>
      </c>
    </row>
    <row r="16" spans="1:12" x14ac:dyDescent="0.3">
      <c r="A16" t="s">
        <v>37</v>
      </c>
    </row>
    <row r="17" spans="7:12" ht="15.6" x14ac:dyDescent="0.3">
      <c r="G17" t="s">
        <v>40</v>
      </c>
      <c r="K17" t="s">
        <v>41</v>
      </c>
      <c r="L17" s="18">
        <f>(L10*B5)/E2</f>
        <v>4.328085122666888E-2</v>
      </c>
    </row>
    <row r="19" spans="7:12" ht="15.6" x14ac:dyDescent="0.3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opLeftCell="A10" zoomScale="95" zoomScaleNormal="95" workbookViewId="0">
      <selection activeCell="J8" sqref="J8"/>
    </sheetView>
  </sheetViews>
  <sheetFormatPr defaultRowHeight="14.4" x14ac:dyDescent="0.3"/>
  <cols>
    <col min="5" max="5" width="8.109375" customWidth="1"/>
    <col min="6" max="6" width="3.44140625" customWidth="1"/>
    <col min="7" max="7" width="5.109375" customWidth="1"/>
    <col min="11" max="11" width="12.5546875" bestFit="1" customWidth="1"/>
  </cols>
  <sheetData>
    <row r="2" spans="1:14" ht="18.600000000000001" x14ac:dyDescent="0.45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" x14ac:dyDescent="0.4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" x14ac:dyDescent="0.4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" x14ac:dyDescent="0.4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" x14ac:dyDescent="0.4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8.600000000000001" x14ac:dyDescent="0.45">
      <c r="B12" s="10" t="s">
        <v>48</v>
      </c>
    </row>
    <row r="14" spans="1:14" ht="18" x14ac:dyDescent="0.4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" x14ac:dyDescent="0.4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" x14ac:dyDescent="0.4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2" x14ac:dyDescent="0.35">
      <c r="B17" s="12" t="s">
        <v>49</v>
      </c>
    </row>
    <row r="18" spans="2:13" ht="16.2" x14ac:dyDescent="0.35">
      <c r="C18" s="12" t="s">
        <v>50</v>
      </c>
    </row>
    <row r="20" spans="2:13" ht="18.600000000000001" x14ac:dyDescent="0.45">
      <c r="B20" s="10" t="s">
        <v>51</v>
      </c>
      <c r="L20" t="s">
        <v>54</v>
      </c>
      <c r="M20" t="s">
        <v>54</v>
      </c>
    </row>
    <row r="21" spans="2:13" x14ac:dyDescent="0.3">
      <c r="K21" s="21" t="s">
        <v>55</v>
      </c>
      <c r="L21" s="22">
        <v>2</v>
      </c>
      <c r="M21" s="22">
        <v>1</v>
      </c>
    </row>
    <row r="22" spans="2:13" x14ac:dyDescent="0.3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3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3">
      <c r="J25" s="23" t="s">
        <v>57</v>
      </c>
      <c r="K25" s="22">
        <v>0.1</v>
      </c>
      <c r="L25" s="19">
        <f>K25/(B4*LN(K26))</f>
        <v>1.670363391935584</v>
      </c>
    </row>
    <row r="26" spans="2:13" x14ac:dyDescent="0.3">
      <c r="K26" s="22">
        <v>10</v>
      </c>
    </row>
    <row r="28" spans="2:13" x14ac:dyDescent="0.3">
      <c r="B28" t="s">
        <v>59</v>
      </c>
    </row>
    <row r="29" spans="2:13" x14ac:dyDescent="0.3">
      <c r="C29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3" workbookViewId="0">
      <selection activeCell="B23" sqref="B23"/>
    </sheetView>
  </sheetViews>
  <sheetFormatPr defaultRowHeight="14.4" x14ac:dyDescent="0.3"/>
  <cols>
    <col min="1" max="1" width="6.109375" customWidth="1"/>
    <col min="7" max="7" width="12" bestFit="1" customWidth="1"/>
    <col min="9" max="9" width="11.5546875" customWidth="1"/>
  </cols>
  <sheetData>
    <row r="2" spans="1:7" ht="18.600000000000001" x14ac:dyDescent="0.45">
      <c r="B2" s="10" t="s">
        <v>58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0.1</v>
      </c>
      <c r="C5">
        <v>-9</v>
      </c>
      <c r="D5" s="7">
        <f>B5*POWER(10,C5)</f>
        <v>1.0000000000000002E-10</v>
      </c>
      <c r="E5" s="2" t="s">
        <v>9</v>
      </c>
      <c r="G5" s="25">
        <f>(D7*D8)/(D5*EXP(D6/(D7*D8)))</f>
        <v>510095540.42730534</v>
      </c>
    </row>
    <row r="6" spans="1:7" ht="15.6" x14ac:dyDescent="0.3">
      <c r="A6" s="4" t="s">
        <v>61</v>
      </c>
      <c r="B6">
        <v>1</v>
      </c>
      <c r="C6">
        <v>-3</v>
      </c>
      <c r="D6" s="7">
        <f>B6*POWER(10,C6)</f>
        <v>1E-3</v>
      </c>
      <c r="E6" s="2" t="s">
        <v>1</v>
      </c>
      <c r="G6" s="24"/>
    </row>
    <row r="7" spans="1:7" x14ac:dyDescent="0.3">
      <c r="A7" t="s">
        <v>54</v>
      </c>
      <c r="D7">
        <v>2</v>
      </c>
      <c r="G7" t="s">
        <v>63</v>
      </c>
    </row>
    <row r="8" spans="1:7" ht="16.2" x14ac:dyDescent="0.35">
      <c r="A8" s="11" t="s">
        <v>30</v>
      </c>
      <c r="D8">
        <v>2.5999999999999999E-2</v>
      </c>
      <c r="E8" t="s">
        <v>1</v>
      </c>
      <c r="G8" s="24" t="s">
        <v>62</v>
      </c>
    </row>
    <row r="10" spans="1:7" ht="18.600000000000001" x14ac:dyDescent="0.45">
      <c r="B10" s="10" t="s">
        <v>64</v>
      </c>
    </row>
    <row r="12" spans="1:7" ht="16.2" x14ac:dyDescent="0.3">
      <c r="B12" s="2" t="s">
        <v>3</v>
      </c>
      <c r="C12" s="2" t="s">
        <v>4</v>
      </c>
      <c r="D12" t="s">
        <v>5</v>
      </c>
    </row>
    <row r="13" spans="1:7" ht="18" x14ac:dyDescent="0.4">
      <c r="A13" s="4" t="s">
        <v>8</v>
      </c>
      <c r="B13">
        <v>10</v>
      </c>
      <c r="C13">
        <v>-9</v>
      </c>
      <c r="D13" s="7">
        <f>B13*POWER(10,C13)</f>
        <v>1E-8</v>
      </c>
      <c r="E13" s="2" t="s">
        <v>9</v>
      </c>
      <c r="F13" s="21" t="s">
        <v>29</v>
      </c>
      <c r="G13" s="27">
        <f>D15*D8*LN((D14+D13)/D13)</f>
        <v>0.29933632208792593</v>
      </c>
    </row>
    <row r="14" spans="1:7" ht="15.6" x14ac:dyDescent="0.3">
      <c r="A14" s="4" t="s">
        <v>65</v>
      </c>
      <c r="B14">
        <v>1</v>
      </c>
      <c r="C14">
        <v>-3</v>
      </c>
      <c r="D14" s="7">
        <f>B14*POWER(10,C14)</f>
        <v>1E-3</v>
      </c>
      <c r="E14" s="2" t="s">
        <v>9</v>
      </c>
    </row>
    <row r="15" spans="1:7" x14ac:dyDescent="0.3">
      <c r="A15" t="s">
        <v>54</v>
      </c>
      <c r="D15">
        <v>1</v>
      </c>
    </row>
    <row r="16" spans="1:7" ht="18" x14ac:dyDescent="0.4">
      <c r="F16" s="14" t="s">
        <v>67</v>
      </c>
    </row>
    <row r="17" spans="1:11" ht="16.2" x14ac:dyDescent="0.35">
      <c r="A17" t="s">
        <v>2</v>
      </c>
      <c r="B17">
        <v>10</v>
      </c>
      <c r="C17">
        <v>3</v>
      </c>
      <c r="D17" s="7">
        <f>B17*POWER(10,C17)</f>
        <v>10000</v>
      </c>
      <c r="E17" s="26" t="s">
        <v>6</v>
      </c>
      <c r="F17" s="20" t="s">
        <v>28</v>
      </c>
      <c r="G17">
        <f>D13*(EXP((G20/2)/(D15*D8))-1)</f>
        <v>9.4036940548078711E-4</v>
      </c>
      <c r="H17" s="20" t="s">
        <v>28</v>
      </c>
      <c r="I17">
        <f>D13*(EXP((I20/2)/(D15*D8))-1)</f>
        <v>4.4362891532415388E-4</v>
      </c>
    </row>
    <row r="18" spans="1:11" ht="16.2" x14ac:dyDescent="0.35">
      <c r="A18" t="s">
        <v>2</v>
      </c>
      <c r="B18">
        <v>1</v>
      </c>
      <c r="C18">
        <v>3</v>
      </c>
      <c r="D18" s="7">
        <f>B18*POWER(10,C18)</f>
        <v>1000</v>
      </c>
      <c r="E18" s="26" t="s">
        <v>6</v>
      </c>
      <c r="F18" s="20" t="s">
        <v>66</v>
      </c>
      <c r="G18">
        <f>G20/D17</f>
        <v>5.9547558733885294E-5</v>
      </c>
      <c r="H18" s="20" t="s">
        <v>66</v>
      </c>
      <c r="I18">
        <f>I20/D18</f>
        <v>5.5640942051633313E-4</v>
      </c>
    </row>
    <row r="19" spans="1:11" ht="15.6" x14ac:dyDescent="0.3">
      <c r="F19" s="4" t="s">
        <v>65</v>
      </c>
      <c r="G19">
        <f>G17+G18</f>
        <v>9.9991696421467251E-4</v>
      </c>
      <c r="H19" s="4" t="s">
        <v>65</v>
      </c>
      <c r="I19">
        <f>I17+I18</f>
        <v>1.0000383358404869E-3</v>
      </c>
    </row>
    <row r="20" spans="1:11" x14ac:dyDescent="0.3">
      <c r="F20" s="2" t="s">
        <v>1</v>
      </c>
      <c r="G20" s="28">
        <v>0.59547558733885297</v>
      </c>
      <c r="H20" s="2" t="s">
        <v>1</v>
      </c>
      <c r="I20" s="28">
        <v>0.55640942051633313</v>
      </c>
    </row>
    <row r="21" spans="1:11" ht="16.2" x14ac:dyDescent="0.35">
      <c r="F21" s="21" t="s">
        <v>29</v>
      </c>
      <c r="G21" s="27">
        <f>G20/2</f>
        <v>0.29773779366942649</v>
      </c>
      <c r="H21" s="21" t="s">
        <v>29</v>
      </c>
      <c r="I21" s="27">
        <f>I20/2</f>
        <v>0.27820471025816657</v>
      </c>
    </row>
    <row r="23" spans="1:11" ht="18.600000000000001" x14ac:dyDescent="0.45">
      <c r="B23" s="10" t="s">
        <v>68</v>
      </c>
    </row>
    <row r="25" spans="1:11" ht="18" x14ac:dyDescent="0.4">
      <c r="A25" s="4" t="s">
        <v>65</v>
      </c>
      <c r="B25">
        <v>5</v>
      </c>
      <c r="C25">
        <v>-3</v>
      </c>
      <c r="D25" s="7">
        <f>B25*POWER(10,C25)</f>
        <v>5.0000000000000001E-3</v>
      </c>
      <c r="E25" s="2" t="s">
        <v>9</v>
      </c>
      <c r="F25" s="14" t="s">
        <v>73</v>
      </c>
    </row>
    <row r="26" spans="1:11" ht="16.2" x14ac:dyDescent="0.35">
      <c r="F26" s="20" t="s">
        <v>28</v>
      </c>
      <c r="G26">
        <f>D13*(EXP(G29/(D15*D8))-1)</f>
        <v>4.6606404783148311E-3</v>
      </c>
    </row>
    <row r="27" spans="1:11" ht="16.2" x14ac:dyDescent="0.35">
      <c r="F27" s="20" t="s">
        <v>66</v>
      </c>
      <c r="G27">
        <f>G29/D18</f>
        <v>3.3935409276567621E-4</v>
      </c>
    </row>
    <row r="28" spans="1:11" ht="15.6" x14ac:dyDescent="0.3">
      <c r="F28" s="4" t="s">
        <v>65</v>
      </c>
      <c r="G28">
        <f>G26+G27</f>
        <v>4.9999945710805073E-3</v>
      </c>
    </row>
    <row r="29" spans="1:11" ht="16.2" x14ac:dyDescent="0.35">
      <c r="F29" s="21" t="s">
        <v>69</v>
      </c>
      <c r="G29" s="27">
        <v>0.33935409276567619</v>
      </c>
      <c r="H29" s="21" t="s">
        <v>70</v>
      </c>
      <c r="I29" s="27">
        <f>D15*D8*LN((D25+D13)/D13)</f>
        <v>0.34118149981246054</v>
      </c>
      <c r="K29">
        <f>G29+I29</f>
        <v>0.68053559257813667</v>
      </c>
    </row>
    <row r="30" spans="1:11" x14ac:dyDescent="0.3">
      <c r="F30" s="21"/>
    </row>
    <row r="31" spans="1:11" x14ac:dyDescent="0.3">
      <c r="G31" t="s">
        <v>71</v>
      </c>
      <c r="I31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4.4" x14ac:dyDescent="0.3"/>
  <sheetData>
    <row r="2" spans="1:7" ht="18.600000000000001" x14ac:dyDescent="0.45">
      <c r="B2" s="10" t="s">
        <v>74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76</v>
      </c>
      <c r="G5" s="27">
        <f>$D$5*(EXP(D7/($D$6*$D$8))-1)</f>
        <v>1.1346230359332438E-2</v>
      </c>
    </row>
    <row r="6" spans="1:7" x14ac:dyDescent="0.3">
      <c r="A6" t="s">
        <v>54</v>
      </c>
      <c r="D6">
        <v>1.98</v>
      </c>
    </row>
    <row r="7" spans="1:7" x14ac:dyDescent="0.3">
      <c r="A7" t="s">
        <v>75</v>
      </c>
      <c r="D7" s="7">
        <v>0.7</v>
      </c>
      <c r="E7" t="s">
        <v>1</v>
      </c>
      <c r="F7" t="s">
        <v>77</v>
      </c>
      <c r="G7">
        <f>($D$6*$D$8)/(G5+$D$5)</f>
        <v>4.5371840999146791</v>
      </c>
    </row>
    <row r="8" spans="1:7" ht="16.2" x14ac:dyDescent="0.35">
      <c r="A8" s="11" t="s">
        <v>30</v>
      </c>
      <c r="D8">
        <v>2.5999999999999999E-2</v>
      </c>
      <c r="E8" t="s">
        <v>1</v>
      </c>
      <c r="F8" t="s">
        <v>78</v>
      </c>
      <c r="G8" s="27">
        <f>G7*2</f>
        <v>9.0743681998293582</v>
      </c>
    </row>
    <row r="10" spans="1:7" ht="16.2" x14ac:dyDescent="0.35">
      <c r="F10" s="21" t="s">
        <v>81</v>
      </c>
      <c r="G10" s="4" t="s">
        <v>82</v>
      </c>
    </row>
    <row r="11" spans="1:7" x14ac:dyDescent="0.3">
      <c r="A11" t="s">
        <v>79</v>
      </c>
      <c r="D11" s="7">
        <f>G5*1.1</f>
        <v>1.2480853395265683E-2</v>
      </c>
      <c r="F11">
        <f>$D$6*$D$8*LN((D11+$D$5)/$D$5)</f>
        <v>0.7049065622363565</v>
      </c>
      <c r="G11" s="27">
        <f>F11-$D$7</f>
        <v>4.9065622363565486E-3</v>
      </c>
    </row>
    <row r="12" spans="1:7" x14ac:dyDescent="0.3">
      <c r="A12" t="s">
        <v>80</v>
      </c>
      <c r="D12" s="7">
        <f>G5*0.9</f>
        <v>1.0211607323399194E-2</v>
      </c>
      <c r="F12">
        <f>$D$6*$D$8*LN((D12+$D$5)/$D$5)</f>
        <v>0.69457604776723092</v>
      </c>
      <c r="G12" s="27">
        <f>F12-$D$7</f>
        <v>-5.4239522327690359E-3</v>
      </c>
    </row>
    <row r="15" spans="1:7" x14ac:dyDescent="0.3">
      <c r="A15" t="s">
        <v>83</v>
      </c>
      <c r="D15" s="7">
        <f>G5*2</f>
        <v>2.2692460718664875E-2</v>
      </c>
    </row>
    <row r="17" spans="1:7" ht="18.600000000000001" x14ac:dyDescent="0.45">
      <c r="B17" s="10" t="s">
        <v>84</v>
      </c>
    </row>
    <row r="18" spans="1:7" x14ac:dyDescent="0.3">
      <c r="F18" s="9" t="s">
        <v>85</v>
      </c>
      <c r="G18">
        <f>$D$5*(EXP(D22/($D$6*$D$8))-1)</f>
        <v>1.6264117167541401E-3</v>
      </c>
    </row>
    <row r="19" spans="1:7" x14ac:dyDescent="0.3">
      <c r="F19" s="9" t="s">
        <v>87</v>
      </c>
      <c r="G19">
        <f>G5-G18</f>
        <v>9.7198186425782977E-3</v>
      </c>
    </row>
    <row r="20" spans="1:7" x14ac:dyDescent="0.3">
      <c r="F20" t="s">
        <v>2</v>
      </c>
      <c r="G20" s="27">
        <f>D22/G19</f>
        <v>61.7295468221661</v>
      </c>
    </row>
    <row r="21" spans="1:7" x14ac:dyDescent="0.3">
      <c r="F21" t="s">
        <v>89</v>
      </c>
      <c r="G21">
        <f>($D$6*$D$8)/(G18+$D$5)</f>
        <v>31.652227327660366</v>
      </c>
    </row>
    <row r="22" spans="1:7" x14ac:dyDescent="0.3">
      <c r="A22" t="s">
        <v>86</v>
      </c>
      <c r="D22" s="7">
        <v>0.6</v>
      </c>
    </row>
    <row r="23" spans="1:7" x14ac:dyDescent="0.3">
      <c r="F23" t="s">
        <v>88</v>
      </c>
      <c r="G23" s="27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4.4" x14ac:dyDescent="0.3"/>
  <cols>
    <col min="5" max="5" width="11" bestFit="1" customWidth="1"/>
  </cols>
  <sheetData>
    <row r="2" spans="1:4" ht="18.600000000000001" x14ac:dyDescent="0.45">
      <c r="B2" s="10" t="s">
        <v>90</v>
      </c>
    </row>
    <row r="11" spans="1:4" ht="15.6" x14ac:dyDescent="0.3">
      <c r="A11" s="14" t="s">
        <v>94</v>
      </c>
    </row>
    <row r="15" spans="1:4" ht="15.6" x14ac:dyDescent="0.3">
      <c r="A15" s="14" t="s">
        <v>95</v>
      </c>
    </row>
    <row r="16" spans="1:4" x14ac:dyDescent="0.3">
      <c r="A16" t="s">
        <v>54</v>
      </c>
      <c r="D16" s="7">
        <v>1.6722408026755855</v>
      </c>
    </row>
    <row r="17" spans="1:7" ht="16.2" x14ac:dyDescent="0.35">
      <c r="A17" s="11" t="s">
        <v>30</v>
      </c>
      <c r="D17">
        <v>2.5999999999999999E-2</v>
      </c>
      <c r="E17" t="s">
        <v>1</v>
      </c>
    </row>
    <row r="19" spans="1:7" x14ac:dyDescent="0.3">
      <c r="A19" t="s">
        <v>92</v>
      </c>
      <c r="D19">
        <v>0.7</v>
      </c>
    </row>
    <row r="20" spans="1:7" x14ac:dyDescent="0.3">
      <c r="A20" t="s">
        <v>91</v>
      </c>
      <c r="D20">
        <v>1E-3</v>
      </c>
    </row>
    <row r="22" spans="1:7" ht="18" x14ac:dyDescent="0.4">
      <c r="A22" s="14" t="s">
        <v>96</v>
      </c>
    </row>
    <row r="23" spans="1:7" ht="18" x14ac:dyDescent="0.4">
      <c r="E23" s="4" t="s">
        <v>97</v>
      </c>
      <c r="F23" s="4" t="s">
        <v>98</v>
      </c>
      <c r="G23" s="4" t="s">
        <v>99</v>
      </c>
    </row>
    <row r="24" spans="1:7" ht="15.6" x14ac:dyDescent="0.3">
      <c r="A24" s="14" t="s">
        <v>93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" x14ac:dyDescent="0.4">
      <c r="A26" s="14" t="s">
        <v>100</v>
      </c>
      <c r="E26" s="27">
        <f>E24*5</f>
        <v>3.6265653580610757</v>
      </c>
    </row>
    <row r="29" spans="1:7" ht="18.600000000000001" x14ac:dyDescent="0.45">
      <c r="B29" s="10" t="s">
        <v>101</v>
      </c>
    </row>
    <row r="31" spans="1:7" ht="18" x14ac:dyDescent="0.4">
      <c r="A31" s="4" t="s">
        <v>99</v>
      </c>
      <c r="D31" s="29">
        <v>10</v>
      </c>
    </row>
    <row r="32" spans="1:7" ht="18" x14ac:dyDescent="0.4">
      <c r="A32" s="4" t="s">
        <v>104</v>
      </c>
      <c r="B32">
        <v>1</v>
      </c>
      <c r="C32">
        <v>-6</v>
      </c>
      <c r="D32" s="7">
        <f>B32*POWER(10,C32)</f>
        <v>9.9999999999999995E-7</v>
      </c>
    </row>
    <row r="33" spans="1:7" ht="18" x14ac:dyDescent="0.4">
      <c r="A33" s="4" t="s">
        <v>105</v>
      </c>
      <c r="B33">
        <v>1</v>
      </c>
      <c r="C33">
        <v>-9</v>
      </c>
      <c r="D33" s="7">
        <f>B33*POWER(10,C33)</f>
        <v>1.0000000000000001E-9</v>
      </c>
    </row>
    <row r="34" spans="1:7" x14ac:dyDescent="0.3">
      <c r="A34" t="s">
        <v>54</v>
      </c>
      <c r="D34" s="7">
        <v>2</v>
      </c>
    </row>
    <row r="35" spans="1:7" x14ac:dyDescent="0.3">
      <c r="A35" t="s">
        <v>2</v>
      </c>
      <c r="D35" s="7">
        <v>1000</v>
      </c>
    </row>
    <row r="37" spans="1:7" ht="18" x14ac:dyDescent="0.4">
      <c r="D37" s="4" t="s">
        <v>102</v>
      </c>
      <c r="E37" s="4" t="s">
        <v>103</v>
      </c>
      <c r="F37" s="4" t="s">
        <v>98</v>
      </c>
      <c r="G37" s="4" t="s">
        <v>99</v>
      </c>
    </row>
    <row r="38" spans="1:7" ht="15.6" x14ac:dyDescent="0.3">
      <c r="A38" s="14" t="s">
        <v>93</v>
      </c>
      <c r="C38">
        <v>8.6972798557768856E-3</v>
      </c>
      <c r="D38" s="27">
        <f>$D$34*$D$17*LN(($C38+D32)/D32)</f>
        <v>0.47168578950309192</v>
      </c>
      <c r="E38" s="27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4.4" x14ac:dyDescent="0.3"/>
  <cols>
    <col min="2" max="2" width="5.5546875" customWidth="1"/>
    <col min="5" max="5" width="11.6640625" bestFit="1" customWidth="1"/>
    <col min="7" max="7" width="7.109375" customWidth="1"/>
    <col min="8" max="8" width="12.5546875" customWidth="1"/>
    <col min="9" max="9" width="6.5546875" customWidth="1"/>
    <col min="13" max="13" width="7.5546875" customWidth="1"/>
    <col min="14" max="14" width="13.88671875" customWidth="1"/>
    <col min="17" max="17" width="14.44140625" customWidth="1"/>
  </cols>
  <sheetData>
    <row r="2" spans="1:14" x14ac:dyDescent="0.3">
      <c r="A2" t="s">
        <v>116</v>
      </c>
      <c r="H2" t="s">
        <v>123</v>
      </c>
    </row>
    <row r="3" spans="1:14" x14ac:dyDescent="0.3">
      <c r="A3" t="s">
        <v>117</v>
      </c>
      <c r="B3" s="47" t="s">
        <v>118</v>
      </c>
      <c r="H3" t="s">
        <v>124</v>
      </c>
    </row>
    <row r="4" spans="1:14" x14ac:dyDescent="0.3">
      <c r="B4" s="47" t="s">
        <v>122</v>
      </c>
      <c r="H4" t="s">
        <v>125</v>
      </c>
    </row>
    <row r="5" spans="1:14" x14ac:dyDescent="0.3">
      <c r="B5" s="47"/>
      <c r="C5" s="47" t="s">
        <v>119</v>
      </c>
    </row>
    <row r="6" spans="1:14" x14ac:dyDescent="0.3">
      <c r="C6" t="s">
        <v>120</v>
      </c>
      <c r="H6" t="s">
        <v>126</v>
      </c>
    </row>
    <row r="7" spans="1:14" x14ac:dyDescent="0.3">
      <c r="A7" t="s">
        <v>121</v>
      </c>
      <c r="H7" t="s">
        <v>127</v>
      </c>
    </row>
    <row r="9" spans="1:14" ht="15" thickBot="1" x14ac:dyDescent="0.35"/>
    <row r="10" spans="1:14" ht="18" x14ac:dyDescent="0.4">
      <c r="G10" s="4" t="s">
        <v>106</v>
      </c>
      <c r="H10" s="7">
        <v>4</v>
      </c>
      <c r="J10" s="30">
        <v>1</v>
      </c>
      <c r="K10" s="31">
        <v>1</v>
      </c>
      <c r="L10" s="32">
        <v>-1</v>
      </c>
      <c r="N10" s="48">
        <v>0</v>
      </c>
    </row>
    <row r="11" spans="1:14" ht="18" x14ac:dyDescent="0.4">
      <c r="G11" s="4" t="s">
        <v>107</v>
      </c>
      <c r="H11" s="7">
        <v>5</v>
      </c>
      <c r="I11" s="26" t="s">
        <v>111</v>
      </c>
      <c r="J11" s="33">
        <f>R_a</f>
        <v>9.9999999999999995E-7</v>
      </c>
      <c r="K11" s="34">
        <f>-R_n-R_a</f>
        <v>-1000.000001</v>
      </c>
      <c r="L11" s="35">
        <v>0</v>
      </c>
      <c r="N11" s="49">
        <f>V_2-V_1</f>
        <v>1</v>
      </c>
    </row>
    <row r="12" spans="1:14" ht="18.600000000000001" thickBot="1" x14ac:dyDescent="0.45">
      <c r="G12" s="4" t="s">
        <v>108</v>
      </c>
      <c r="H12" s="7">
        <v>3</v>
      </c>
      <c r="J12" s="36">
        <v>0</v>
      </c>
      <c r="K12" s="37">
        <f>R_n+R_a</f>
        <v>1000.000001</v>
      </c>
      <c r="L12" s="38">
        <f>R_a</f>
        <v>9.9999999999999995E-7</v>
      </c>
      <c r="N12" s="50">
        <f>V_3-V_2</f>
        <v>-2</v>
      </c>
    </row>
    <row r="13" spans="1:14" ht="15.6" x14ac:dyDescent="0.3">
      <c r="G13" s="4"/>
      <c r="J13" s="34"/>
      <c r="K13" s="34"/>
      <c r="L13" s="34"/>
      <c r="N13" s="34"/>
    </row>
    <row r="15" spans="1:14" ht="18" x14ac:dyDescent="0.4">
      <c r="G15" s="4" t="s">
        <v>109</v>
      </c>
      <c r="H15" s="7">
        <v>1000</v>
      </c>
      <c r="J15" s="39">
        <f t="array" ref="J15:L17">MINVERSE(J10:L12)</f>
        <v>0.49999999974999992</v>
      </c>
      <c r="K15" s="40">
        <v>500000.00025000004</v>
      </c>
      <c r="L15" s="41">
        <v>499999.99974999996</v>
      </c>
      <c r="M15" s="26" t="s">
        <v>113</v>
      </c>
      <c r="N15" s="51">
        <f t="array" ref="N15:N17">MMULT(J15:L17,N10:N12)</f>
        <v>-499999.99924999988</v>
      </c>
    </row>
    <row r="16" spans="1:14" ht="18.600000000000001" x14ac:dyDescent="0.4">
      <c r="G16" s="4" t="s">
        <v>110</v>
      </c>
      <c r="H16" s="7">
        <v>9.9999999999999995E-7</v>
      </c>
      <c r="I16" s="26" t="s">
        <v>112</v>
      </c>
      <c r="J16" s="42">
        <v>4.9999999924999992E-10</v>
      </c>
      <c r="K16" s="34">
        <v>-4.9999999925000001E-4</v>
      </c>
      <c r="L16" s="43">
        <v>4.999999992499999E-4</v>
      </c>
      <c r="M16" s="26" t="s">
        <v>114</v>
      </c>
      <c r="N16" s="51">
        <v>-1.4999999977499999E-3</v>
      </c>
    </row>
    <row r="17" spans="1:14" ht="16.2" x14ac:dyDescent="0.35">
      <c r="J17" s="44">
        <v>-0.49999999975000003</v>
      </c>
      <c r="K17" s="45">
        <v>499999.99975000002</v>
      </c>
      <c r="L17" s="46">
        <v>500000.00024999998</v>
      </c>
      <c r="M17" s="26" t="s">
        <v>115</v>
      </c>
      <c r="N17" s="51">
        <v>-500000.00074999995</v>
      </c>
    </row>
    <row r="21" spans="1:14" x14ac:dyDescent="0.3">
      <c r="A21" t="s">
        <v>130</v>
      </c>
    </row>
    <row r="22" spans="1:14" x14ac:dyDescent="0.3">
      <c r="A22" t="s">
        <v>128</v>
      </c>
    </row>
    <row r="23" spans="1:14" x14ac:dyDescent="0.3">
      <c r="A23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38" zoomScaleNormal="100" workbookViewId="0">
      <selection activeCell="P44" sqref="P44"/>
    </sheetView>
  </sheetViews>
  <sheetFormatPr defaultRowHeight="14.4" x14ac:dyDescent="0.3"/>
  <cols>
    <col min="5" max="5" width="12.33203125" customWidth="1"/>
  </cols>
  <sheetData>
    <row r="8" spans="1:10" x14ac:dyDescent="0.3">
      <c r="A8" t="s">
        <v>160</v>
      </c>
      <c r="G8" t="s">
        <v>162</v>
      </c>
    </row>
    <row r="9" spans="1:10" ht="16.2" x14ac:dyDescent="0.35">
      <c r="A9" t="s">
        <v>157</v>
      </c>
      <c r="D9" s="52" t="s">
        <v>147</v>
      </c>
      <c r="E9">
        <v>20</v>
      </c>
      <c r="G9" t="s">
        <v>150</v>
      </c>
      <c r="I9" s="52" t="s">
        <v>149</v>
      </c>
      <c r="J9">
        <v>100</v>
      </c>
    </row>
    <row r="10" spans="1:10" ht="16.2" x14ac:dyDescent="0.35">
      <c r="A10" t="s">
        <v>156</v>
      </c>
      <c r="D10" s="52" t="s">
        <v>152</v>
      </c>
      <c r="E10">
        <v>2000</v>
      </c>
      <c r="G10" t="s">
        <v>159</v>
      </c>
      <c r="I10" s="52" t="s">
        <v>154</v>
      </c>
      <c r="J10">
        <v>20</v>
      </c>
    </row>
    <row r="11" spans="1:10" ht="16.2" x14ac:dyDescent="0.35">
      <c r="D11" s="54" t="s">
        <v>164</v>
      </c>
      <c r="E11" s="55">
        <f>E9*(E13/(E10+E13))</f>
        <v>19.960079840319359</v>
      </c>
      <c r="I11" s="54" t="s">
        <v>165</v>
      </c>
      <c r="J11" s="56">
        <f>E11*J9</f>
        <v>1996.0079840319358</v>
      </c>
    </row>
    <row r="12" spans="1:10" x14ac:dyDescent="0.3">
      <c r="A12" t="s">
        <v>161</v>
      </c>
      <c r="G12" t="s">
        <v>163</v>
      </c>
    </row>
    <row r="13" spans="1:10" ht="16.2" x14ac:dyDescent="0.35">
      <c r="A13" t="s">
        <v>155</v>
      </c>
      <c r="D13" s="52" t="s">
        <v>151</v>
      </c>
      <c r="E13" s="53">
        <v>1000000</v>
      </c>
      <c r="G13" t="s">
        <v>158</v>
      </c>
      <c r="I13" s="52" t="s">
        <v>153</v>
      </c>
      <c r="J13">
        <v>10</v>
      </c>
    </row>
    <row r="14" spans="1:10" ht="16.2" x14ac:dyDescent="0.35">
      <c r="G14" t="s">
        <v>148</v>
      </c>
      <c r="I14" s="52" t="s">
        <v>146</v>
      </c>
      <c r="J14">
        <f>J11*(J13/(J13+J10))</f>
        <v>665.33599467731187</v>
      </c>
    </row>
    <row r="18" spans="5:10" ht="16.2" x14ac:dyDescent="0.35">
      <c r="I18" s="52" t="s">
        <v>151</v>
      </c>
      <c r="J18" s="53">
        <v>1000000</v>
      </c>
    </row>
    <row r="19" spans="5:10" ht="16.2" x14ac:dyDescent="0.35">
      <c r="E19" s="57">
        <f>1/(1+J18/(J19+J20*J18))</f>
        <v>0.99009901186158167</v>
      </c>
      <c r="I19" s="52" t="s">
        <v>154</v>
      </c>
      <c r="J19">
        <v>20</v>
      </c>
    </row>
    <row r="20" spans="5:10" ht="16.2" x14ac:dyDescent="0.35">
      <c r="I20" s="52" t="s">
        <v>149</v>
      </c>
      <c r="J20">
        <v>100</v>
      </c>
    </row>
    <row r="25" spans="5:10" x14ac:dyDescent="0.3">
      <c r="E25" s="57">
        <f>1/(1+1/J20)</f>
        <v>0.99009900990099009</v>
      </c>
    </row>
    <row r="39" spans="8:16" ht="16.2" x14ac:dyDescent="0.35">
      <c r="H39" s="52" t="s">
        <v>151</v>
      </c>
      <c r="I39" s="53">
        <v>1000000</v>
      </c>
      <c r="K39" s="52" t="s">
        <v>166</v>
      </c>
      <c r="L39">
        <v>1000</v>
      </c>
    </row>
    <row r="40" spans="8:16" ht="16.2" x14ac:dyDescent="0.35">
      <c r="H40" s="52" t="s">
        <v>154</v>
      </c>
      <c r="I40">
        <v>20</v>
      </c>
      <c r="K40" s="52" t="s">
        <v>167</v>
      </c>
      <c r="L40">
        <v>5000</v>
      </c>
    </row>
    <row r="41" spans="8:16" ht="16.2" x14ac:dyDescent="0.35">
      <c r="H41" s="52" t="s">
        <v>147</v>
      </c>
      <c r="I41">
        <v>1</v>
      </c>
    </row>
    <row r="42" spans="8:16" x14ac:dyDescent="0.3">
      <c r="H42" s="52" t="s">
        <v>9</v>
      </c>
      <c r="I42">
        <v>100</v>
      </c>
      <c r="M42" t="s">
        <v>168</v>
      </c>
    </row>
    <row r="44" spans="8:16" x14ac:dyDescent="0.3">
      <c r="H44" s="39">
        <f>-1/L40</f>
        <v>-2.0000000000000001E-4</v>
      </c>
      <c r="I44" s="59">
        <f>1/L39+1/L40-1/I39</f>
        <v>1.1990000000000002E-3</v>
      </c>
      <c r="K44" s="60">
        <f>I41/L39</f>
        <v>1E-3</v>
      </c>
      <c r="M44">
        <f t="array" ref="M44:N45">MINVERSE(H44:I45)</f>
        <v>-4716.1259663492838</v>
      </c>
      <c r="N44">
        <v>1.1309722456203832</v>
      </c>
      <c r="P44" s="58">
        <f t="array" ref="P44:P45">MMULT(M44:N45,K44:K45)</f>
        <v>-4.716125966349284</v>
      </c>
    </row>
    <row r="45" spans="8:16" x14ac:dyDescent="0.3">
      <c r="H45" s="44">
        <f>1/L40+1/I40</f>
        <v>5.0200000000000002E-2</v>
      </c>
      <c r="I45" s="46">
        <f>I42/I40-1/L40</f>
        <v>4.9997999999999996</v>
      </c>
      <c r="K45" s="61">
        <v>0</v>
      </c>
      <c r="M45">
        <v>47.35179877409778</v>
      </c>
      <c r="N45">
        <v>0.18865258475736166</v>
      </c>
      <c r="P45" s="58">
        <v>4.7351798774097779E-2</v>
      </c>
    </row>
    <row r="49" spans="8:18" ht="16.2" x14ac:dyDescent="0.35">
      <c r="H49" s="52" t="s">
        <v>151</v>
      </c>
      <c r="I49" s="53">
        <v>1000000</v>
      </c>
      <c r="K49" s="52" t="s">
        <v>166</v>
      </c>
      <c r="L49">
        <v>1000</v>
      </c>
    </row>
    <row r="50" spans="8:18" ht="16.2" x14ac:dyDescent="0.35">
      <c r="H50" s="52" t="s">
        <v>154</v>
      </c>
      <c r="I50">
        <v>20</v>
      </c>
      <c r="K50" s="52" t="s">
        <v>169</v>
      </c>
      <c r="L50">
        <v>5000</v>
      </c>
    </row>
    <row r="51" spans="8:18" ht="16.2" x14ac:dyDescent="0.35">
      <c r="H51" s="52" t="s">
        <v>147</v>
      </c>
      <c r="I51">
        <v>1</v>
      </c>
    </row>
    <row r="52" spans="8:18" x14ac:dyDescent="0.3">
      <c r="H52" s="52" t="s">
        <v>9</v>
      </c>
      <c r="I52">
        <v>100</v>
      </c>
    </row>
    <row r="53" spans="8:18" x14ac:dyDescent="0.3">
      <c r="P53" t="s">
        <v>170</v>
      </c>
      <c r="R53" t="s">
        <v>171</v>
      </c>
    </row>
    <row r="55" spans="8:18" x14ac:dyDescent="0.3">
      <c r="H55">
        <f>-1/L50</f>
        <v>-2.0000000000000001E-4</v>
      </c>
      <c r="I55" s="53">
        <f>1/I49+1/L50+1/L49</f>
        <v>1.201E-3</v>
      </c>
      <c r="K55" s="53">
        <f>I51/I49</f>
        <v>9.9999999999999995E-7</v>
      </c>
      <c r="M55">
        <f t="array" ref="M55:N56">MINVERSE(H55:I56)</f>
        <v>-4715.6793745476298</v>
      </c>
      <c r="N55">
        <v>1.1327514958261753</v>
      </c>
      <c r="P55" s="58">
        <f t="array" ref="P55:P56">MMULT(M55:N56,K55:K56)</f>
        <v>5.6590417997563289</v>
      </c>
      <c r="R55">
        <f>1+L50/L49</f>
        <v>6</v>
      </c>
    </row>
    <row r="56" spans="8:18" x14ac:dyDescent="0.3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8">
        <v>0.94322094916841326</v>
      </c>
    </row>
    <row r="57" spans="8:18" x14ac:dyDescent="0.3">
      <c r="R57" t="s">
        <v>172</v>
      </c>
    </row>
    <row r="59" spans="8:18" x14ac:dyDescent="0.3">
      <c r="L59" t="s">
        <v>173</v>
      </c>
      <c r="M59">
        <f>L49/(L49+L50)</f>
        <v>0.16666666666666666</v>
      </c>
      <c r="R59">
        <f>(P55-R55)/R55</f>
        <v>-5.682636670727851E-2</v>
      </c>
    </row>
    <row r="61" spans="8:18" x14ac:dyDescent="0.3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220980</xdr:colOff>
                <xdr:row>1</xdr:row>
                <xdr:rowOff>22860</xdr:rowOff>
              </from>
              <to>
                <xdr:col>3</xdr:col>
                <xdr:colOff>609600</xdr:colOff>
                <xdr:row>4</xdr:row>
                <xdr:rowOff>45720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160020</xdr:colOff>
                <xdr:row>20</xdr:row>
                <xdr:rowOff>121920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274320</xdr:colOff>
                <xdr:row>27</xdr:row>
                <xdr:rowOff>7620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22860</xdr:colOff>
                <xdr:row>28</xdr:row>
                <xdr:rowOff>60960</xdr:rowOff>
              </from>
              <to>
                <xdr:col>11</xdr:col>
                <xdr:colOff>289560</xdr:colOff>
                <xdr:row>31</xdr:row>
                <xdr:rowOff>22860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22860</xdr:colOff>
                <xdr:row>31</xdr:row>
                <xdr:rowOff>106680</xdr:rowOff>
              </from>
              <to>
                <xdr:col>10</xdr:col>
                <xdr:colOff>541020</xdr:colOff>
                <xdr:row>34</xdr:row>
                <xdr:rowOff>60960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22860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594360</xdr:colOff>
                <xdr:row>34</xdr:row>
                <xdr:rowOff>144780</xdr:rowOff>
              </from>
              <to>
                <xdr:col>8</xdr:col>
                <xdr:colOff>304800</xdr:colOff>
                <xdr:row>36</xdr:row>
                <xdr:rowOff>99060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4.4" x14ac:dyDescent="0.3"/>
  <sheetData>
    <row r="4" spans="2:8" ht="16.2" x14ac:dyDescent="0.35">
      <c r="B4" s="52" t="s">
        <v>151</v>
      </c>
      <c r="C4" s="53">
        <v>1000000</v>
      </c>
      <c r="E4" s="52" t="s">
        <v>166</v>
      </c>
      <c r="F4">
        <v>1000</v>
      </c>
      <c r="G4" s="52" t="s">
        <v>175</v>
      </c>
      <c r="H4">
        <v>1000</v>
      </c>
    </row>
    <row r="5" spans="2:8" ht="16.2" x14ac:dyDescent="0.35">
      <c r="B5" s="52" t="s">
        <v>154</v>
      </c>
      <c r="C5">
        <v>20</v>
      </c>
      <c r="E5" s="52" t="s">
        <v>167</v>
      </c>
      <c r="F5">
        <v>5000</v>
      </c>
      <c r="G5" s="52" t="s">
        <v>176</v>
      </c>
      <c r="H5">
        <v>5000</v>
      </c>
    </row>
    <row r="6" spans="2:8" x14ac:dyDescent="0.3">
      <c r="B6" s="52" t="s">
        <v>9</v>
      </c>
      <c r="C6">
        <v>100</v>
      </c>
    </row>
    <row r="8" spans="2:8" ht="16.2" x14ac:dyDescent="0.35">
      <c r="B8" s="52" t="s">
        <v>147</v>
      </c>
      <c r="C8">
        <v>10</v>
      </c>
    </row>
    <row r="9" spans="2:8" ht="16.2" x14ac:dyDescent="0.35">
      <c r="B9" s="52" t="s">
        <v>174</v>
      </c>
      <c r="C9">
        <v>5</v>
      </c>
    </row>
    <row r="10" spans="2:8" x14ac:dyDescent="0.3">
      <c r="E10" s="39">
        <f>-1/F5</f>
        <v>-2.0000000000000001E-4</v>
      </c>
      <c r="F10" s="62">
        <f>1/F4+1/F5-1/C4</f>
        <v>1.1990000000000002E-3</v>
      </c>
      <c r="G10" s="59">
        <f>1/C4</f>
        <v>9.9999999999999995E-7</v>
      </c>
      <c r="H10">
        <f>C8/F4</f>
        <v>0.01</v>
      </c>
    </row>
    <row r="11" spans="2:8" x14ac:dyDescent="0.3">
      <c r="E11" s="42">
        <v>0</v>
      </c>
      <c r="F11" s="63">
        <f>1/C4</f>
        <v>9.9999999999999995E-7</v>
      </c>
      <c r="G11" s="64">
        <f>1/H4-1/C4+1/H5</f>
        <v>1.1990000000000002E-3</v>
      </c>
      <c r="H11">
        <f>C9/H4</f>
        <v>5.0000000000000001E-3</v>
      </c>
    </row>
    <row r="12" spans="2:8" x14ac:dyDescent="0.3">
      <c r="E12" s="44">
        <f>1/C5+1/F5</f>
        <v>5.0200000000000002E-2</v>
      </c>
      <c r="F12" s="45">
        <f>C6/C5-1/F5</f>
        <v>4.9997999999999996</v>
      </c>
      <c r="G12" s="46">
        <f>-C6/C5</f>
        <v>-5</v>
      </c>
      <c r="H12">
        <v>0</v>
      </c>
    </row>
    <row r="14" spans="2:8" x14ac:dyDescent="0.3">
      <c r="E14">
        <f t="array" ref="E14:G16">MINVERSE(E10:G12)</f>
        <v>-4716.3493028909952</v>
      </c>
      <c r="F14">
        <v>4716.5376499674312</v>
      </c>
      <c r="G14">
        <v>1.130082458601614</v>
      </c>
      <c r="H14" s="58">
        <f t="array" ref="H14:H16">MMULT(E14:G16,H10:H12)</f>
        <v>-23.580804779072796</v>
      </c>
    </row>
    <row r="15" spans="2:8" x14ac:dyDescent="0.3">
      <c r="E15">
        <v>47.314577884487527</v>
      </c>
      <c r="F15">
        <v>786.05017283123914</v>
      </c>
      <c r="G15">
        <v>0.18850429436050806</v>
      </c>
      <c r="H15" s="65">
        <v>4.4033966430010709</v>
      </c>
    </row>
    <row r="16" spans="2:8" x14ac:dyDescent="0.3">
      <c r="E16">
        <v>-3.946169965345081E-2</v>
      </c>
      <c r="F16">
        <v>833.3727688299989</v>
      </c>
      <c r="G16">
        <v>-1.5721792690617852E-4</v>
      </c>
      <c r="H16" s="65">
        <v>4.1664692271534598</v>
      </c>
    </row>
    <row r="17" spans="2:2" x14ac:dyDescent="0.3">
      <c r="B17" s="58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373380</xdr:colOff>
                <xdr:row>12</xdr:row>
                <xdr:rowOff>22860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4.4" x14ac:dyDescent="0.3"/>
  <cols>
    <col min="4" max="4" width="9" bestFit="1" customWidth="1"/>
    <col min="5" max="6" width="12" bestFit="1" customWidth="1"/>
  </cols>
  <sheetData>
    <row r="3" spans="2:14" x14ac:dyDescent="0.3">
      <c r="I3">
        <v>3000</v>
      </c>
      <c r="J3" t="s">
        <v>134</v>
      </c>
      <c r="K3">
        <f>1/I3</f>
        <v>3.3333333333333332E-4</v>
      </c>
      <c r="M3" t="s">
        <v>139</v>
      </c>
      <c r="N3">
        <v>8.0000000000000002E-3</v>
      </c>
    </row>
    <row r="4" spans="2:14" x14ac:dyDescent="0.3">
      <c r="B4" t="s">
        <v>131</v>
      </c>
      <c r="C4">
        <f>1/1000</f>
        <v>1E-3</v>
      </c>
      <c r="I4">
        <v>6000</v>
      </c>
      <c r="J4" t="s">
        <v>135</v>
      </c>
      <c r="K4">
        <f t="shared" ref="K4:K7" si="0">1/I4</f>
        <v>1.6666666666666666E-4</v>
      </c>
      <c r="M4" t="s">
        <v>140</v>
      </c>
      <c r="N4">
        <v>2E-3</v>
      </c>
    </row>
    <row r="5" spans="2:14" x14ac:dyDescent="0.3">
      <c r="B5" t="s">
        <v>132</v>
      </c>
      <c r="C5">
        <f>1/2000</f>
        <v>5.0000000000000001E-4</v>
      </c>
      <c r="I5">
        <v>6000</v>
      </c>
      <c r="J5" t="s">
        <v>136</v>
      </c>
      <c r="K5">
        <f t="shared" si="0"/>
        <v>1.6666666666666666E-4</v>
      </c>
    </row>
    <row r="6" spans="2:14" x14ac:dyDescent="0.3">
      <c r="B6" t="s">
        <v>133</v>
      </c>
      <c r="C6">
        <f>1/4000</f>
        <v>2.5000000000000001E-4</v>
      </c>
      <c r="I6">
        <v>2000</v>
      </c>
      <c r="J6" t="s">
        <v>137</v>
      </c>
      <c r="K6">
        <f t="shared" si="0"/>
        <v>5.0000000000000001E-4</v>
      </c>
    </row>
    <row r="7" spans="2:14" x14ac:dyDescent="0.3">
      <c r="I7">
        <v>1000</v>
      </c>
      <c r="J7" t="s">
        <v>138</v>
      </c>
      <c r="K7">
        <f t="shared" si="0"/>
        <v>1E-3</v>
      </c>
    </row>
    <row r="9" spans="2:14" x14ac:dyDescent="0.3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3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3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3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3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3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3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3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3">
      <c r="A21" t="s">
        <v>141</v>
      </c>
      <c r="B21">
        <v>9000</v>
      </c>
      <c r="D21" s="39">
        <f>B23+B24</f>
        <v>10000</v>
      </c>
      <c r="E21" s="40">
        <v>0</v>
      </c>
      <c r="F21" s="41">
        <f>-B24</f>
        <v>-6000</v>
      </c>
      <c r="G21">
        <v>-6</v>
      </c>
      <c r="I21">
        <v>3000</v>
      </c>
      <c r="J21" t="s">
        <v>134</v>
      </c>
      <c r="K21">
        <f>1/I21</f>
        <v>3.3333333333333332E-4</v>
      </c>
      <c r="M21" t="s">
        <v>139</v>
      </c>
      <c r="N21">
        <v>8.0000000000000002E-3</v>
      </c>
    </row>
    <row r="22" spans="1:14" x14ac:dyDescent="0.3">
      <c r="A22" t="s">
        <v>142</v>
      </c>
      <c r="B22">
        <v>3000</v>
      </c>
      <c r="D22" s="42">
        <v>0</v>
      </c>
      <c r="E22" s="34">
        <f>B21+B22</f>
        <v>12000</v>
      </c>
      <c r="F22" s="43">
        <f>-B22</f>
        <v>-3000</v>
      </c>
      <c r="G22">
        <v>6</v>
      </c>
      <c r="I22">
        <v>6000</v>
      </c>
      <c r="J22" t="s">
        <v>135</v>
      </c>
      <c r="K22">
        <f t="shared" ref="K22:K24" si="1">1/I22</f>
        <v>1.6666666666666666E-4</v>
      </c>
      <c r="M22" t="s">
        <v>140</v>
      </c>
      <c r="N22">
        <v>2E-3</v>
      </c>
    </row>
    <row r="23" spans="1:14" x14ac:dyDescent="0.3">
      <c r="A23" t="s">
        <v>143</v>
      </c>
      <c r="B23">
        <v>4000</v>
      </c>
      <c r="D23" s="44">
        <f>-B24</f>
        <v>-6000</v>
      </c>
      <c r="E23" s="45">
        <f>-B22</f>
        <v>-3000</v>
      </c>
      <c r="F23" s="46">
        <f>B22+B24+B25</f>
        <v>21000</v>
      </c>
      <c r="G23">
        <v>0</v>
      </c>
      <c r="I23">
        <v>2000</v>
      </c>
      <c r="J23" t="s">
        <v>136</v>
      </c>
      <c r="K23">
        <f t="shared" si="1"/>
        <v>5.0000000000000001E-4</v>
      </c>
    </row>
    <row r="24" spans="1:14" x14ac:dyDescent="0.3">
      <c r="A24" t="s">
        <v>144</v>
      </c>
      <c r="B24">
        <v>6000</v>
      </c>
      <c r="I24">
        <v>1000</v>
      </c>
      <c r="J24" t="s">
        <v>137</v>
      </c>
      <c r="K24">
        <f t="shared" si="1"/>
        <v>1E-3</v>
      </c>
    </row>
    <row r="25" spans="1:14" x14ac:dyDescent="0.3">
      <c r="A25" t="s">
        <v>145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3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3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3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3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3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tabSelected="1" workbookViewId="0">
      <selection activeCell="L22" sqref="L22"/>
    </sheetView>
  </sheetViews>
  <sheetFormatPr defaultRowHeight="14.4" x14ac:dyDescent="0.3"/>
  <sheetData>
    <row r="3" spans="2:13" ht="16.2" x14ac:dyDescent="0.35">
      <c r="B3" s="52" t="s">
        <v>151</v>
      </c>
      <c r="C3" s="53">
        <v>1000000</v>
      </c>
      <c r="E3" s="52" t="s">
        <v>166</v>
      </c>
      <c r="F3">
        <v>1000</v>
      </c>
      <c r="G3" s="52"/>
    </row>
    <row r="4" spans="2:13" ht="16.2" x14ac:dyDescent="0.35">
      <c r="B4" s="52" t="s">
        <v>154</v>
      </c>
      <c r="C4">
        <v>20</v>
      </c>
      <c r="E4" s="52" t="s">
        <v>167</v>
      </c>
      <c r="F4">
        <v>5000</v>
      </c>
      <c r="G4" s="52"/>
    </row>
    <row r="5" spans="2:13" ht="16.2" x14ac:dyDescent="0.35">
      <c r="B5" s="52" t="s">
        <v>9</v>
      </c>
      <c r="C5">
        <v>100</v>
      </c>
      <c r="E5" s="52" t="s">
        <v>178</v>
      </c>
      <c r="F5">
        <v>2000</v>
      </c>
    </row>
    <row r="7" spans="2:13" ht="16.2" x14ac:dyDescent="0.35">
      <c r="B7" s="52" t="s">
        <v>177</v>
      </c>
      <c r="C7">
        <v>1</v>
      </c>
      <c r="J7" s="58">
        <f>(C7-C8)*(1+F4/F3+(2*F4)/F5)</f>
        <v>-11</v>
      </c>
    </row>
    <row r="8" spans="2:13" ht="16.2" x14ac:dyDescent="0.35">
      <c r="B8" s="52" t="s">
        <v>174</v>
      </c>
      <c r="C8">
        <v>2</v>
      </c>
    </row>
    <row r="10" spans="2:13" x14ac:dyDescent="0.3">
      <c r="E10" s="39">
        <f>1/C4+1/F4</f>
        <v>5.0200000000000002E-2</v>
      </c>
      <c r="F10" s="40">
        <f>C5/C4-1/F4</f>
        <v>4.9997999999999996</v>
      </c>
      <c r="G10" s="40">
        <v>0</v>
      </c>
      <c r="H10" s="41">
        <v>0</v>
      </c>
      <c r="I10" s="53"/>
      <c r="J10">
        <f>C5*C7/C4</f>
        <v>5</v>
      </c>
    </row>
    <row r="11" spans="2:13" x14ac:dyDescent="0.3">
      <c r="E11" s="42">
        <f>-1/F4</f>
        <v>-2.0000000000000001E-4</v>
      </c>
      <c r="F11" s="63">
        <f>1/C3+1/F4+1/F5+1/F3</f>
        <v>1.701E-3</v>
      </c>
      <c r="G11" s="34">
        <f>-1/F5</f>
        <v>-5.0000000000000001E-4</v>
      </c>
      <c r="H11" s="43">
        <f>-1/F3</f>
        <v>-1E-3</v>
      </c>
      <c r="J11" s="53">
        <f>C7/C3</f>
        <v>9.9999999999999995E-7</v>
      </c>
    </row>
    <row r="12" spans="2:13" x14ac:dyDescent="0.3">
      <c r="E12" s="42">
        <v>0</v>
      </c>
      <c r="F12" s="34">
        <f>-1/F3</f>
        <v>-1E-3</v>
      </c>
      <c r="G12" s="63">
        <f>C5/C4-1/F3</f>
        <v>4.9989999999999997</v>
      </c>
      <c r="H12" s="43">
        <f>1/C4+2/F3</f>
        <v>5.2000000000000005E-2</v>
      </c>
      <c r="I12" s="53"/>
      <c r="J12">
        <f>C5*C8/C4</f>
        <v>10</v>
      </c>
    </row>
    <row r="13" spans="2:13" x14ac:dyDescent="0.3">
      <c r="E13" s="44">
        <v>0</v>
      </c>
      <c r="F13" s="45">
        <f>-1/F5</f>
        <v>-5.0000000000000001E-4</v>
      </c>
      <c r="G13" s="67">
        <f>1/C3+1/F4+1/F5+1/F3</f>
        <v>1.701E-3</v>
      </c>
      <c r="H13" s="46">
        <f>-1/F3</f>
        <v>-1E-3</v>
      </c>
      <c r="J13" s="53">
        <f>C8/C3</f>
        <v>1.9999999999999999E-6</v>
      </c>
    </row>
    <row r="15" spans="2:13" ht="16.2" x14ac:dyDescent="0.35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8">
        <f t="array" ref="J15:J18">MMULT(E15:H18,J10:J13)</f>
        <v>-9.6222788732781108</v>
      </c>
      <c r="K15" s="66" t="s">
        <v>179</v>
      </c>
      <c r="M15">
        <f>J15</f>
        <v>-9.6222788732781108</v>
      </c>
    </row>
    <row r="16" spans="2:13" ht="16.2" x14ac:dyDescent="0.35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8">
        <v>1.0966515459495503</v>
      </c>
      <c r="K16" s="66" t="s">
        <v>180</v>
      </c>
      <c r="M16">
        <f>J16</f>
        <v>1.0966515459495503</v>
      </c>
    </row>
    <row r="17" spans="5:13" ht="16.2" x14ac:dyDescent="0.35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8">
        <v>1.9714610755522881</v>
      </c>
      <c r="K17" s="66" t="s">
        <v>181</v>
      </c>
      <c r="M17">
        <f>J18</f>
        <v>2.8031295165396668</v>
      </c>
    </row>
    <row r="18" spans="5:13" ht="16.2" x14ac:dyDescent="0.35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8">
        <v>2.8031295165396668</v>
      </c>
      <c r="K18" s="66" t="s">
        <v>182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243840</xdr:colOff>
                <xdr:row>4</xdr:row>
                <xdr:rowOff>160020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Exmpl1.2.1-exact</vt:lpstr>
      <vt:lpstr>Exmpl1.2.1-lin approx</vt:lpstr>
      <vt:lpstr>P1.1.2</vt:lpstr>
      <vt:lpstr>P1.1.3-1.1.5</vt:lpstr>
      <vt:lpstr>P1.1.6-1.1.9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2017-04-19T05:54:06Z</dcterms:modified>
</cp:coreProperties>
</file>