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6.bin" ContentType="application/vnd.openxmlformats-officedocument.oleObject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drawings/drawing10.xml" ContentType="application/vnd.openxmlformats-officedocument.drawing+xml"/>
  <Override PartName="/xl/embeddings/oleObject14.bin" ContentType="application/vnd.openxmlformats-officedocument.oleObject"/>
  <Override PartName="/xl/drawings/drawing11.xml" ContentType="application/vnd.openxmlformats-officedocument.drawing+xml"/>
  <Override PartName="/xl/embeddings/oleObject1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3"/>
  </bookViews>
  <sheets>
    <sheet name="Exmpl1.2.1-exact" sheetId="1" r:id="rId1"/>
    <sheet name="Exmpl1.2.1-lin approx" sheetId="4" r:id="rId2"/>
    <sheet name="P1.1.2" sheetId="2" r:id="rId3"/>
    <sheet name="P1.1.3-1.1.5" sheetId="3" r:id="rId4"/>
    <sheet name="P1.1.6-1.1.9" sheetId="5" r:id="rId5"/>
    <sheet name="DP1.1.10-1.1.11" sheetId="6" r:id="rId6"/>
    <sheet name="P1.1.12-1.1.13" sheetId="7" r:id="rId7"/>
    <sheet name="P1.1.14" sheetId="9" r:id="rId8"/>
    <sheet name="Лист1" sheetId="10" r:id="rId9"/>
    <sheet name="Лист2" sheetId="11" r:id="rId10"/>
    <sheet name="Лист3" sheetId="12" r:id="rId11"/>
    <sheet name="Лист4" sheetId="13" r:id="rId12"/>
  </sheets>
  <definedNames>
    <definedName name="Eta">'Exmpl1.2.1-exact'!$J$3</definedName>
    <definedName name="Is">'Exmpl1.2.1-exact'!$J$2</definedName>
    <definedName name="R_">'Exmpl1.2.1-exact'!$J$6</definedName>
    <definedName name="R_a" localSheetId="7">P1.1.14!$H$16</definedName>
    <definedName name="R_n" localSheetId="7">P1.1.14!$H$15</definedName>
    <definedName name="V_1" localSheetId="7">P1.1.14!$H$10</definedName>
    <definedName name="V_2" localSheetId="7">P1.1.14!$H$11</definedName>
    <definedName name="V_3" localSheetId="7">P1.1.14!$H$12</definedName>
    <definedName name="Vsrc">'Exmpl1.2.1-exact'!$J$5</definedName>
    <definedName name="Vt">'Exmpl1.2.1-exact'!$J$4</definedName>
  </definedNames>
  <calcPr calcId="152511"/>
</workbook>
</file>

<file path=xl/calcChain.xml><?xml version="1.0" encoding="utf-8"?>
<calcChain xmlns="http://schemas.openxmlformats.org/spreadsheetml/2006/main">
  <c r="J35" i="3" l="1"/>
  <c r="K35" i="3"/>
  <c r="L35" i="3"/>
  <c r="J36" i="3"/>
  <c r="K36" i="3"/>
  <c r="L36" i="3"/>
  <c r="J37" i="3"/>
  <c r="K37" i="3"/>
  <c r="L37" i="3"/>
  <c r="J38" i="3"/>
  <c r="K38" i="3"/>
  <c r="L38" i="3"/>
  <c r="J39" i="3"/>
  <c r="K39" i="3"/>
  <c r="L39" i="3"/>
  <c r="J40" i="3"/>
  <c r="K40" i="3"/>
  <c r="L40" i="3"/>
  <c r="J41" i="3"/>
  <c r="K41" i="3"/>
  <c r="L41" i="3"/>
  <c r="J42" i="3"/>
  <c r="K42" i="3"/>
  <c r="L42" i="3"/>
  <c r="J43" i="3"/>
  <c r="K43" i="3"/>
  <c r="L43" i="3"/>
  <c r="J44" i="3"/>
  <c r="K44" i="3"/>
  <c r="L44" i="3"/>
  <c r="J45" i="3"/>
  <c r="K45" i="3"/>
  <c r="L45" i="3"/>
  <c r="L34" i="3"/>
  <c r="K34" i="3"/>
  <c r="J34" i="3"/>
  <c r="M18" i="13" l="1"/>
  <c r="M17" i="13"/>
  <c r="M16" i="13"/>
  <c r="M15" i="13"/>
  <c r="J13" i="13" l="1"/>
  <c r="J12" i="13"/>
  <c r="J11" i="13"/>
  <c r="J10" i="13"/>
  <c r="H13" i="13"/>
  <c r="G13" i="13"/>
  <c r="F13" i="13"/>
  <c r="H12" i="13"/>
  <c r="G12" i="13"/>
  <c r="F12" i="13"/>
  <c r="H11" i="13"/>
  <c r="G11" i="13"/>
  <c r="F11" i="13"/>
  <c r="E11" i="13"/>
  <c r="F10" i="13"/>
  <c r="E15" i="13" s="1" a="1"/>
  <c r="E15" i="13" s="1"/>
  <c r="E10" i="13"/>
  <c r="H17" i="13" l="1"/>
  <c r="H15" i="13"/>
  <c r="G18" i="13"/>
  <c r="G16" i="13"/>
  <c r="F18" i="13"/>
  <c r="F17" i="13"/>
  <c r="F16" i="13"/>
  <c r="F15" i="13"/>
  <c r="H18" i="13"/>
  <c r="H16" i="13"/>
  <c r="G17" i="13"/>
  <c r="G15" i="13"/>
  <c r="E18" i="13"/>
  <c r="E17" i="13"/>
  <c r="E16" i="13"/>
  <c r="J7" i="13"/>
  <c r="J15" i="13" l="1" a="1"/>
  <c r="J15" i="13" s="1"/>
  <c r="B17" i="11"/>
  <c r="H11" i="11"/>
  <c r="H10" i="11"/>
  <c r="G12" i="11"/>
  <c r="F12" i="11"/>
  <c r="E12" i="11"/>
  <c r="G11" i="11"/>
  <c r="F11" i="11"/>
  <c r="G10" i="11"/>
  <c r="F10" i="11"/>
  <c r="E10" i="11"/>
  <c r="E14" i="11" s="1" a="1"/>
  <c r="J17" i="13" l="1"/>
  <c r="J16" i="13"/>
  <c r="J18" i="13"/>
  <c r="F14" i="11"/>
  <c r="G15" i="11"/>
  <c r="G14" i="11"/>
  <c r="E16" i="11"/>
  <c r="E15" i="11"/>
  <c r="F16" i="11"/>
  <c r="E14" i="11"/>
  <c r="F15" i="11"/>
  <c r="G16" i="11"/>
  <c r="M61" i="10"/>
  <c r="M59" i="10"/>
  <c r="R55" i="10"/>
  <c r="K56" i="10"/>
  <c r="K55" i="10"/>
  <c r="I56" i="10"/>
  <c r="H56" i="10"/>
  <c r="I55" i="10"/>
  <c r="M55" i="10" s="1" a="1"/>
  <c r="M55" i="10" s="1"/>
  <c r="H55" i="10"/>
  <c r="K44" i="10"/>
  <c r="I45" i="10"/>
  <c r="H45" i="10"/>
  <c r="I44" i="10"/>
  <c r="H44" i="10"/>
  <c r="H14" i="11" l="1" a="1"/>
  <c r="N56" i="10"/>
  <c r="N55" i="10"/>
  <c r="M56" i="10"/>
  <c r="M44" i="10" a="1"/>
  <c r="M44" i="10" s="1"/>
  <c r="E25" i="10"/>
  <c r="E19" i="10"/>
  <c r="H14" i="11" l="1"/>
  <c r="H15" i="11"/>
  <c r="H16" i="11"/>
  <c r="P55" i="10" a="1"/>
  <c r="P55" i="10" s="1"/>
  <c r="R59" i="10" s="1"/>
  <c r="N44" i="10"/>
  <c r="M45" i="10"/>
  <c r="N45" i="10"/>
  <c r="E11" i="10"/>
  <c r="J11" i="10" s="1"/>
  <c r="J14" i="10" s="1"/>
  <c r="P56" i="10" l="1"/>
  <c r="P44" i="10" a="1"/>
  <c r="F23" i="12"/>
  <c r="E23" i="12"/>
  <c r="D23" i="12"/>
  <c r="F22" i="12"/>
  <c r="E22" i="12"/>
  <c r="F21" i="12"/>
  <c r="D21" i="12"/>
  <c r="D25" i="12" s="1" a="1"/>
  <c r="D25" i="12" s="1"/>
  <c r="K24" i="12"/>
  <c r="K23" i="12"/>
  <c r="M28" i="12" s="1"/>
  <c r="K22" i="12"/>
  <c r="K21" i="12"/>
  <c r="J10" i="12"/>
  <c r="N12" i="12"/>
  <c r="N10" i="12"/>
  <c r="J11" i="12"/>
  <c r="K10" i="12"/>
  <c r="K4" i="12"/>
  <c r="K11" i="12" s="1"/>
  <c r="K5" i="12"/>
  <c r="K6" i="12"/>
  <c r="K12" i="12" s="1"/>
  <c r="K7" i="12"/>
  <c r="L12" i="12" s="1"/>
  <c r="K3" i="12"/>
  <c r="C10" i="12"/>
  <c r="E9" i="12"/>
  <c r="C9" i="12"/>
  <c r="C6" i="12"/>
  <c r="D11" i="12" s="1"/>
  <c r="C5" i="12"/>
  <c r="D9" i="12" s="1"/>
  <c r="C4" i="12"/>
  <c r="C11" i="12" s="1"/>
  <c r="D10" i="12" l="1"/>
  <c r="C14" i="12" s="1" a="1"/>
  <c r="E10" i="12"/>
  <c r="L11" i="12"/>
  <c r="J15" i="12" s="1" a="1"/>
  <c r="E11" i="12"/>
  <c r="P44" i="10"/>
  <c r="P45" i="10"/>
  <c r="D27" i="12"/>
  <c r="F25" i="12"/>
  <c r="F27" i="12"/>
  <c r="E26" i="12"/>
  <c r="E27" i="12"/>
  <c r="D26" i="12"/>
  <c r="F26" i="12"/>
  <c r="E25" i="12"/>
  <c r="G25" i="12" s="1" a="1"/>
  <c r="J27" i="12"/>
  <c r="M27" i="12"/>
  <c r="J28" i="12"/>
  <c r="K28" i="12"/>
  <c r="K27" i="12"/>
  <c r="J15" i="12" l="1"/>
  <c r="J16" i="12"/>
  <c r="K17" i="12"/>
  <c r="J17" i="12"/>
  <c r="K16" i="12"/>
  <c r="L15" i="12"/>
  <c r="L16" i="12"/>
  <c r="L17" i="12"/>
  <c r="K15" i="12"/>
  <c r="G26" i="12"/>
  <c r="H26" i="12" s="1"/>
  <c r="G25" i="12"/>
  <c r="H25" i="12" s="1"/>
  <c r="G27" i="12"/>
  <c r="H27" i="12" s="1"/>
  <c r="C14" i="12"/>
  <c r="D16" i="12"/>
  <c r="D14" i="12"/>
  <c r="C16" i="12"/>
  <c r="E14" i="12"/>
  <c r="E15" i="12"/>
  <c r="C15" i="12"/>
  <c r="E16" i="12"/>
  <c r="D15" i="12"/>
  <c r="J31" i="12" a="1"/>
  <c r="G14" i="12" l="1" a="1"/>
  <c r="N15" i="12" a="1"/>
  <c r="J31" i="12"/>
  <c r="K32" i="12"/>
  <c r="J32" i="12"/>
  <c r="K31" i="12"/>
  <c r="N12" i="9"/>
  <c r="L12" i="9"/>
  <c r="K12" i="9"/>
  <c r="N11" i="9"/>
  <c r="K11" i="9"/>
  <c r="J11" i="9"/>
  <c r="N15" i="12" l="1"/>
  <c r="N16" i="12"/>
  <c r="N17" i="12"/>
  <c r="G15" i="12"/>
  <c r="G16" i="12"/>
  <c r="G14" i="12"/>
  <c r="M31" i="12" a="1"/>
  <c r="J15" i="9" a="1"/>
  <c r="D33" i="7"/>
  <c r="E38" i="7" s="1"/>
  <c r="D32" i="7"/>
  <c r="D38" i="7" s="1"/>
  <c r="M31" i="12" l="1"/>
  <c r="M32" i="12"/>
  <c r="L17" i="9"/>
  <c r="J17" i="9"/>
  <c r="K16" i="9"/>
  <c r="L15" i="9"/>
  <c r="J15" i="9"/>
  <c r="K17" i="9"/>
  <c r="L16" i="9"/>
  <c r="J16" i="9"/>
  <c r="K15" i="9"/>
  <c r="F38" i="7"/>
  <c r="G38" i="7" s="1"/>
  <c r="N15" i="9" l="1" a="1"/>
  <c r="N15" i="9" s="1"/>
  <c r="F24" i="7"/>
  <c r="E24" i="7"/>
  <c r="E26" i="7" s="1"/>
  <c r="N17" i="9" l="1"/>
  <c r="N16" i="9"/>
  <c r="G24" i="7"/>
  <c r="D5" i="6" l="1"/>
  <c r="G18" i="6" l="1"/>
  <c r="G21" i="6" s="1"/>
  <c r="G5" i="6"/>
  <c r="D25" i="5"/>
  <c r="I21" i="5"/>
  <c r="D18" i="5"/>
  <c r="I18" i="5" s="1"/>
  <c r="G21" i="5"/>
  <c r="D15" i="6" l="1"/>
  <c r="G7" i="6"/>
  <c r="G8" i="6" s="1"/>
  <c r="G19" i="6"/>
  <c r="G20" i="6" s="1"/>
  <c r="G23" i="6" s="1"/>
  <c r="D11" i="6"/>
  <c r="F11" i="6" s="1"/>
  <c r="G11" i="6" s="1"/>
  <c r="D12" i="6"/>
  <c r="F12" i="6" s="1"/>
  <c r="G12" i="6" s="1"/>
  <c r="D17" i="5"/>
  <c r="G18" i="5" s="1"/>
  <c r="D14" i="5"/>
  <c r="D13" i="5"/>
  <c r="I29" i="5" s="1"/>
  <c r="K29" i="5" s="1"/>
  <c r="G17" i="5" l="1"/>
  <c r="G19" i="5" s="1"/>
  <c r="I17" i="5"/>
  <c r="I19" i="5" s="1"/>
  <c r="G13" i="5"/>
  <c r="D6" i="5"/>
  <c r="D5" i="5"/>
  <c r="G5" i="5" l="1"/>
  <c r="L25" i="3"/>
  <c r="M23" i="3"/>
  <c r="M22" i="3"/>
  <c r="L23" i="3"/>
  <c r="L22" i="3"/>
  <c r="E14" i="3" l="1"/>
  <c r="K16" i="3" s="1"/>
  <c r="K14" i="3" l="1"/>
  <c r="K15" i="3"/>
  <c r="N10" i="3"/>
  <c r="N8" i="3"/>
  <c r="N6" i="3"/>
  <c r="N4" i="3"/>
  <c r="H10" i="3"/>
  <c r="H8" i="3"/>
  <c r="H6" i="3"/>
  <c r="H4" i="3"/>
  <c r="B7" i="2"/>
  <c r="F5" i="2"/>
  <c r="F6" i="2"/>
  <c r="L10" i="2" l="1"/>
  <c r="L19" i="2"/>
  <c r="L17" i="2"/>
  <c r="L13" i="2"/>
  <c r="B17" i="1"/>
  <c r="J3" i="4" l="1"/>
  <c r="J6" i="4"/>
  <c r="J5" i="4"/>
  <c r="J2" i="4"/>
  <c r="J2" i="1"/>
  <c r="M3" i="4" l="1"/>
  <c r="M16" i="1" s="1"/>
  <c r="J5" i="1"/>
  <c r="J6" i="1"/>
  <c r="R4" i="1" l="1"/>
  <c r="R6" i="1"/>
  <c r="R8" i="1"/>
  <c r="R10" i="1"/>
  <c r="R12" i="1"/>
  <c r="R14" i="1"/>
  <c r="R16" i="1"/>
  <c r="R18" i="1"/>
  <c r="R20" i="1"/>
  <c r="R22" i="1"/>
  <c r="R24" i="1"/>
  <c r="R26" i="1"/>
  <c r="R28" i="1"/>
  <c r="R30" i="1"/>
  <c r="R32" i="1"/>
  <c r="R34" i="1"/>
  <c r="R36" i="1"/>
  <c r="R38" i="1"/>
  <c r="R40" i="1"/>
  <c r="R42" i="1"/>
  <c r="R44" i="1"/>
  <c r="R46" i="1"/>
  <c r="R48" i="1"/>
  <c r="R50" i="1"/>
  <c r="R52" i="1"/>
  <c r="R54" i="1"/>
  <c r="R56" i="1"/>
  <c r="R58" i="1"/>
  <c r="R60" i="1"/>
  <c r="R62" i="1"/>
  <c r="R64" i="1"/>
  <c r="R66" i="1"/>
  <c r="R68" i="1"/>
  <c r="R70" i="1"/>
  <c r="R72" i="1"/>
  <c r="R74" i="1"/>
  <c r="R76" i="1"/>
  <c r="R78" i="1"/>
  <c r="R80" i="1"/>
  <c r="R82" i="1"/>
  <c r="R84" i="1"/>
  <c r="R86" i="1"/>
  <c r="R88" i="1"/>
  <c r="R90" i="1"/>
  <c r="R92" i="1"/>
  <c r="R94" i="1"/>
  <c r="R96" i="1"/>
  <c r="R98" i="1"/>
  <c r="R100" i="1"/>
  <c r="R3" i="1"/>
  <c r="R5" i="1"/>
  <c r="R7" i="1"/>
  <c r="R9" i="1"/>
  <c r="R11" i="1"/>
  <c r="R13" i="1"/>
  <c r="R15" i="1"/>
  <c r="R17" i="1"/>
  <c r="R19" i="1"/>
  <c r="R21" i="1"/>
  <c r="R23" i="1"/>
  <c r="R25" i="1"/>
  <c r="R27" i="1"/>
  <c r="R29" i="1"/>
  <c r="R31" i="1"/>
  <c r="R33" i="1"/>
  <c r="R35" i="1"/>
  <c r="R37" i="1"/>
  <c r="R39" i="1"/>
  <c r="R41" i="1"/>
  <c r="R43" i="1"/>
  <c r="R45" i="1"/>
  <c r="R47" i="1"/>
  <c r="R49" i="1"/>
  <c r="R51" i="1"/>
  <c r="R53" i="1"/>
  <c r="R55" i="1"/>
  <c r="R57" i="1"/>
  <c r="R59" i="1"/>
  <c r="R61" i="1"/>
  <c r="R63" i="1"/>
  <c r="R65" i="1"/>
  <c r="R67" i="1"/>
  <c r="R69" i="1"/>
  <c r="R71" i="1"/>
  <c r="R73" i="1"/>
  <c r="R75" i="1"/>
  <c r="R77" i="1"/>
  <c r="R79" i="1"/>
  <c r="R81" i="1"/>
  <c r="R83" i="1"/>
  <c r="R85" i="1"/>
  <c r="R87" i="1"/>
  <c r="R89" i="1"/>
  <c r="R91" i="1"/>
  <c r="R93" i="1"/>
  <c r="R95" i="1"/>
  <c r="R97" i="1"/>
  <c r="R99" i="1"/>
  <c r="R101" i="1"/>
  <c r="R103" i="1"/>
  <c r="R102" i="1"/>
  <c r="Q6" i="1"/>
  <c r="Q8" i="1"/>
  <c r="Q10" i="1"/>
  <c r="Q12" i="1"/>
  <c r="Q14" i="1"/>
  <c r="Q16" i="1"/>
  <c r="Q18" i="1"/>
  <c r="Q20" i="1"/>
  <c r="Q22" i="1"/>
  <c r="Q24" i="1"/>
  <c r="Q26" i="1"/>
  <c r="Q28" i="1"/>
  <c r="Q30" i="1"/>
  <c r="Q32" i="1"/>
  <c r="Q34" i="1"/>
  <c r="Q36" i="1"/>
  <c r="Q38" i="1"/>
  <c r="Q40" i="1"/>
  <c r="Q42" i="1"/>
  <c r="Q44" i="1"/>
  <c r="Q46" i="1"/>
  <c r="Q48" i="1"/>
  <c r="Q50" i="1"/>
  <c r="Q52" i="1"/>
  <c r="Q54" i="1"/>
  <c r="Q56" i="1"/>
  <c r="Q58" i="1"/>
  <c r="Q60" i="1"/>
  <c r="Q62" i="1"/>
  <c r="Q64" i="1"/>
  <c r="Q66" i="1"/>
  <c r="Q68" i="1"/>
  <c r="Q70" i="1"/>
  <c r="Q72" i="1"/>
  <c r="Q74" i="1"/>
  <c r="Q76" i="1"/>
  <c r="Q78" i="1"/>
  <c r="Q80" i="1"/>
  <c r="Q82" i="1"/>
  <c r="Q84" i="1"/>
  <c r="Q86" i="1"/>
  <c r="Q88" i="1"/>
  <c r="Q90" i="1"/>
  <c r="Q92" i="1"/>
  <c r="Q94" i="1"/>
  <c r="Q96" i="1"/>
  <c r="Q98" i="1"/>
  <c r="Q100" i="1"/>
  <c r="Q102" i="1"/>
  <c r="Q4" i="1"/>
  <c r="Q5" i="1"/>
  <c r="Q7" i="1"/>
  <c r="Q9" i="1"/>
  <c r="Q11" i="1"/>
  <c r="Q13" i="1"/>
  <c r="Q15" i="1"/>
  <c r="Q17" i="1"/>
  <c r="Q19" i="1"/>
  <c r="Q21" i="1"/>
  <c r="Q23" i="1"/>
  <c r="Q25" i="1"/>
  <c r="Q27" i="1"/>
  <c r="Q29" i="1"/>
  <c r="Q31" i="1"/>
  <c r="Q33" i="1"/>
  <c r="Q35" i="1"/>
  <c r="Q37" i="1"/>
  <c r="Q39" i="1"/>
  <c r="Q41" i="1"/>
  <c r="Q43" i="1"/>
  <c r="Q45" i="1"/>
  <c r="Q47" i="1"/>
  <c r="Q49" i="1"/>
  <c r="Q51" i="1"/>
  <c r="Q53" i="1"/>
  <c r="Q55" i="1"/>
  <c r="Q57" i="1"/>
  <c r="Q59" i="1"/>
  <c r="Q61" i="1"/>
  <c r="Q63" i="1"/>
  <c r="Q65" i="1"/>
  <c r="Q67" i="1"/>
  <c r="Q69" i="1"/>
  <c r="Q71" i="1"/>
  <c r="Q73" i="1"/>
  <c r="Q75" i="1"/>
  <c r="Q77" i="1"/>
  <c r="Q79" i="1"/>
  <c r="Q81" i="1"/>
  <c r="Q83" i="1"/>
  <c r="Q85" i="1"/>
  <c r="Q87" i="1"/>
  <c r="Q89" i="1"/>
  <c r="Q91" i="1"/>
  <c r="Q93" i="1"/>
  <c r="Q95" i="1"/>
  <c r="Q97" i="1"/>
  <c r="Q99" i="1"/>
  <c r="Q101" i="1"/>
  <c r="Q103" i="1"/>
  <c r="Q3" i="1"/>
  <c r="M10" i="1"/>
  <c r="L11" i="1" s="1"/>
  <c r="M11" i="1" s="1"/>
  <c r="L12" i="1" s="1"/>
  <c r="M12" i="1" s="1"/>
  <c r="L13" i="1" s="1"/>
  <c r="M13" i="1" s="1"/>
  <c r="G27" i="5"/>
  <c r="G28" i="5" s="1"/>
  <c r="G26" i="5"/>
</calcChain>
</file>

<file path=xl/sharedStrings.xml><?xml version="1.0" encoding="utf-8"?>
<sst xmlns="http://schemas.openxmlformats.org/spreadsheetml/2006/main" count="310" uniqueCount="185">
  <si>
    <r>
      <t>V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 xml:space="preserve"> + RI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 xml:space="preserve"> = V</t>
    </r>
    <r>
      <rPr>
        <i/>
        <vertAlign val="subscript"/>
        <sz val="14"/>
        <color theme="1"/>
        <rFont val="Times New Roman"/>
        <family val="1"/>
        <charset val="204"/>
      </rPr>
      <t>SRC</t>
    </r>
  </si>
  <si>
    <t>V</t>
  </si>
  <si>
    <t>R</t>
  </si>
  <si>
    <t>base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</si>
  <si>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x</t>
    </r>
  </si>
  <si>
    <t>value</t>
  </si>
  <si>
    <t>Ω</t>
  </si>
  <si>
    <r>
      <t>V</t>
    </r>
    <r>
      <rPr>
        <vertAlign val="subscript"/>
        <sz val="12"/>
        <color theme="1"/>
        <rFont val="Calibri"/>
        <family val="2"/>
        <charset val="204"/>
        <scheme val="minor"/>
      </rPr>
      <t>SRC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</si>
  <si>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</t>
    </r>
  </si>
  <si>
    <t>A</t>
  </si>
  <si>
    <t>η</t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</si>
  <si>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T</t>
    </r>
  </si>
  <si>
    <t>(1)</t>
  </si>
  <si>
    <t>(2)</t>
  </si>
  <si>
    <t>Iteration</t>
  </si>
  <si>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Calibri"/>
        <family val="2"/>
        <charset val="204"/>
        <scheme val="minor"/>
      </rPr>
      <t>DQ</t>
    </r>
    <r>
      <rPr>
        <sz val="11"/>
        <color theme="1"/>
        <rFont val="Calibri"/>
        <family val="2"/>
        <scheme val="minor"/>
      </rPr>
      <t>, from (1)</t>
    </r>
  </si>
  <si>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1"/>
        <color theme="1"/>
        <rFont val="Calibri"/>
        <family val="2"/>
        <charset val="204"/>
        <scheme val="minor"/>
      </rPr>
      <t>DQ</t>
    </r>
    <r>
      <rPr>
        <sz val="11"/>
        <color theme="1"/>
        <rFont val="Calibri"/>
        <family val="2"/>
        <scheme val="minor"/>
      </rPr>
      <t>, from (2)</t>
    </r>
  </si>
  <si>
    <t>I from (1)</t>
  </si>
  <si>
    <t>I from VAH(D)</t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</si>
  <si>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</si>
  <si>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V</t>
    </r>
    <r>
      <rPr>
        <vertAlign val="subscript"/>
        <sz val="12"/>
        <color theme="1"/>
        <rFont val="Calibri"/>
        <family val="2"/>
        <charset val="204"/>
        <scheme val="minor"/>
      </rPr>
      <t>D0</t>
    </r>
  </si>
  <si>
    <t>From linear approximation:</t>
  </si>
  <si>
    <r>
      <t xml:space="preserve">Insert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sz val="11"/>
        <color theme="1"/>
        <rFont val="Calibri"/>
        <family val="2"/>
        <scheme val="minor"/>
      </rPr>
      <t xml:space="preserve"> into circuit equation:</t>
    </r>
  </si>
  <si>
    <t>And finally:</t>
  </si>
  <si>
    <r>
      <t>I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>:</t>
    </r>
  </si>
  <si>
    <t>And from approx:</t>
  </si>
  <si>
    <t>P1.1.2</t>
  </si>
  <si>
    <t>at</t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</si>
  <si>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</si>
  <si>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</si>
  <si>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T</t>
    </r>
  </si>
  <si>
    <t>Main idea:</t>
  </si>
  <si>
    <t>Use simplified diode current formula!</t>
  </si>
  <si>
    <r>
      <t>v</t>
    </r>
    <r>
      <rPr>
        <i/>
        <vertAlign val="subscript"/>
        <sz val="12"/>
        <color theme="1"/>
        <rFont val="Calibri"/>
        <family val="2"/>
        <charset val="204"/>
        <scheme val="minor"/>
      </rPr>
      <t>D</t>
    </r>
    <r>
      <rPr>
        <i/>
        <sz val="12"/>
        <color theme="1"/>
        <rFont val="Calibri"/>
        <family val="2"/>
        <charset val="204"/>
        <scheme val="minor"/>
      </rPr>
      <t>/V</t>
    </r>
    <r>
      <rPr>
        <i/>
        <vertAlign val="subscript"/>
        <sz val="12"/>
        <color theme="1"/>
        <rFont val="Calibri"/>
        <family val="2"/>
        <charset val="204"/>
        <scheme val="minor"/>
      </rPr>
      <t>T</t>
    </r>
    <r>
      <rPr>
        <i/>
        <sz val="12"/>
        <color theme="1"/>
        <rFont val="Calibri"/>
        <family val="2"/>
        <charset val="204"/>
        <scheme val="minor"/>
      </rPr>
      <t xml:space="preserve"> (1)</t>
    </r>
  </si>
  <si>
    <r>
      <t>v</t>
    </r>
    <r>
      <rPr>
        <i/>
        <vertAlign val="subscript"/>
        <sz val="12"/>
        <color theme="1"/>
        <rFont val="Calibri"/>
        <family val="2"/>
        <charset val="204"/>
        <scheme val="minor"/>
      </rPr>
      <t>D</t>
    </r>
    <r>
      <rPr>
        <i/>
        <sz val="12"/>
        <color theme="1"/>
        <rFont val="Calibri"/>
        <family val="2"/>
        <charset val="204"/>
        <scheme val="minor"/>
      </rPr>
      <t>/V</t>
    </r>
    <r>
      <rPr>
        <i/>
        <vertAlign val="subscript"/>
        <sz val="12"/>
        <color theme="1"/>
        <rFont val="Calibri"/>
        <family val="2"/>
        <charset val="204"/>
        <scheme val="minor"/>
      </rPr>
      <t>T</t>
    </r>
    <r>
      <rPr>
        <i/>
        <sz val="12"/>
        <color theme="1"/>
        <rFont val="Calibri"/>
        <family val="2"/>
        <charset val="204"/>
        <scheme val="minor"/>
      </rPr>
      <t xml:space="preserve"> (2)</t>
    </r>
  </si>
  <si>
    <t>From Condition (1)</t>
  </si>
  <si>
    <t>ln(2)</t>
  </si>
  <si>
    <t>Substituting IS from (1):</t>
  </si>
  <si>
    <t>Eta:</t>
  </si>
  <si>
    <t>IS:</t>
  </si>
  <si>
    <t>rd</t>
  </si>
  <si>
    <t>rd 1</t>
  </si>
  <si>
    <t>rd 2</t>
  </si>
  <si>
    <t>P1.1.3</t>
  </si>
  <si>
    <t>Eta =</t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</si>
  <si>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</si>
  <si>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i/>
        <sz val="11"/>
        <color theme="1"/>
        <rFont val="Times New Roman"/>
        <family val="1"/>
        <charset val="204"/>
      </rPr>
      <t xml:space="preserve"> = 80% I</t>
    </r>
    <r>
      <rPr>
        <i/>
        <vertAlign val="subscript"/>
        <sz val="11"/>
        <color theme="1"/>
        <rFont val="Times New Roman"/>
        <family val="1"/>
        <charset val="204"/>
      </rPr>
      <t>S</t>
    </r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</si>
  <si>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i/>
        <sz val="11"/>
        <color theme="1"/>
        <rFont val="Times New Roman"/>
        <family val="1"/>
        <charset val="204"/>
      </rPr>
      <t xml:space="preserve"> = 95% I</t>
    </r>
    <r>
      <rPr>
        <i/>
        <vertAlign val="subscript"/>
        <sz val="11"/>
        <color theme="1"/>
        <rFont val="Times New Roman"/>
        <family val="1"/>
        <charset val="204"/>
      </rPr>
      <t>S</t>
    </r>
  </si>
  <si>
    <t>P1.1.4</t>
  </si>
  <si>
    <r>
      <t xml:space="preserve">Conclusion: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S</t>
    </r>
    <r>
      <rPr>
        <sz val="11"/>
        <color theme="1"/>
        <rFont val="Times New Roman"/>
        <family val="1"/>
        <charset val="204"/>
      </rPr>
      <t xml:space="preserve"> controls the horizontal shift of VAH vertical raise branch</t>
    </r>
  </si>
  <si>
    <r>
      <t xml:space="preserve">Lesser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S</t>
    </r>
    <r>
      <rPr>
        <sz val="11"/>
        <color theme="1"/>
        <rFont val="Times New Roman"/>
        <family val="1"/>
        <charset val="204"/>
      </rPr>
      <t xml:space="preserve"> values mean the raise will be at more voltages</t>
    </r>
  </si>
  <si>
    <t>P1.1.5</t>
  </si>
  <si>
    <t>(a):</t>
  </si>
  <si>
    <t>(b):</t>
  </si>
  <si>
    <t>Eta</t>
  </si>
  <si>
    <t>k</t>
  </si>
  <si>
    <t>(c):</t>
  </si>
  <si>
    <r>
      <rPr>
        <i/>
        <sz val="11"/>
        <color theme="1"/>
        <rFont val="Times New Roman"/>
        <family val="1"/>
        <charset val="204"/>
      </rPr>
      <t>η</t>
    </r>
    <r>
      <rPr>
        <sz val="11"/>
        <color theme="1"/>
        <rFont val="Times New Roman"/>
        <family val="1"/>
        <charset val="204"/>
      </rPr>
      <t xml:space="preserve"> for 0,1V/decade diode:</t>
    </r>
  </si>
  <si>
    <t>P1.1.6</t>
  </si>
  <si>
    <t>Conclusion: Eta is a slope of the "vertical" branch.</t>
  </si>
  <si>
    <t>The more Eta value, the lower the slope</t>
  </si>
  <si>
    <t>v</t>
  </si>
  <si>
    <t>Can get correct answer if Eta = 1</t>
  </si>
  <si>
    <t>Don't know</t>
  </si>
  <si>
    <t>P1.1.8</t>
  </si>
  <si>
    <t>I</t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</si>
  <si>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R</t>
    </r>
  </si>
  <si>
    <r>
      <t xml:space="preserve">Iterative change in V to get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:</t>
    </r>
  </si>
  <si>
    <t>P1.1.9</t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</si>
  <si>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D1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</si>
  <si>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D2</t>
    </r>
  </si>
  <si>
    <t>looks strange</t>
  </si>
  <si>
    <t>this is correct</t>
  </si>
  <si>
    <r>
      <t>V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will find by iterative change to get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:</t>
    </r>
  </si>
  <si>
    <t>DP1.1.10</t>
  </si>
  <si>
    <t>Vref</t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</si>
  <si>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SRC</t>
    </r>
  </si>
  <si>
    <t>RD</t>
  </si>
  <si>
    <t>Both</t>
  </si>
  <si>
    <t>I +10%</t>
  </si>
  <si>
    <t>I -10%</t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</si>
  <si>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ref</t>
    </r>
  </si>
  <si>
    <t>Diff</t>
  </si>
  <si>
    <t>I x2</t>
  </si>
  <si>
    <t>DP1.1.11</t>
  </si>
  <si>
    <t>Current required for shunted diode:</t>
  </si>
  <si>
    <t>Vd shunted</t>
  </si>
  <si>
    <t>Current to branch out:</t>
  </si>
  <si>
    <t>Rout</t>
  </si>
  <si>
    <t>Rd</t>
  </si>
  <si>
    <t>P1.1.12</t>
  </si>
  <si>
    <t>i1</t>
  </si>
  <si>
    <t>V1</t>
  </si>
  <si>
    <t>iUnknown</t>
  </si>
  <si>
    <t>This equation states that for the decade (multiplier of 10) change in current, the diode voltage drop changes by 2,3*Eta*Vt</t>
  </si>
  <si>
    <t>Will derive Eta from the condition ∆V = 0,1 V per ten factor:</t>
  </si>
  <si>
    <r>
      <t>Find current based on the condition that 5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9V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</si>
  <si>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</si>
  <si>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R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</si>
  <si>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Total</t>
    </r>
  </si>
  <si>
    <r>
      <t>From there, 5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is</t>
    </r>
  </si>
  <si>
    <t>P1.1.13</t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</si>
  <si>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D1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</si>
  <si>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D2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</si>
  <si>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S1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</si>
  <si>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S2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</si>
  <si>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1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</si>
  <si>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2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</si>
  <si>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3</t>
    </r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</si>
  <si>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n</t>
    </r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</si>
  <si>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a</t>
    </r>
  </si>
  <si>
    <r>
      <rPr>
        <i/>
        <sz val="11"/>
        <color theme="1"/>
        <rFont val="Times New Roman"/>
        <family val="1"/>
        <charset val="204"/>
      </rPr>
      <t>A</t>
    </r>
    <r>
      <rPr>
        <sz val="11"/>
        <color theme="1"/>
        <rFont val="Times New Roman"/>
        <family val="1"/>
        <charset val="204"/>
      </rPr>
      <t xml:space="preserve"> =</t>
    </r>
  </si>
  <si>
    <r>
      <rPr>
        <i/>
        <sz val="11"/>
        <color theme="1"/>
        <rFont val="Times New Roman"/>
        <family val="1"/>
        <charset val="204"/>
      </rPr>
      <t>A</t>
    </r>
    <r>
      <rPr>
        <i/>
        <vertAlign val="superscript"/>
        <sz val="11"/>
        <color theme="1"/>
        <rFont val="Times New Roman"/>
        <family val="1"/>
        <charset val="204"/>
      </rPr>
      <t>-1</t>
    </r>
    <r>
      <rPr>
        <sz val="11"/>
        <color theme="1"/>
        <rFont val="Times New Roman"/>
        <family val="1"/>
        <charset val="204"/>
      </rPr>
      <t xml:space="preserve"> =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</si>
  <si>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1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</si>
  <si>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</si>
  <si>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3</t>
    </r>
  </si>
  <si>
    <t>We need to figure out what are current directions</t>
  </si>
  <si>
    <t>For this:</t>
  </si>
  <si>
    <t>- we remove ideal diode switches</t>
  </si>
  <si>
    <r>
      <t xml:space="preserve">(otherwise 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1 and 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3 would be infinite;</t>
    </r>
  </si>
  <si>
    <t>treat them like voltage source internal resistances)</t>
  </si>
  <si>
    <t>Arbitrary choose branch currents and loop directions:</t>
  </si>
  <si>
    <t>- we will insert fake resistances</t>
  </si>
  <si>
    <t>From KCL:</t>
  </si>
  <si>
    <t>KVL 1st loop:</t>
  </si>
  <si>
    <t>KVL 2nd loop:</t>
  </si>
  <si>
    <t>Matrix</t>
  </si>
  <si>
    <t>solution</t>
  </si>
  <si>
    <t>Regardless of resistances, the real current directions are always the same:</t>
  </si>
  <si>
    <t>Since that, we discard the left branch due to the diode</t>
  </si>
  <si>
    <t>Conclusion:</t>
  </si>
  <si>
    <t>1/1k</t>
  </si>
  <si>
    <t>1/2k</t>
  </si>
  <si>
    <t>1/4k</t>
  </si>
  <si>
    <t>G1</t>
  </si>
  <si>
    <t>G2</t>
  </si>
  <si>
    <t>G3</t>
  </si>
  <si>
    <t>G4</t>
  </si>
  <si>
    <t>G5</t>
  </si>
  <si>
    <t>I1</t>
  </si>
  <si>
    <t>I2</t>
  </si>
  <si>
    <t>R1</t>
  </si>
  <si>
    <t>R2</t>
  </si>
  <si>
    <t>R3</t>
  </si>
  <si>
    <t>R4</t>
  </si>
  <si>
    <t>R5</t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</si>
  <si>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</si>
  <si>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r>
      <t>V</t>
    </r>
    <r>
      <rPr>
        <i/>
        <vertAlign val="subscript"/>
        <sz val="11"/>
        <color theme="1"/>
        <rFont val="Cambria"/>
        <family val="1"/>
        <charset val="204"/>
        <scheme val="major"/>
      </rPr>
      <t>S</t>
    </r>
  </si>
  <si>
    <t>output voltage</t>
  </si>
  <si>
    <r>
      <t>A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</si>
  <si>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t>amplifier gain</t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</si>
  <si>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i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</si>
  <si>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th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</si>
  <si>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L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</si>
  <si>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</si>
  <si>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t>input resistance</t>
  </si>
  <si>
    <t>driving circuit resistance</t>
  </si>
  <si>
    <t>driving circuit voltage source</t>
  </si>
  <si>
    <t>load resistance</t>
  </si>
  <si>
    <t>output resistance</t>
  </si>
  <si>
    <t>Driving circuit</t>
  </si>
  <si>
    <t>Amplifier input</t>
  </si>
  <si>
    <t>Amplifier output</t>
  </si>
  <si>
    <t>Load</t>
  </si>
  <si>
    <r>
      <t>V</t>
    </r>
    <r>
      <rPr>
        <i/>
        <vertAlign val="subscript"/>
        <sz val="11"/>
        <color rgb="FF00B050"/>
        <rFont val="Cambria"/>
        <family val="1"/>
        <charset val="204"/>
        <scheme val="major"/>
      </rPr>
      <t>in</t>
    </r>
  </si>
  <si>
    <r>
      <t>A</t>
    </r>
    <r>
      <rPr>
        <vertAlign val="subscript"/>
        <sz val="11"/>
        <color rgb="FF00B050"/>
        <rFont val="Cambria"/>
        <family val="1"/>
        <charset val="204"/>
        <scheme val="major"/>
      </rPr>
      <t>0</t>
    </r>
    <r>
      <rPr>
        <i/>
        <sz val="11"/>
        <color rgb="FF00B050"/>
        <rFont val="Cambria"/>
        <family val="1"/>
        <charset val="204"/>
        <scheme val="major"/>
      </rPr>
      <t>V</t>
    </r>
    <r>
      <rPr>
        <i/>
        <vertAlign val="subscript"/>
        <sz val="11"/>
        <color rgb="FF00B050"/>
        <rFont val="Cambria"/>
        <family val="1"/>
        <charset val="204"/>
        <scheme val="major"/>
      </rPr>
      <t>in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</si>
  <si>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</si>
  <si>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</si>
  <si>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t>But for LM324 the output is NOT ideal (not a –5V)</t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</si>
  <si>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F</t>
    </r>
  </si>
  <si>
    <t>Real gain</t>
  </si>
  <si>
    <t>Ideal gain</t>
  </si>
  <si>
    <t>Gain error</t>
  </si>
  <si>
    <t>Beta</t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</si>
  <si>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</si>
  <si>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3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</si>
  <si>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4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</si>
  <si>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</si>
  <si>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g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</si>
  <si>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</si>
  <si>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</si>
  <si>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</si>
  <si>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r>
      <t>v</t>
    </r>
    <r>
      <rPr>
        <i/>
        <vertAlign val="subscript"/>
        <sz val="11"/>
        <color theme="1"/>
        <rFont val="Cambria"/>
        <family val="1"/>
        <charset val="204"/>
        <scheme val="major"/>
      </rPr>
      <t>a</t>
    </r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</si>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</sst>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E+00"/>
    <numFmt numFmtId="165" formatCode="0.000E+00"/>
    <numFmt numFmtId="166" formatCode="0.000000000"/>
    <numFmt numFmtId="167" formatCode="0.000"/>
    <numFmt numFmtId="171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vertAlign val="subscript"/>
      <sz val="11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i/>
      <vertAlign val="subscript"/>
      <sz val="11"/>
      <color theme="1"/>
      <name val="Times New Roman"/>
      <family val="1"/>
      <charset val="204"/>
    </font>
    <font>
      <sz val="12"/>
      <color theme="1"/>
      <name val="Arial Black"/>
      <family val="2"/>
      <charset val="204"/>
    </font>
    <font>
      <sz val="11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i/>
      <vertAlign val="subscript"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vertAlign val="subscript"/>
      <sz val="12"/>
      <color theme="1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i/>
      <sz val="11"/>
      <color theme="1"/>
      <name val="Cambria"/>
      <family val="1"/>
      <charset val="204"/>
      <scheme val="major"/>
    </font>
    <font>
      <i/>
      <vertAlign val="subscript"/>
      <sz val="11"/>
      <color theme="1"/>
      <name val="Cambria"/>
      <family val="1"/>
      <charset val="204"/>
      <scheme val="major"/>
    </font>
    <font>
      <vertAlign val="subscript"/>
      <sz val="11"/>
      <color theme="1"/>
      <name val="Cambria"/>
      <family val="1"/>
      <charset val="204"/>
      <scheme val="major"/>
    </font>
    <font>
      <i/>
      <sz val="11"/>
      <color rgb="FF00B050"/>
      <name val="Cambria"/>
      <family val="1"/>
      <charset val="204"/>
      <scheme val="major"/>
    </font>
    <font>
      <i/>
      <vertAlign val="subscript"/>
      <sz val="11"/>
      <color rgb="FF00B050"/>
      <name val="Cambria"/>
      <family val="1"/>
      <charset val="204"/>
      <scheme val="major"/>
    </font>
    <font>
      <sz val="11"/>
      <color rgb="FF00B050"/>
      <name val="Calibri"/>
      <family val="2"/>
      <scheme val="minor"/>
    </font>
    <font>
      <vertAlign val="subscript"/>
      <sz val="11"/>
      <color rgb="FF00B050"/>
      <name val="Cambria"/>
      <family val="1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/>
    <xf numFmtId="0" fontId="14" fillId="0" borderId="0" xfId="0" applyFont="1"/>
    <xf numFmtId="0" fontId="17" fillId="0" borderId="0" xfId="0" applyFont="1"/>
    <xf numFmtId="0" fontId="17" fillId="2" borderId="0" xfId="0" applyFont="1" applyFill="1" applyAlignment="1">
      <alignment horizontal="center"/>
    </xf>
    <xf numFmtId="0" fontId="12" fillId="0" borderId="0" xfId="0" applyFont="1"/>
    <xf numFmtId="0" fontId="18" fillId="0" borderId="0" xfId="0" applyFont="1"/>
    <xf numFmtId="0" fontId="4" fillId="0" borderId="0" xfId="0" applyFont="1"/>
    <xf numFmtId="0" fontId="21" fillId="3" borderId="0" xfId="0" applyFont="1" applyFill="1"/>
    <xf numFmtId="0" fontId="22" fillId="3" borderId="0" xfId="0" applyFont="1" applyFill="1"/>
    <xf numFmtId="0" fontId="11" fillId="3" borderId="0" xfId="0" applyFont="1" applyFill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7" fillId="0" borderId="0" xfId="0" applyFont="1" applyAlignment="1">
      <alignment horizontal="right"/>
    </xf>
    <xf numFmtId="164" fontId="0" fillId="0" borderId="0" xfId="0" applyNumberFormat="1"/>
    <xf numFmtId="165" fontId="11" fillId="3" borderId="0" xfId="0" applyNumberFormat="1" applyFont="1" applyFill="1"/>
    <xf numFmtId="0" fontId="17" fillId="0" borderId="0" xfId="0" applyFont="1" applyAlignment="1">
      <alignment horizontal="center"/>
    </xf>
    <xf numFmtId="0" fontId="11" fillId="3" borderId="0" xfId="0" applyNumberFormat="1" applyFont="1" applyFill="1"/>
    <xf numFmtId="0" fontId="0" fillId="4" borderId="0" xfId="0" applyFill="1"/>
    <xf numFmtId="0" fontId="0" fillId="2" borderId="0" xfId="0" applyFill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quotePrefix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5" borderId="0" xfId="0" applyNumberFormat="1" applyFill="1" applyAlignment="1">
      <alignment horizontal="center"/>
    </xf>
    <xf numFmtId="0" fontId="26" fillId="0" borderId="0" xfId="0" applyFont="1"/>
    <xf numFmtId="11" fontId="0" fillId="0" borderId="0" xfId="0" applyNumberFormat="1"/>
    <xf numFmtId="0" fontId="29" fillId="0" borderId="0" xfId="0" applyFont="1"/>
    <xf numFmtId="2" fontId="31" fillId="0" borderId="0" xfId="0" applyNumberFormat="1" applyFont="1"/>
    <xf numFmtId="0" fontId="31" fillId="0" borderId="0" xfId="0" applyFont="1"/>
    <xf numFmtId="166" fontId="0" fillId="0" borderId="0" xfId="0" applyNumberFormat="1"/>
    <xf numFmtId="0" fontId="11" fillId="6" borderId="0" xfId="0" applyFont="1" applyFill="1"/>
    <xf numFmtId="11" fontId="0" fillId="0" borderId="14" xfId="0" applyNumberFormat="1" applyBorder="1"/>
    <xf numFmtId="0" fontId="0" fillId="0" borderId="20" xfId="0" applyBorder="1"/>
    <xf numFmtId="0" fontId="0" fillId="0" borderId="21" xfId="0" applyBorder="1"/>
    <xf numFmtId="11" fontId="0" fillId="0" borderId="13" xfId="0" applyNumberFormat="1" applyBorder="1"/>
    <xf numFmtId="11" fontId="0" fillId="0" borderId="0" xfId="0" applyNumberFormat="1" applyBorder="1"/>
    <xf numFmtId="11" fontId="0" fillId="0" borderId="16" xfId="0" applyNumberFormat="1" applyBorder="1"/>
    <xf numFmtId="0" fontId="2" fillId="6" borderId="0" xfId="0" applyFont="1" applyFill="1"/>
    <xf numFmtId="0" fontId="26" fillId="0" borderId="0" xfId="0" applyFont="1" applyAlignment="1">
      <alignment horizontal="center"/>
    </xf>
    <xf numFmtId="11" fontId="0" fillId="0" borderId="18" xfId="0" applyNumberFormat="1" applyBorder="1"/>
    <xf numFmtId="0" fontId="1" fillId="6" borderId="0" xfId="0" applyFont="1" applyFill="1"/>
    <xf numFmtId="1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'Exmpl1.2.1-exact'!$Q$2</c:f>
              <c:strCache>
                <c:ptCount val="1"/>
                <c:pt idx="0">
                  <c:v>I from (1)</c:v>
                </c:pt>
              </c:strCache>
            </c:strRef>
          </c:tx>
          <c:marker>
            <c:symbol val="none"/>
          </c:marker>
          <c:cat>
            <c:numRef>
              <c:f>'Exmpl1.2.1-exact'!$P$3:$P$103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'Exmpl1.2.1-exact'!$Q$3:$Q$103</c:f>
              <c:numCache>
                <c:formatCode>General</c:formatCode>
                <c:ptCount val="101"/>
                <c:pt idx="0">
                  <c:v>5.0000000000000001E-3</c:v>
                </c:pt>
                <c:pt idx="1">
                  <c:v>4.9950000000000003E-3</c:v>
                </c:pt>
                <c:pt idx="2">
                  <c:v>4.9900000000000005E-3</c:v>
                </c:pt>
                <c:pt idx="3">
                  <c:v>4.9850000000000007E-3</c:v>
                </c:pt>
                <c:pt idx="4">
                  <c:v>4.9800000000000009E-3</c:v>
                </c:pt>
                <c:pt idx="5">
                  <c:v>4.9749999999999994E-3</c:v>
                </c:pt>
                <c:pt idx="6">
                  <c:v>4.9699999999999996E-3</c:v>
                </c:pt>
                <c:pt idx="7">
                  <c:v>4.9649999999999998E-3</c:v>
                </c:pt>
                <c:pt idx="8">
                  <c:v>4.96E-3</c:v>
                </c:pt>
                <c:pt idx="9">
                  <c:v>4.9550000000000002E-3</c:v>
                </c:pt>
                <c:pt idx="10">
                  <c:v>4.9500000000000004E-3</c:v>
                </c:pt>
                <c:pt idx="11">
                  <c:v>4.9450000000000006E-3</c:v>
                </c:pt>
                <c:pt idx="12">
                  <c:v>4.9400000000000008E-3</c:v>
                </c:pt>
                <c:pt idx="13">
                  <c:v>4.9349999999999993E-3</c:v>
                </c:pt>
                <c:pt idx="14">
                  <c:v>4.9299999999999995E-3</c:v>
                </c:pt>
                <c:pt idx="15">
                  <c:v>4.9249999999999997E-3</c:v>
                </c:pt>
                <c:pt idx="16">
                  <c:v>4.9199999999999999E-3</c:v>
                </c:pt>
                <c:pt idx="17">
                  <c:v>4.9150000000000001E-3</c:v>
                </c:pt>
                <c:pt idx="18">
                  <c:v>4.9100000000000003E-3</c:v>
                </c:pt>
                <c:pt idx="19">
                  <c:v>4.9050000000000005E-3</c:v>
                </c:pt>
                <c:pt idx="20">
                  <c:v>4.9000000000000007E-3</c:v>
                </c:pt>
                <c:pt idx="21">
                  <c:v>4.895E-3</c:v>
                </c:pt>
                <c:pt idx="22">
                  <c:v>4.8899999999999994E-3</c:v>
                </c:pt>
                <c:pt idx="23">
                  <c:v>4.8849999999999996E-3</c:v>
                </c:pt>
                <c:pt idx="24">
                  <c:v>4.8799999999999998E-3</c:v>
                </c:pt>
                <c:pt idx="25">
                  <c:v>4.875E-3</c:v>
                </c:pt>
                <c:pt idx="26">
                  <c:v>4.8700000000000002E-3</c:v>
                </c:pt>
                <c:pt idx="27">
                  <c:v>4.8650000000000004E-3</c:v>
                </c:pt>
                <c:pt idx="28">
                  <c:v>4.8600000000000006E-3</c:v>
                </c:pt>
                <c:pt idx="29">
                  <c:v>4.8550000000000008E-3</c:v>
                </c:pt>
                <c:pt idx="30">
                  <c:v>4.8500000000000001E-3</c:v>
                </c:pt>
                <c:pt idx="31">
                  <c:v>4.8449999999999995E-3</c:v>
                </c:pt>
                <c:pt idx="32">
                  <c:v>4.8399999999999997E-3</c:v>
                </c:pt>
                <c:pt idx="33">
                  <c:v>4.8349999999999999E-3</c:v>
                </c:pt>
                <c:pt idx="34">
                  <c:v>4.8300000000000001E-3</c:v>
                </c:pt>
                <c:pt idx="35">
                  <c:v>4.8250000000000003E-3</c:v>
                </c:pt>
                <c:pt idx="36">
                  <c:v>4.8200000000000005E-3</c:v>
                </c:pt>
                <c:pt idx="37">
                  <c:v>4.8150000000000007E-3</c:v>
                </c:pt>
                <c:pt idx="38">
                  <c:v>4.81E-3</c:v>
                </c:pt>
                <c:pt idx="39">
                  <c:v>4.8050000000000002E-3</c:v>
                </c:pt>
                <c:pt idx="40">
                  <c:v>4.7999999999999996E-3</c:v>
                </c:pt>
                <c:pt idx="41">
                  <c:v>4.7949999999999998E-3</c:v>
                </c:pt>
                <c:pt idx="42">
                  <c:v>4.79E-3</c:v>
                </c:pt>
                <c:pt idx="43">
                  <c:v>4.7850000000000002E-3</c:v>
                </c:pt>
                <c:pt idx="44">
                  <c:v>4.7800000000000004E-3</c:v>
                </c:pt>
                <c:pt idx="45">
                  <c:v>4.7750000000000006E-3</c:v>
                </c:pt>
                <c:pt idx="46">
                  <c:v>4.7699999999999999E-3</c:v>
                </c:pt>
                <c:pt idx="47">
                  <c:v>4.7650000000000001E-3</c:v>
                </c:pt>
                <c:pt idx="48">
                  <c:v>4.7599999999999995E-3</c:v>
                </c:pt>
                <c:pt idx="49">
                  <c:v>4.7549999999999997E-3</c:v>
                </c:pt>
                <c:pt idx="50">
                  <c:v>4.7499999999999999E-3</c:v>
                </c:pt>
                <c:pt idx="51">
                  <c:v>4.7450000000000001E-3</c:v>
                </c:pt>
                <c:pt idx="52">
                  <c:v>4.7400000000000003E-3</c:v>
                </c:pt>
                <c:pt idx="53">
                  <c:v>4.7350000000000005E-3</c:v>
                </c:pt>
                <c:pt idx="54">
                  <c:v>4.7300000000000007E-3</c:v>
                </c:pt>
                <c:pt idx="55">
                  <c:v>4.725E-3</c:v>
                </c:pt>
                <c:pt idx="56">
                  <c:v>4.7200000000000002E-3</c:v>
                </c:pt>
                <c:pt idx="57">
                  <c:v>4.7149999999999996E-3</c:v>
                </c:pt>
                <c:pt idx="58">
                  <c:v>4.7099999999999998E-3</c:v>
                </c:pt>
                <c:pt idx="59">
                  <c:v>4.705E-3</c:v>
                </c:pt>
                <c:pt idx="60">
                  <c:v>4.7000000000000002E-3</c:v>
                </c:pt>
                <c:pt idx="61">
                  <c:v>4.6950000000000004E-3</c:v>
                </c:pt>
                <c:pt idx="62">
                  <c:v>4.6900000000000006E-3</c:v>
                </c:pt>
                <c:pt idx="63">
                  <c:v>4.6849999999999999E-3</c:v>
                </c:pt>
                <c:pt idx="64">
                  <c:v>4.6800000000000001E-3</c:v>
                </c:pt>
                <c:pt idx="65">
                  <c:v>4.6750000000000003E-3</c:v>
                </c:pt>
                <c:pt idx="66">
                  <c:v>4.6699999999999997E-3</c:v>
                </c:pt>
                <c:pt idx="67">
                  <c:v>4.6649999999999999E-3</c:v>
                </c:pt>
                <c:pt idx="68">
                  <c:v>4.6600000000000001E-3</c:v>
                </c:pt>
                <c:pt idx="69">
                  <c:v>4.6550000000000003E-3</c:v>
                </c:pt>
                <c:pt idx="70">
                  <c:v>4.6500000000000005E-3</c:v>
                </c:pt>
                <c:pt idx="71">
                  <c:v>4.6449999999999998E-3</c:v>
                </c:pt>
                <c:pt idx="72">
                  <c:v>4.64E-3</c:v>
                </c:pt>
                <c:pt idx="73">
                  <c:v>4.6350000000000002E-3</c:v>
                </c:pt>
                <c:pt idx="74">
                  <c:v>4.6299999999999996E-3</c:v>
                </c:pt>
                <c:pt idx="75">
                  <c:v>4.6249999999999998E-3</c:v>
                </c:pt>
                <c:pt idx="76">
                  <c:v>4.62E-3</c:v>
                </c:pt>
                <c:pt idx="77">
                  <c:v>4.6150000000000002E-3</c:v>
                </c:pt>
                <c:pt idx="78">
                  <c:v>4.6100000000000004E-3</c:v>
                </c:pt>
                <c:pt idx="79">
                  <c:v>4.6050000000000006E-3</c:v>
                </c:pt>
                <c:pt idx="80">
                  <c:v>4.5999999999999999E-3</c:v>
                </c:pt>
                <c:pt idx="81">
                  <c:v>4.5950000000000001E-3</c:v>
                </c:pt>
                <c:pt idx="82">
                  <c:v>4.5900000000000003E-3</c:v>
                </c:pt>
                <c:pt idx="83">
                  <c:v>4.5849999999999997E-3</c:v>
                </c:pt>
                <c:pt idx="84">
                  <c:v>4.5799999999999999E-3</c:v>
                </c:pt>
                <c:pt idx="85">
                  <c:v>4.5750000000000001E-3</c:v>
                </c:pt>
                <c:pt idx="86">
                  <c:v>4.5700000000000003E-3</c:v>
                </c:pt>
                <c:pt idx="87">
                  <c:v>4.5650000000000005E-3</c:v>
                </c:pt>
                <c:pt idx="88">
                  <c:v>4.5599999999999998E-3</c:v>
                </c:pt>
                <c:pt idx="89">
                  <c:v>4.555E-3</c:v>
                </c:pt>
                <c:pt idx="90">
                  <c:v>4.5500000000000002E-3</c:v>
                </c:pt>
                <c:pt idx="91">
                  <c:v>4.5450000000000004E-3</c:v>
                </c:pt>
                <c:pt idx="92">
                  <c:v>4.5399999999999998E-3</c:v>
                </c:pt>
                <c:pt idx="93">
                  <c:v>4.535E-3</c:v>
                </c:pt>
                <c:pt idx="94">
                  <c:v>4.5300000000000002E-3</c:v>
                </c:pt>
                <c:pt idx="95">
                  <c:v>4.5250000000000004E-3</c:v>
                </c:pt>
                <c:pt idx="96">
                  <c:v>4.5199999999999997E-3</c:v>
                </c:pt>
                <c:pt idx="97">
                  <c:v>4.5149999999999999E-3</c:v>
                </c:pt>
                <c:pt idx="98">
                  <c:v>4.5100000000000001E-3</c:v>
                </c:pt>
                <c:pt idx="99">
                  <c:v>4.5050000000000003E-3</c:v>
                </c:pt>
                <c:pt idx="100">
                  <c:v>4.5000000000000005E-3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'Exmpl1.2.1-exact'!$R$2</c:f>
              <c:strCache>
                <c:ptCount val="1"/>
                <c:pt idx="0">
                  <c:v>I from VAH(D)</c:v>
                </c:pt>
              </c:strCache>
            </c:strRef>
          </c:tx>
          <c:marker>
            <c:symbol val="none"/>
          </c:marker>
          <c:cat>
            <c:numRef>
              <c:f>'Exmpl1.2.1-exact'!$P$3:$P$103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'Exmpl1.2.1-exact'!$R$3:$R$103</c:f>
              <c:numCache>
                <c:formatCode>General</c:formatCode>
                <c:ptCount val="101"/>
                <c:pt idx="0">
                  <c:v>0</c:v>
                </c:pt>
                <c:pt idx="1">
                  <c:v>3.2006777948325877E-10</c:v>
                </c:pt>
                <c:pt idx="2">
                  <c:v>7.0843114794208026E-10</c:v>
                </c:pt>
                <c:pt idx="3">
                  <c:v>1.1796629170510709E-9</c:v>
                </c:pt>
                <c:pt idx="4">
                  <c:v>1.7514454234671828E-9</c:v>
                </c:pt>
                <c:pt idx="5">
                  <c:v>2.44523403466728E-9</c:v>
                </c:pt>
                <c:pt idx="6">
                  <c:v>3.287062232679103E-9</c:v>
                </c:pt>
                <c:pt idx="7">
                  <c:v>4.3085184853869498E-9</c:v>
                </c:pt>
                <c:pt idx="8">
                  <c:v>5.5479315611904591E-9</c:v>
                </c:pt>
                <c:pt idx="9">
                  <c:v>7.0518087643505954E-9</c:v>
                </c:pt>
                <c:pt idx="10">
                  <c:v>8.8765810588647096E-9</c:v>
                </c:pt>
                <c:pt idx="11">
                  <c:v>1.109072056429062E-8</c:v>
                </c:pt>
                <c:pt idx="12">
                  <c:v>1.3777309879695089E-8</c:v>
                </c:pt>
                <c:pt idx="13">
                  <c:v>1.7037159646142861E-8</c:v>
                </c:pt>
                <c:pt idx="14">
                  <c:v>2.0992591330054607E-8</c:v>
                </c:pt>
                <c:pt idx="15">
                  <c:v>2.5792027171277912E-8</c:v>
                </c:pt>
                <c:pt idx="16">
                  <c:v>3.161555952748305E-8</c:v>
                </c:pt>
                <c:pt idx="17">
                  <c:v>3.8681708597021169E-8</c:v>
                </c:pt>
                <c:pt idx="18">
                  <c:v>4.7255622094682436E-8</c:v>
                </c:pt>
                <c:pt idx="19">
                  <c:v>5.7659024562129056E-8</c:v>
                </c:pt>
                <c:pt idx="20">
                  <c:v>7.0282289647459898E-8</c:v>
                </c:pt>
                <c:pt idx="21">
                  <c:v>8.5599088349917595E-8</c:v>
                </c:pt>
                <c:pt idx="22">
                  <c:v>1.0418416288536714E-7</c:v>
                </c:pt>
                <c:pt idx="23">
                  <c:v>1.2673489311287814E-7</c:v>
                </c:pt>
                <c:pt idx="24">
                  <c:v>1.540974647734861E-7</c:v>
                </c:pt>
                <c:pt idx="25">
                  <c:v>1.8729862146900229E-7</c:v>
                </c:pt>
                <c:pt idx="26">
                  <c:v>2.2758419183105821E-7</c:v>
                </c:pt>
                <c:pt idx="27">
                  <c:v>2.7646583756044732E-7</c:v>
                </c:pt>
                <c:pt idx="28">
                  <c:v>3.3577777649389839E-7</c:v>
                </c:pt>
                <c:pt idx="29">
                  <c:v>4.0774560915486667E-7</c:v>
                </c:pt>
                <c:pt idx="30">
                  <c:v>4.9506983141184793E-7</c:v>
                </c:pt>
                <c:pt idx="31">
                  <c:v>6.0102716694409204E-7</c:v>
                </c:pt>
                <c:pt idx="32">
                  <c:v>7.2959352187884896E-7</c:v>
                </c:pt>
                <c:pt idx="33">
                  <c:v>8.8559317530708794E-7</c:v>
                </c:pt>
                <c:pt idx="34">
                  <c:v>1.0748798038506165E-6</c:v>
                </c:pt>
                <c:pt idx="35">
                  <c:v>1.3045561329833437E-6</c:v>
                </c:pt>
                <c:pt idx="36">
                  <c:v>1.5832404572263241E-6</c:v>
                </c:pt>
                <c:pt idx="37">
                  <c:v>1.9213900300274667E-6</c:v>
                </c:pt>
                <c:pt idx="38">
                  <c:v>2.3316934580950589E-6</c:v>
                </c:pt>
                <c:pt idx="39">
                  <c:v>2.8295468242532931E-6</c:v>
                </c:pt>
                <c:pt idx="40">
                  <c:v>3.4336314046878852E-6</c:v>
                </c:pt>
                <c:pt idx="41">
                  <c:v>4.1666146586423174E-6</c:v>
                </c:pt>
                <c:pt idx="42">
                  <c:v>5.0560007942578331E-6</c:v>
                </c:pt>
                <c:pt idx="43">
                  <c:v>6.1351628268931147E-6</c:v>
                </c:pt>
                <c:pt idx="44">
                  <c:v>7.4445948565205405E-6</c:v>
                </c:pt>
                <c:pt idx="45">
                  <c:v>9.0334315542193702E-6</c:v>
                </c:pt>
                <c:pt idx="46">
                  <c:v>1.0961291874447518E-5</c:v>
                </c:pt>
                <c:pt idx="47">
                  <c:v>1.3300516175908538E-5</c:v>
                </c:pt>
                <c:pt idx="48">
                  <c:v>1.6138880695957493E-5</c:v>
                </c:pt>
                <c:pt idx="49">
                  <c:v>1.958289123553721E-5</c:v>
                </c:pt>
                <c:pt idx="50">
                  <c:v>2.3761779645730403E-5</c:v>
                </c:pt>
                <c:pt idx="51">
                  <c:v>2.8832353078696171E-5</c:v>
                </c:pt>
                <c:pt idx="52">
                  <c:v>3.4984877964592713E-5</c:v>
                </c:pt>
                <c:pt idx="53">
                  <c:v>4.2450219502785518E-5</c:v>
                </c:pt>
                <c:pt idx="54">
                  <c:v>5.1508504567120658E-5</c:v>
                </c:pt>
                <c:pt idx="55">
                  <c:v>6.2499633089101202E-5</c:v>
                </c:pt>
                <c:pt idx="56">
                  <c:v>7.5836032344445383E-5</c:v>
                </c:pt>
                <c:pt idx="57">
                  <c:v>9.2018132730429511E-5</c:v>
                </c:pt>
                <c:pt idx="58">
                  <c:v>1.1165314574169192E-4</c:v>
                </c:pt>
                <c:pt idx="59">
                  <c:v>1.3547784876271406E-4</c:v>
                </c:pt>
                <c:pt idx="60">
                  <c:v>1.6438623164559399E-4</c:v>
                </c:pt>
                <c:pt idx="61">
                  <c:v>1.9946304247365736E-4</c:v>
                </c:pt>
                <c:pt idx="62">
                  <c:v>2.4202449127044915E-4</c:v>
                </c:pt>
                <c:pt idx="63">
                  <c:v>2.9366763900589454E-4</c:v>
                </c:pt>
                <c:pt idx="64">
                  <c:v>3.5633032515547928E-4</c:v>
                </c:pt>
                <c:pt idx="65">
                  <c:v>4.3236388251330002E-4</c:v>
                </c:pt>
                <c:pt idx="66">
                  <c:v>5.2462136778427457E-4</c:v>
                </c:pt>
                <c:pt idx="67">
                  <c:v>6.3656461868950918E-4</c:v>
                </c:pt>
                <c:pt idx="68">
                  <c:v>7.7239415475832771E-4</c:v>
                </c:pt>
                <c:pt idx="69">
                  <c:v>9.3720679615900331E-4</c:v>
                </c:pt>
                <c:pt idx="70">
                  <c:v>1.1371869150022702E-3</c:v>
                </c:pt>
                <c:pt idx="71">
                  <c:v>1.3798384955648457E-3</c:v>
                </c:pt>
                <c:pt idx="72">
                  <c:v>1.6742667111799326E-3</c:v>
                </c:pt>
                <c:pt idx="73">
                  <c:v>2.0315195835877782E-3</c:v>
                </c:pt>
                <c:pt idx="74">
                  <c:v>2.4650025450526874E-3</c:v>
                </c:pt>
                <c:pt idx="75">
                  <c:v>2.9909814591308642E-3</c:v>
                </c:pt>
                <c:pt idx="76">
                  <c:v>3.6291929752650526E-3</c:v>
                </c:pt>
                <c:pt idx="77">
                  <c:v>4.4035851199390498E-3</c:v>
                </c:pt>
                <c:pt idx="78">
                  <c:v>5.3432159140764371E-3</c:v>
                </c:pt>
                <c:pt idx="79">
                  <c:v>6.4833437360895876E-3</c:v>
                </c:pt>
                <c:pt idx="80">
                  <c:v>7.866750344981974E-3</c:v>
                </c:pt>
                <c:pt idx="81">
                  <c:v>9.5453462081614478E-3</c:v>
                </c:pt>
                <c:pt idx="82">
                  <c:v>1.1582118371725972E-2</c:v>
                </c:pt>
                <c:pt idx="83">
                  <c:v>1.4053493964427502E-2</c:v>
                </c:pt>
                <c:pt idx="84">
                  <c:v>1.7052208022612408E-2</c:v>
                </c:pt>
                <c:pt idx="85">
                  <c:v>2.0690783247402963E-2</c:v>
                </c:pt>
                <c:pt idx="86">
                  <c:v>2.510575226731453E-2</c:v>
                </c:pt>
                <c:pt idx="87">
                  <c:v>3.0462780841019745E-2</c:v>
                </c:pt>
                <c:pt idx="88">
                  <c:v>3.6962884241534426E-2</c:v>
                </c:pt>
                <c:pt idx="89">
                  <c:v>4.4849970083258646E-2</c:v>
                </c:pt>
                <c:pt idx="90">
                  <c:v>5.4419990626285879E-2</c:v>
                </c:pt>
                <c:pt idx="91">
                  <c:v>6.6032047985857045E-2</c:v>
                </c:pt>
                <c:pt idx="92">
                  <c:v>8.0121868954968339E-2</c:v>
                </c:pt>
                <c:pt idx="93">
                  <c:v>9.7218155064679693E-2</c:v>
                </c:pt>
                <c:pt idx="94">
                  <c:v>0.11796242139608826</c:v>
                </c:pt>
                <c:pt idx="95">
                  <c:v>0.14313306856863231</c:v>
                </c:pt>
                <c:pt idx="96">
                  <c:v>0.17367459117362488</c:v>
                </c:pt>
                <c:pt idx="97">
                  <c:v>0.21073301866009589</c:v>
                </c:pt>
                <c:pt idx="98">
                  <c:v>0.25569891854439109</c:v>
                </c:pt>
                <c:pt idx="99">
                  <c:v>0.31025957558097478</c:v>
                </c:pt>
                <c:pt idx="100">
                  <c:v>0.37646230484745652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50832912"/>
        <c:axId val="-1794113600"/>
      </c:lineChart>
      <c:catAx>
        <c:axId val="-17508329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1794113600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-1794113600"/>
        <c:scaling>
          <c:orientation val="minMax"/>
          <c:max val="1.000000000000000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508329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'P1.1.3-1.1.5'!$I$34:$I$45</c:f>
              <c:numCache>
                <c:formatCode>General</c:formatCode>
                <c:ptCount val="12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</c:numCache>
            </c:numRef>
          </c:cat>
          <c:val>
            <c:numRef>
              <c:f>'P1.1.3-1.1.5'!$J$34:$J$45</c:f>
              <c:numCache>
                <c:formatCode>0.00E+00</c:formatCode>
                <c:ptCount val="12"/>
                <c:pt idx="0">
                  <c:v>1.949593433094285E-8</c:v>
                </c:pt>
                <c:pt idx="1">
                  <c:v>7.6443347521892064E-8</c:v>
                </c:pt>
                <c:pt idx="2">
                  <c:v>4.6607631597690245E-7</c:v>
                </c:pt>
                <c:pt idx="3">
                  <c:v>3.1319366527409099E-6</c:v>
                </c:pt>
                <c:pt idx="4">
                  <c:v>2.1371695375704625E-5</c:v>
                </c:pt>
                <c:pt idx="5">
                  <c:v>1.4616772976802726E-4</c:v>
                </c:pt>
                <c:pt idx="6">
                  <c:v>1.0000194959343309E-3</c:v>
                </c:pt>
                <c:pt idx="7">
                  <c:v>6.8420547988619308E-3</c:v>
                </c:pt>
                <c:pt idx="8">
                  <c:v>4.6813133893643728E-2</c:v>
                </c:pt>
                <c:pt idx="9" formatCode="0.000">
                  <c:v>0.32029439190669523</c:v>
                </c:pt>
                <c:pt idx="10" formatCode="0.000">
                  <c:v>2.1914472398708376</c:v>
                </c:pt>
                <c:pt idx="11" formatCode="0.000">
                  <c:v>14.993834525500707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'P1.1.3-1.1.5'!$I$34:$I$45</c:f>
              <c:numCache>
                <c:formatCode>General</c:formatCode>
                <c:ptCount val="12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</c:numCache>
            </c:numRef>
          </c:cat>
          <c:val>
            <c:numRef>
              <c:f>'P1.1.3-1.1.5'!$K$34:$K$45</c:f>
              <c:numCache>
                <c:formatCode>0.00E+00</c:formatCode>
                <c:ptCount val="12"/>
                <c:pt idx="0">
                  <c:v>1.949593433094285E-8</c:v>
                </c:pt>
                <c:pt idx="1">
                  <c:v>4.0581469443822234E-8</c:v>
                </c:pt>
                <c:pt idx="2">
                  <c:v>1.0727649250935908E-7</c:v>
                </c:pt>
                <c:pt idx="3">
                  <c:v>3.1823751758647181E-7</c:v>
                </c:pt>
                <c:pt idx="4">
                  <c:v>9.8552200233512447E-7</c:v>
                </c:pt>
                <c:pt idx="5">
                  <c:v>3.0961895221934238E-6</c:v>
                </c:pt>
                <c:pt idx="6">
                  <c:v>9.772378585787237E-6</c:v>
                </c:pt>
                <c:pt idx="7">
                  <c:v>3.0889631773935964E-5</c:v>
                </c:pt>
                <c:pt idx="8">
                  <c:v>9.7684981331087092E-5</c:v>
                </c:pt>
                <c:pt idx="9">
                  <c:v>3.0896334612172773E-4</c:v>
                </c:pt>
                <c:pt idx="10">
                  <c:v>9.7725159859076349E-4</c:v>
                </c:pt>
                <c:pt idx="11">
                  <c:v>3.0910941059893418E-3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'P1.1.3-1.1.5'!$I$34:$I$45</c:f>
              <c:numCache>
                <c:formatCode>General</c:formatCode>
                <c:ptCount val="12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</c:numCache>
            </c:numRef>
          </c:cat>
          <c:val>
            <c:numRef>
              <c:f>'P1.1.3-1.1.5'!$L$34:$L$45</c:f>
              <c:numCache>
                <c:formatCode>0.00E+00</c:formatCode>
                <c:ptCount val="12"/>
                <c:pt idx="0">
                  <c:v>1.949593433094285E-8</c:v>
                </c:pt>
                <c:pt idx="1">
                  <c:v>3.524589605789358E-8</c:v>
                </c:pt>
                <c:pt idx="2">
                  <c:v>7.6443347521892064E-8</c:v>
                </c:pt>
                <c:pt idx="3">
                  <c:v>1.8420424475786924E-7</c:v>
                </c:pt>
                <c:pt idx="4">
                  <c:v>4.6607631597690245E-7</c:v>
                </c:pt>
                <c:pt idx="5">
                  <c:v>1.2033740424362703E-6</c:v>
                </c:pt>
                <c:pt idx="6">
                  <c:v>3.1319366527409099E-6</c:v>
                </c:pt>
                <c:pt idx="7">
                  <c:v>8.1765117387458909E-6</c:v>
                </c:pt>
                <c:pt idx="8">
                  <c:v>2.1371695375704625E-5</c:v>
                </c:pt>
                <c:pt idx="9">
                  <c:v>5.588656892691798E-5</c:v>
                </c:pt>
                <c:pt idx="10">
                  <c:v>1.4616772976802726E-4</c:v>
                </c:pt>
                <c:pt idx="11">
                  <c:v>3.8231774754874612E-4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7052352"/>
        <c:axId val="-1507050176"/>
      </c:lineChart>
      <c:catAx>
        <c:axId val="-150705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07050176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-1507050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0705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jpg"/><Relationship Id="rId1" Type="http://schemas.openxmlformats.org/officeDocument/2006/relationships/image" Target="../media/image1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7" Type="http://schemas.openxmlformats.org/officeDocument/2006/relationships/image" Target="../media/image18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6" Type="http://schemas.openxmlformats.org/officeDocument/2006/relationships/image" Target="../media/image17.emf"/><Relationship Id="rId5" Type="http://schemas.openxmlformats.org/officeDocument/2006/relationships/image" Target="../media/image16.emf"/><Relationship Id="rId4" Type="http://schemas.openxmlformats.org/officeDocument/2006/relationships/image" Target="../media/image1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123825</xdr:rowOff>
    </xdr:from>
    <xdr:to>
      <xdr:col>4</xdr:col>
      <xdr:colOff>561973</xdr:colOff>
      <xdr:row>10</xdr:row>
      <xdr:rowOff>114299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123825"/>
          <a:ext cx="2819399" cy="211454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198120</xdr:colOff>
          <xdr:row>0</xdr:row>
          <xdr:rowOff>76200</xdr:rowOff>
        </xdr:from>
        <xdr:to>
          <xdr:col>12</xdr:col>
          <xdr:colOff>845820</xdr:colOff>
          <xdr:row>3</xdr:row>
          <xdr:rowOff>7620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3</xdr:row>
          <xdr:rowOff>144780</xdr:rowOff>
        </xdr:from>
        <xdr:to>
          <xdr:col>12</xdr:col>
          <xdr:colOff>1143000</xdr:colOff>
          <xdr:row>6</xdr:row>
          <xdr:rowOff>160020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57150</xdr:colOff>
      <xdr:row>7</xdr:row>
      <xdr:rowOff>76200</xdr:rowOff>
    </xdr:from>
    <xdr:to>
      <xdr:col>9</xdr:col>
      <xdr:colOff>485775</xdr:colOff>
      <xdr:row>24</xdr:row>
      <xdr:rowOff>166687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123825</xdr:rowOff>
    </xdr:from>
    <xdr:to>
      <xdr:col>4</xdr:col>
      <xdr:colOff>561973</xdr:colOff>
      <xdr:row>10</xdr:row>
      <xdr:rowOff>123824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123825"/>
          <a:ext cx="2819399" cy="211454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14</xdr:row>
      <xdr:rowOff>95251</xdr:rowOff>
    </xdr:from>
    <xdr:to>
      <xdr:col>5</xdr:col>
      <xdr:colOff>180975</xdr:colOff>
      <xdr:row>19</xdr:row>
      <xdr:rowOff>50081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3057526"/>
          <a:ext cx="3200400" cy="90733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83820</xdr:rowOff>
        </xdr:from>
        <xdr:to>
          <xdr:col>12</xdr:col>
          <xdr:colOff>601980</xdr:colOff>
          <xdr:row>12</xdr:row>
          <xdr:rowOff>76200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</xdr:colOff>
          <xdr:row>14</xdr:row>
          <xdr:rowOff>60960</xdr:rowOff>
        </xdr:from>
        <xdr:to>
          <xdr:col>14</xdr:col>
          <xdr:colOff>563880</xdr:colOff>
          <xdr:row>15</xdr:row>
          <xdr:rowOff>182880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17</xdr:row>
          <xdr:rowOff>38100</xdr:rowOff>
        </xdr:from>
        <xdr:to>
          <xdr:col>10</xdr:col>
          <xdr:colOff>190500</xdr:colOff>
          <xdr:row>20</xdr:row>
          <xdr:rowOff>106680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607093</xdr:colOff>
      <xdr:row>3</xdr:row>
      <xdr:rowOff>59906</xdr:rowOff>
    </xdr:from>
    <xdr:ext cx="1692904" cy="4424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111540" y="711617"/>
              <a:ext cx="1692904" cy="442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𝑖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r>
                      <a:rPr lang="en-US" sz="16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600" b="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111540" y="711617"/>
              <a:ext cx="1692904" cy="442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/>
                </a:rPr>
                <a:t>𝑖_𝑆=𝐼_𝑆 𝑒^(𝑣_𝐷⁄(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𝑉</a:t>
              </a:r>
              <a:r>
                <a:rPr lang="el-GR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𝑇 ))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2</xdr:col>
      <xdr:colOff>21963</xdr:colOff>
      <xdr:row>8</xdr:row>
      <xdr:rowOff>16484</xdr:rowOff>
    </xdr:from>
    <xdr:ext cx="1655987" cy="7975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240277" y="1705510"/>
              <a:ext cx="1655987" cy="797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/>
                      </a:rPr>
                      <m:t>1=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/>
                              </a:rPr>
                              <m:t>26.9231</m:t>
                            </m:r>
                          </m:num>
                          <m:den>
                            <m:r>
                              <a:rPr lang="el-GR" sz="1600" b="0" i="1">
                                <a:latin typeface="Cambria Math"/>
                              </a:rPr>
                              <m:t>𝜂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n-US" sz="16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/>
                      </a:rPr>
                      <m:t>2=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28.0769</m:t>
                            </m:r>
                          </m:num>
                          <m:den>
                            <m:r>
                              <a:rPr lang="el-GR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𝜂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240277" y="1705510"/>
              <a:ext cx="1655987" cy="797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600" b="0" i="0">
                  <a:latin typeface="Cambria Math"/>
                </a:rPr>
                <a:t>1=𝐼_𝑆 𝑒^(26.9231⁄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)</a:t>
              </a:r>
              <a:endParaRPr lang="en-US" sz="1600" b="0"/>
            </a:p>
            <a:p>
              <a:r>
                <a:rPr lang="en-US" sz="1600" b="0" i="0">
                  <a:latin typeface="Cambria Math"/>
                </a:rPr>
                <a:t>2=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𝐼_𝑆 𝑒^(2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8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0769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⁄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1</xdr:col>
      <xdr:colOff>16244</xdr:colOff>
      <xdr:row>14</xdr:row>
      <xdr:rowOff>62317</xdr:rowOff>
    </xdr:from>
    <xdr:ext cx="3451284" cy="16031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23332" y="2993086"/>
              <a:ext cx="3451284" cy="1603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itchFamily="18" charset="0"/>
                        <a:ea typeface="Cambria Math" pitchFamily="18" charset="0"/>
                      </a:rPr>
                      <m:t>2=</m:t>
                    </m:r>
                    <m:f>
                      <m:fPr>
                        <m:ctrlPr>
                          <a:rPr lang="en-US" sz="16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600" b="0" i="1">
                                <a:latin typeface="Cambria Math" pitchFamily="18" charset="0"/>
                                <a:ea typeface="Cambria Math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itchFamily="18" charset="0"/>
                                <a:ea typeface="Cambria Math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28.0769</m:t>
                                </m:r>
                              </m:num>
                              <m:den>
                                <m:r>
                                  <m:rPr>
                                    <m:sty m:val="p"/>
                                  </m:rPr>
                                  <a:rPr lang="el-GR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26.9231</m:t>
                                </m:r>
                              </m:num>
                              <m:den>
                                <m:r>
                                  <m:rPr>
                                    <m:sty m:val="p"/>
                                  </m:rPr>
                                  <a:rPr lang="el-GR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</m:den>
                    </m:f>
                  </m:oMath>
                </m:oMathPara>
              </a14:m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itchFamily="18" charset="0"/>
                            <a:ea typeface="Cambria Math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2</m:t>
                        </m:r>
                      </m:e>
                    </m:func>
                    <m:r>
                      <a:rPr lang="en-US" sz="1400" b="0" i="1">
                        <a:latin typeface="Cambria Math" pitchFamily="18" charset="0"/>
                        <a:ea typeface="Cambria Math" pitchFamily="18" charset="0"/>
                      </a:rPr>
                      <m:t>= </m:t>
                    </m:r>
                    <m:func>
                      <m:funcPr>
                        <m:ctrlP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itchFamily="18" charset="0"/>
                            <a:ea typeface="Cambria Math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28.0769</m:t>
                                </m:r>
                              </m:num>
                              <m:den>
                                <m:r>
                                  <a:rPr lang="el-G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𝜂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en-US" sz="1400" b="0" i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−</m:t>
                    </m:r>
                    <m:func>
                      <m:func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itchFamily="18" charset="0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26.9231</m:t>
                                </m:r>
                              </m:num>
                              <m:den>
                                <m:r>
                                  <a:rPr lang="el-G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𝜂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23332" y="2993086"/>
              <a:ext cx="3451284" cy="1603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2=𝑒^(28.0769/</a:t>
              </a:r>
              <a:r>
                <a:rPr lang="el-GR" sz="1600" b="0" i="0">
                  <a:latin typeface="Cambria Math" pitchFamily="18" charset="0"/>
                  <a:ea typeface="Cambria Math" pitchFamily="18" charset="0"/>
                </a:rPr>
                <a:t>η</a:t>
              </a:r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)/𝑒^(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26.9231/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) </a:t>
              </a:r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r>
                <a:rPr lang="en-US" sz="1400" b="0" i="0">
                  <a:latin typeface="Cambria Math" pitchFamily="18" charset="0"/>
                  <a:ea typeface="Cambria Math" pitchFamily="18" charset="0"/>
                </a:rPr>
                <a:t>ln⁡2=  ln⁡(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28.0769/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)−ln⁡(26.9231/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𝜂)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45804</xdr:colOff>
      <xdr:row>8</xdr:row>
      <xdr:rowOff>93965</xdr:rowOff>
    </xdr:from>
    <xdr:ext cx="2005733" cy="4970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431491" y="1789624"/>
              <a:ext cx="2005733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400" i="1">
                        <a:latin typeface="Cambria Math"/>
                      </a:rPr>
                      <m:t>𝜂</m:t>
                    </m:r>
                    <m:r>
                      <a:rPr lang="en-US" sz="14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/>
                          </a:rPr>
                          <m:t>28.0769−26.9231</m:t>
                        </m:r>
                      </m:num>
                      <m:den>
                        <m:r>
                          <a:rPr lang="en-US" sz="1400" b="0" i="1">
                            <a:latin typeface="Cambria Math"/>
                          </a:rPr>
                          <m:t>0.69315</m:t>
                        </m:r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431491" y="1789624"/>
              <a:ext cx="2005733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l-GR" sz="1400" i="0">
                  <a:latin typeface="Cambria Math"/>
                </a:rPr>
                <a:t>𝜂</a:t>
              </a:r>
              <a:r>
                <a:rPr lang="en-US" sz="1400" b="0" i="0">
                  <a:latin typeface="Cambria Math"/>
                </a:rPr>
                <a:t>=(28.0769−26.9231)/0.69315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6</xdr:col>
      <xdr:colOff>371929</xdr:colOff>
      <xdr:row>16</xdr:row>
      <xdr:rowOff>19753</xdr:rowOff>
    </xdr:from>
    <xdr:ext cx="1847082" cy="595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150528" y="3327335"/>
              <a:ext cx="1847082" cy="595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𝑑</m:t>
                        </m:r>
                      </m:sub>
                    </m:sSub>
                    <m:r>
                      <a:rPr lang="en-US" sz="16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l-GR" sz="1600" b="0" i="1">
                            <a:latin typeface="Cambria Math"/>
                          </a:rPr>
                          <m:t>𝜂</m:t>
                        </m:r>
                        <m:sSub>
                          <m:sSubPr>
                            <m:ctrlPr>
                              <a:rPr lang="el-GR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𝐷</m:t>
                            </m:r>
                          </m:sub>
                        </m:sSub>
                        <m:r>
                          <a:rPr lang="en-US" sz="16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𝑆</m:t>
                            </m:r>
                          </m:sub>
                        </m:sSub>
                      </m:den>
                    </m:f>
                    <m:r>
                      <a:rPr lang="en-US" sz="1600" b="0" i="1">
                        <a:latin typeface="Cambria Math"/>
                        <a:ea typeface="Cambria Math"/>
                      </a:rPr>
                      <m:t>≅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Pr>
                      <m:num>
                        <m:r>
                          <a:rPr lang="el-GR" sz="16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𝜂</m:t>
                        </m:r>
                        <m:sSub>
                          <m:sSubPr>
                            <m:ctrlPr>
                              <a:rPr lang="el-GR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𝐷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6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150528" y="3327335"/>
              <a:ext cx="1847082" cy="595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/>
                </a:rPr>
                <a:t>𝑟</a:t>
              </a:r>
              <a:r>
                <a:rPr lang="ru-RU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𝑑=(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𝑉</a:t>
              </a:r>
              <a:r>
                <a:rPr lang="el-GR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𝑇)/(𝑖_𝐷+𝐼_𝑆 )</a:t>
              </a:r>
              <a:r>
                <a:rPr lang="en-US" sz="1600" b="0" i="0">
                  <a:latin typeface="Cambria Math"/>
                  <a:ea typeface="Cambria Math"/>
                </a:rPr>
                <a:t>≅</a:t>
              </a:r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𝑇)/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𝑖_𝐷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</a:t>
              </a:r>
              <a:endParaRPr lang="ru-RU" sz="16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5514</xdr:colOff>
      <xdr:row>3</xdr:row>
      <xdr:rowOff>7520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5514</xdr:colOff>
      <xdr:row>4</xdr:row>
      <xdr:rowOff>159920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840330" y="1002131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840330" y="1002131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9</xdr:col>
      <xdr:colOff>5514</xdr:colOff>
      <xdr:row>3</xdr:row>
      <xdr:rowOff>7520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9</xdr:col>
      <xdr:colOff>5514</xdr:colOff>
      <xdr:row>4</xdr:row>
      <xdr:rowOff>159920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840330" y="1032209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840330" y="1032209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2</xdr:col>
      <xdr:colOff>48126</xdr:colOff>
      <xdr:row>19</xdr:row>
      <xdr:rowOff>56147</xdr:rowOff>
    </xdr:from>
    <xdr:ext cx="3208422" cy="12239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67326" y="4042610"/>
              <a:ext cx="3208422" cy="1223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ru-RU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</m:t>
                      </m:r>
                      <m:sSub>
                        <m:sSubPr>
                          <m:ctrlP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e>
                        <m:sub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𝑆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sz="16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e>
                        <m:sub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𝑆</m:t>
                          </m:r>
                        </m:sub>
                      </m:sSub>
                    </m:den>
                  </m:f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𝐼</m:t>
                          </m:r>
                        </m:e>
                        <m: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𝑆</m:t>
                          </m:r>
                        </m:sub>
                      </m:sSub>
                      <m:sSup>
                        <m:sSup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type m:val="skw"/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𝑣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sub>
                              </m:s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+∆</m:t>
                              </m:r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num>
                            <m:den>
                              <m: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𝜂</m:t>
                              </m:r>
                              <m:sSub>
                                <m:sSubPr>
                                  <m:ctrlPr>
                                    <a:rPr lang="el-GR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𝑇</m:t>
                                  </m:r>
                                </m:sub>
                              </m:sSub>
                            </m:den>
                          </m:f>
                        </m:sup>
                      </m:sSup>
                    </m:num>
                    <m:den>
                      <m:sSub>
                        <m:sSub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𝐼</m:t>
                          </m:r>
                        </m:e>
                        <m: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𝑆</m:t>
                          </m:r>
                        </m:sub>
                      </m:sSub>
                      <m:sSup>
                        <m:sSup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type m:val="skw"/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𝑣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sub>
                              </m:sSub>
                            </m:num>
                            <m:den>
                              <m: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𝜂</m:t>
                              </m:r>
                              <m:sSub>
                                <m:sSubPr>
                                  <m:ctrlPr>
                                    <a:rPr lang="el-GR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𝑇</m:t>
                                  </m:r>
                                </m:sub>
                              </m:sSub>
                            </m:den>
                          </m:f>
                        </m:sup>
                      </m:sSup>
                    </m:den>
                  </m:f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→</m:t>
                  </m:r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𝑘</m:t>
                  </m:r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𝑒</m:t>
                      </m:r>
                    </m:e>
                    <m:sup>
                      <m:f>
                        <m:fPr>
                          <m:ctrlP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𝐷</m:t>
                              </m:r>
                            </m:sub>
                          </m:s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+∆</m:t>
                          </m:r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𝑣</m:t>
                          </m:r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𝐷</m:t>
                              </m:r>
                            </m:sub>
                          </m:sSub>
                        </m:num>
                        <m:den>
                          <m:r>
                            <a:rPr lang="el-GR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𝜂</m:t>
                          </m:r>
                          <m:sSub>
                            <m:sSubPr>
                              <m:ctrlP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𝑉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𝑇</m:t>
                              </m:r>
                            </m:sub>
                          </m:sSub>
                        </m:den>
                      </m:f>
                    </m:sup>
                  </m:sSup>
                </m:oMath>
              </a14:m>
              <a:r>
                <a:rPr lang="en-US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;</a:t>
              </a:r>
            </a:p>
            <a:p>
              <a:pPr algn="ctr"/>
              <a:endParaRPr lang="en-US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l-GR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sSub>
                      <m:sSubPr>
                        <m:ctrlPr>
                          <a:rPr lang="el-G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</m:func>
                  </m:oMath>
                </m:oMathPara>
              </a14:m>
              <a:endParaRPr lang="ru-RU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67326" y="4042610"/>
              <a:ext cx="3208422" cy="1223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𝑘𝑖_𝑆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𝐼_𝑆 𝑒^((𝑣_𝐷+∆𝑣)⁄(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 ))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𝐼_𝑆 𝑒^(𝑣_𝐷⁄(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 ))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→𝑘=𝑒^((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𝑣_𝐷+∆𝑣−𝑣_𝐷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</a:t>
              </a:r>
              <a:r>
                <a:rPr lang="en-US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;</a:t>
              </a:r>
            </a:p>
            <a:p>
              <a:pPr algn="ctr"/>
              <a:endParaRPr lang="en-US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𝑣=</a:t>
              </a:r>
              <a:r>
                <a:rPr lang="el-G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</a:t>
              </a:r>
              <a:r>
                <a:rPr lang="el-G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  ln⁡𝑘</a:t>
              </a:r>
              <a:endParaRPr lang="ru-RU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6</xdr:col>
          <xdr:colOff>137160</xdr:colOff>
          <xdr:row>35</xdr:row>
          <xdr:rowOff>22860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14</xdr:col>
      <xdr:colOff>376990</xdr:colOff>
      <xdr:row>30</xdr:row>
      <xdr:rowOff>160421</xdr:rowOff>
    </xdr:from>
    <xdr:to>
      <xdr:col>19</xdr:col>
      <xdr:colOff>545432</xdr:colOff>
      <xdr:row>56</xdr:row>
      <xdr:rowOff>72190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137161</xdr:colOff>
      <xdr:row>25</xdr:row>
      <xdr:rowOff>145669</xdr:rowOff>
    </xdr:from>
    <xdr:to>
      <xdr:col>4</xdr:col>
      <xdr:colOff>601981</xdr:colOff>
      <xdr:row>33</xdr:row>
      <xdr:rowOff>160229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1" y="5212969"/>
          <a:ext cx="2712720" cy="1561420"/>
        </a:xfrm>
        <a:prstGeom prst="rect">
          <a:avLst/>
        </a:prstGeom>
      </xdr:spPr>
    </xdr:pic>
    <xdr:clientData/>
  </xdr:twoCellAnchor>
  <xdr:oneCellAnchor>
    <xdr:from>
      <xdr:col>7</xdr:col>
      <xdr:colOff>354330</xdr:colOff>
      <xdr:row>25</xdr:row>
      <xdr:rowOff>83820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644390" y="5181600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644390" y="5181600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  ln⁡((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𝑖_𝐷+𝐼_𝑆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𝐼_𝑆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371475</xdr:colOff>
      <xdr:row>5</xdr:row>
      <xdr:rowOff>66675</xdr:rowOff>
    </xdr:from>
    <xdr:ext cx="1428750" cy="4380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638675" y="1152525"/>
              <a:ext cx="1428750" cy="43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𝑑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l-GR" sz="1100" b="0" i="1">
                            <a:latin typeface="Cambria Math"/>
                          </a:rPr>
                          <m:t>𝜂</m:t>
                        </m:r>
                        <m:sSub>
                          <m:sSubPr>
                            <m:ctrlPr>
                              <a:rPr lang="el-G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𝐷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𝑆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/>
                        <a:ea typeface="Cambria Math"/>
                      </a:rPr>
                      <m:t>≅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Pr>
                      <m:num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𝜂</m:t>
                        </m:r>
                        <m:sSub>
                          <m:sSubPr>
                            <m:ctrlP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𝐷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638675" y="1152525"/>
              <a:ext cx="1428750" cy="43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𝑟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𝑑=(</a:t>
              </a:r>
              <a:r>
                <a:rPr lang="el-GR" sz="1100" b="0" i="0">
                  <a:latin typeface="Cambria Math"/>
                </a:rPr>
                <a:t>𝜂</a:t>
              </a:r>
              <a:r>
                <a:rPr lang="en-US" sz="1100" b="0" i="0">
                  <a:latin typeface="Cambria Math"/>
                </a:rPr>
                <a:t>𝑉</a:t>
              </a:r>
              <a:r>
                <a:rPr lang="el-GR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𝑇)/(𝑖_𝐷+𝐼_𝑆 )</a:t>
              </a:r>
              <a:r>
                <a:rPr lang="en-US" sz="1100" b="0" i="0">
                  <a:latin typeface="Cambria Math"/>
                  <a:ea typeface="Cambria Math"/>
                </a:rPr>
                <a:t>≅</a:t>
              </a:r>
              <a:r>
                <a:rPr lang="en-US" sz="1100" b="0" i="0">
                  <a:latin typeface="Cambria Math"/>
                  <a:ea typeface="Cambria Math" pitchFamily="18" charset="0"/>
                </a:rPr>
                <a:t>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𝑖_𝐷 </a:t>
              </a:r>
              <a:endParaRPr lang="ru-RU" sz="11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361950</xdr:colOff>
      <xdr:row>9</xdr:row>
      <xdr:rowOff>66675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629150" y="193357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629150" y="193357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  ln⁡((𝑖_𝐷+𝐼_𝑆)/𝐼_𝑆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85724</xdr:colOff>
      <xdr:row>0</xdr:row>
      <xdr:rowOff>142876</xdr:rowOff>
    </xdr:from>
    <xdr:to>
      <xdr:col>11</xdr:col>
      <xdr:colOff>542328</xdr:colOff>
      <xdr:row>9</xdr:row>
      <xdr:rowOff>9525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4" y="142876"/>
          <a:ext cx="6066829" cy="1638299"/>
        </a:xfrm>
        <a:prstGeom prst="rect">
          <a:avLst/>
        </a:prstGeom>
      </xdr:spPr>
    </xdr:pic>
    <xdr:clientData/>
  </xdr:twoCellAnchor>
  <xdr:oneCellAnchor>
    <xdr:from>
      <xdr:col>4</xdr:col>
      <xdr:colOff>171450</xdr:colOff>
      <xdr:row>11</xdr:row>
      <xdr:rowOff>52387</xdr:rowOff>
    </xdr:from>
    <xdr:ext cx="1436996" cy="4370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609850" y="2205037"/>
              <a:ext cx="1436996" cy="437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=2,3</m:t>
                    </m:r>
                    <m:r>
                      <a:rPr lang="el-GR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</m:e>
                    </m:func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609850" y="2205037"/>
              <a:ext cx="1436996" cy="437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𝑣=2,3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𝑉_𝑇  log⁡〖𝑖_2/𝑖_1 〗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257175</xdr:colOff>
      <xdr:row>32</xdr:row>
      <xdr:rowOff>104775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695575" y="660082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95575" y="660082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  ln⁡((𝑖_𝐷+𝐼_𝑆)/𝐼_𝑆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1869</xdr:colOff>
      <xdr:row>0</xdr:row>
      <xdr:rowOff>151465</xdr:rowOff>
    </xdr:from>
    <xdr:ext cx="1562100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902348" y="151465"/>
              <a:ext cx="15621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3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902348" y="151465"/>
              <a:ext cx="15621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𝐼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1+𝐼_2−𝐼_3=0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828674</xdr:colOff>
      <xdr:row>1</xdr:row>
      <xdr:rowOff>157162</xdr:rowOff>
    </xdr:from>
    <xdr:ext cx="2714625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895849" y="347662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4+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sty m:val="p"/>
                      </m:rPr>
                      <a:rPr lang="en-US" sz="12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R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−5−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895849" y="347662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4+𝑅_𝑎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1−R𝐼_2−5−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𝑅_𝑎 𝐼_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829297</xdr:colOff>
      <xdr:row>2</xdr:row>
      <xdr:rowOff>162949</xdr:rowOff>
    </xdr:from>
    <xdr:ext cx="2714625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893000" y="545729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5+</m:t>
                    </m:r>
                    <m:r>
                      <a:rPr lang="en-US" sz="1200" b="0" i="1">
                        <a:latin typeface="Cambria Math"/>
                      </a:rPr>
                      <m:t>𝑅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−3+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893000" y="545729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5+𝑅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2+𝑅_𝑎 𝐼_3−3+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𝑅_𝑎 𝐼_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835942</xdr:colOff>
      <xdr:row>4</xdr:row>
      <xdr:rowOff>88992</xdr:rowOff>
    </xdr:from>
    <xdr:ext cx="3340575" cy="6168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4903117" y="850992"/>
              <a:ext cx="3340575" cy="616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2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𝑅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𝑅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n-US" sz="1200" b="0" i="1"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200" b="0" i="1">
                                  <a:latin typeface="Cambria Math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4903117" y="850992"/>
              <a:ext cx="3340575" cy="616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(■8(1&amp;1&amp;−1@𝑅_𝑎&amp;−𝑅−𝑅_𝑎&amp;0@0&amp;𝑅+𝑅_𝑎&amp;𝑅_𝑎 ))(■8(𝐼_1@𝐼_2@𝐼_3 ))=(■8(0@𝑉_2−𝑉_1@−𝑉_2+𝑉_3 ))</a:t>
              </a:r>
              <a:endParaRPr lang="ru-RU" sz="1200"/>
            </a:p>
          </xdr:txBody>
        </xdr:sp>
      </mc:Fallback>
    </mc:AlternateContent>
    <xdr:clientData/>
  </xdr:oneCellAnchor>
  <xdr:twoCellAnchor editAs="oneCell">
    <xdr:from>
      <xdr:col>0</xdr:col>
      <xdr:colOff>76200</xdr:colOff>
      <xdr:row>7</xdr:row>
      <xdr:rowOff>85726</xdr:rowOff>
    </xdr:from>
    <xdr:to>
      <xdr:col>6</xdr:col>
      <xdr:colOff>137696</xdr:colOff>
      <xdr:row>19</xdr:row>
      <xdr:rowOff>114301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19226"/>
          <a:ext cx="3652421" cy="2609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1</xdr:row>
          <xdr:rowOff>22860</xdr:rowOff>
        </xdr:from>
        <xdr:to>
          <xdr:col>3</xdr:col>
          <xdr:colOff>609600</xdr:colOff>
          <xdr:row>4</xdr:row>
          <xdr:rowOff>45720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289560</xdr:colOff>
      <xdr:row>0</xdr:row>
      <xdr:rowOff>0</xdr:rowOff>
    </xdr:from>
    <xdr:to>
      <xdr:col>9</xdr:col>
      <xdr:colOff>204300</xdr:colOff>
      <xdr:row>7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7960" y="0"/>
          <a:ext cx="3191788" cy="12801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3</xdr:col>
          <xdr:colOff>160020</xdr:colOff>
          <xdr:row>20</xdr:row>
          <xdr:rowOff>121920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2</xdr:col>
          <xdr:colOff>274320</xdr:colOff>
          <xdr:row>27</xdr:row>
          <xdr:rowOff>7620</xdr:rowOff>
        </xdr:to>
        <xdr:sp macro="" textlink="">
          <xdr:nvSpPr>
            <xdr:cNvPr id="11267" name="Object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600634</xdr:colOff>
      <xdr:row>29</xdr:row>
      <xdr:rowOff>7523</xdr:rowOff>
    </xdr:from>
    <xdr:to>
      <xdr:col>6</xdr:col>
      <xdr:colOff>44823</xdr:colOff>
      <xdr:row>43</xdr:row>
      <xdr:rowOff>40408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634" y="5422205"/>
          <a:ext cx="3334871" cy="266682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28</xdr:row>
          <xdr:rowOff>60960</xdr:rowOff>
        </xdr:from>
        <xdr:to>
          <xdr:col>11</xdr:col>
          <xdr:colOff>289560</xdr:colOff>
          <xdr:row>31</xdr:row>
          <xdr:rowOff>22860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31</xdr:row>
          <xdr:rowOff>106680</xdr:rowOff>
        </xdr:from>
        <xdr:to>
          <xdr:col>10</xdr:col>
          <xdr:colOff>541020</xdr:colOff>
          <xdr:row>34</xdr:row>
          <xdr:rowOff>60960</xdr:rowOff>
        </xdr:to>
        <xdr:sp macro="" textlink="">
          <xdr:nvSpPr>
            <xdr:cNvPr id="11269" name="Object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28</xdr:row>
          <xdr:rowOff>22860</xdr:rowOff>
        </xdr:from>
        <xdr:to>
          <xdr:col>16</xdr:col>
          <xdr:colOff>533400</xdr:colOff>
          <xdr:row>34</xdr:row>
          <xdr:rowOff>114300</xdr:rowOff>
        </xdr:to>
        <xdr:sp macro="" textlink="">
          <xdr:nvSpPr>
            <xdr:cNvPr id="11270" name="Object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34</xdr:row>
          <xdr:rowOff>144780</xdr:rowOff>
        </xdr:from>
        <xdr:to>
          <xdr:col>8</xdr:col>
          <xdr:colOff>304800</xdr:colOff>
          <xdr:row>36</xdr:row>
          <xdr:rowOff>99060</xdr:rowOff>
        </xdr:to>
        <xdr:sp macro="" textlink="">
          <xdr:nvSpPr>
            <xdr:cNvPr id="11271" name="Object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373380</xdr:colOff>
          <xdr:row>12</xdr:row>
          <xdr:rowOff>22860</xdr:rowOff>
        </xdr:from>
        <xdr:to>
          <xdr:col>2</xdr:col>
          <xdr:colOff>381000</xdr:colOff>
          <xdr:row>14</xdr:row>
          <xdr:rowOff>152400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10</xdr:col>
          <xdr:colOff>243840</xdr:colOff>
          <xdr:row>4</xdr:row>
          <xdr:rowOff>160020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3.bin"/><Relationship Id="rId9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6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9.bin"/><Relationship Id="rId13" Type="http://schemas.openxmlformats.org/officeDocument/2006/relationships/image" Target="../media/image16.emf"/><Relationship Id="rId3" Type="http://schemas.openxmlformats.org/officeDocument/2006/relationships/vmlDrawing" Target="../drawings/vmlDrawing4.vml"/><Relationship Id="rId7" Type="http://schemas.openxmlformats.org/officeDocument/2006/relationships/image" Target="../media/image13.emf"/><Relationship Id="rId12" Type="http://schemas.openxmlformats.org/officeDocument/2006/relationships/oleObject" Target="../embeddings/oleObject11.bin"/><Relationship Id="rId17" Type="http://schemas.openxmlformats.org/officeDocument/2006/relationships/image" Target="../media/image18.emf"/><Relationship Id="rId2" Type="http://schemas.openxmlformats.org/officeDocument/2006/relationships/drawing" Target="../drawings/drawing9.xml"/><Relationship Id="rId16" Type="http://schemas.openxmlformats.org/officeDocument/2006/relationships/oleObject" Target="../embeddings/oleObject13.bin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8.bin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5" Type="http://schemas.openxmlformats.org/officeDocument/2006/relationships/image" Target="../media/image17.emf"/><Relationship Id="rId10" Type="http://schemas.openxmlformats.org/officeDocument/2006/relationships/oleObject" Target="../embeddings/oleObject10.bin"/><Relationship Id="rId4" Type="http://schemas.openxmlformats.org/officeDocument/2006/relationships/oleObject" Target="../embeddings/oleObject7.bin"/><Relationship Id="rId9" Type="http://schemas.openxmlformats.org/officeDocument/2006/relationships/image" Target="../media/image14.emf"/><Relationship Id="rId14" Type="http://schemas.openxmlformats.org/officeDocument/2006/relationships/oleObject" Target="../embeddings/oleObject1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21.emf"/><Relationship Id="rId4" Type="http://schemas.openxmlformats.org/officeDocument/2006/relationships/oleObject" Target="../embeddings/oleObject1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22.emf"/><Relationship Id="rId4" Type="http://schemas.openxmlformats.org/officeDocument/2006/relationships/oleObject" Target="../embeddings/oleObject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3"/>
  <sheetViews>
    <sheetView workbookViewId="0">
      <selection activeCell="G1" sqref="G1:K2"/>
    </sheetView>
  </sheetViews>
  <sheetFormatPr defaultRowHeight="14.4" x14ac:dyDescent="0.3"/>
  <cols>
    <col min="6" max="6" width="19.5546875" customWidth="1"/>
    <col min="8" max="9" width="9.109375" customWidth="1"/>
    <col min="12" max="12" width="17.5546875" customWidth="1"/>
    <col min="13" max="13" width="20.44140625" customWidth="1"/>
    <col min="15" max="15" width="4.6640625" customWidth="1"/>
    <col min="16" max="16" width="6.5546875" customWidth="1"/>
    <col min="17" max="17" width="12.44140625" customWidth="1"/>
    <col min="18" max="18" width="13.44140625" bestFit="1" customWidth="1"/>
  </cols>
  <sheetData>
    <row r="1" spans="1:18" ht="16.2" x14ac:dyDescent="0.3">
      <c r="H1" s="2" t="s">
        <v>3</v>
      </c>
      <c r="I1" s="2" t="s">
        <v>4</v>
      </c>
      <c r="J1" t="s">
        <v>5</v>
      </c>
    </row>
    <row r="2" spans="1:18" ht="18" x14ac:dyDescent="0.4">
      <c r="G2" s="4" t="s">
        <v>8</v>
      </c>
      <c r="H2">
        <v>1.5</v>
      </c>
      <c r="I2">
        <v>-9</v>
      </c>
      <c r="J2">
        <f>H2*POWER(10,I2)</f>
        <v>1.5000000000000002E-9</v>
      </c>
      <c r="K2" s="2" t="s">
        <v>9</v>
      </c>
      <c r="N2" s="5" t="s">
        <v>12</v>
      </c>
      <c r="P2" t="s">
        <v>1</v>
      </c>
      <c r="Q2" t="s">
        <v>17</v>
      </c>
      <c r="R2" t="s">
        <v>18</v>
      </c>
    </row>
    <row r="3" spans="1:18" ht="15.6" x14ac:dyDescent="0.3">
      <c r="G3" s="4" t="s">
        <v>10</v>
      </c>
      <c r="J3">
        <v>2</v>
      </c>
      <c r="P3" s="2">
        <v>0</v>
      </c>
      <c r="Q3">
        <f t="shared" ref="Q3:Q34" si="0">(1/R_)*(Vsrc-P3)</f>
        <v>5.0000000000000001E-3</v>
      </c>
      <c r="R3">
        <f t="shared" ref="R3:R34" si="1">Is*(EXP(P3/(Eta*Vt))-1)</f>
        <v>0</v>
      </c>
    </row>
    <row r="4" spans="1:18" ht="16.2" x14ac:dyDescent="0.35">
      <c r="G4" s="4" t="s">
        <v>11</v>
      </c>
      <c r="J4">
        <v>2.5852E-2</v>
      </c>
      <c r="K4" s="2" t="s">
        <v>1</v>
      </c>
      <c r="P4" s="2">
        <v>0.01</v>
      </c>
      <c r="Q4">
        <f t="shared" si="0"/>
        <v>4.9950000000000003E-3</v>
      </c>
      <c r="R4">
        <f t="shared" si="1"/>
        <v>3.2006777948325877E-10</v>
      </c>
    </row>
    <row r="5" spans="1:18" ht="18" x14ac:dyDescent="0.4">
      <c r="G5" s="4" t="s">
        <v>7</v>
      </c>
      <c r="H5" s="7">
        <v>1</v>
      </c>
      <c r="I5" s="7">
        <v>1</v>
      </c>
      <c r="J5">
        <f>H5*POWER(10,I5)</f>
        <v>10</v>
      </c>
      <c r="K5" s="2" t="s">
        <v>1</v>
      </c>
      <c r="P5" s="2">
        <v>0.02</v>
      </c>
      <c r="Q5">
        <f t="shared" si="0"/>
        <v>4.9900000000000005E-3</v>
      </c>
      <c r="R5">
        <f t="shared" si="1"/>
        <v>7.0843114794208026E-10</v>
      </c>
    </row>
    <row r="6" spans="1:18" ht="15.6" x14ac:dyDescent="0.3">
      <c r="G6" s="4" t="s">
        <v>2</v>
      </c>
      <c r="H6" s="7">
        <v>2</v>
      </c>
      <c r="I6" s="7">
        <v>3</v>
      </c>
      <c r="J6">
        <f>H6*POWER(10,I6)</f>
        <v>2000</v>
      </c>
      <c r="K6" s="3" t="s">
        <v>6</v>
      </c>
      <c r="N6" s="5" t="s">
        <v>13</v>
      </c>
      <c r="P6" s="2">
        <v>0.03</v>
      </c>
      <c r="Q6">
        <f t="shared" si="0"/>
        <v>4.9850000000000007E-3</v>
      </c>
      <c r="R6">
        <f t="shared" si="1"/>
        <v>1.1796629170510709E-9</v>
      </c>
    </row>
    <row r="7" spans="1:18" x14ac:dyDescent="0.3">
      <c r="P7" s="2">
        <v>0.04</v>
      </c>
      <c r="Q7">
        <f t="shared" si="0"/>
        <v>4.9800000000000009E-3</v>
      </c>
      <c r="R7">
        <f t="shared" si="1"/>
        <v>1.7514454234671828E-9</v>
      </c>
    </row>
    <row r="8" spans="1:18" x14ac:dyDescent="0.3">
      <c r="P8" s="2">
        <v>0.05</v>
      </c>
      <c r="Q8">
        <f t="shared" si="0"/>
        <v>4.9749999999999994E-3</v>
      </c>
      <c r="R8">
        <f t="shared" si="1"/>
        <v>2.44523403466728E-9</v>
      </c>
    </row>
    <row r="9" spans="1:18" ht="16.2" x14ac:dyDescent="0.35">
      <c r="K9" t="s">
        <v>14</v>
      </c>
      <c r="L9" s="6" t="s">
        <v>16</v>
      </c>
      <c r="M9" s="6" t="s">
        <v>15</v>
      </c>
      <c r="P9" s="2">
        <v>0.06</v>
      </c>
      <c r="Q9">
        <f t="shared" si="0"/>
        <v>4.9699999999999996E-3</v>
      </c>
      <c r="R9">
        <f t="shared" si="1"/>
        <v>3.287062232679103E-9</v>
      </c>
    </row>
    <row r="10" spans="1:18" x14ac:dyDescent="0.3">
      <c r="K10">
        <v>1</v>
      </c>
      <c r="L10">
        <v>0.7</v>
      </c>
      <c r="M10">
        <f>(1/R_)*(Vsrc-L10)</f>
        <v>4.6500000000000005E-3</v>
      </c>
      <c r="P10" s="2">
        <v>7.0000000000000007E-2</v>
      </c>
      <c r="Q10">
        <f t="shared" si="0"/>
        <v>4.9649999999999998E-3</v>
      </c>
      <c r="R10">
        <f t="shared" si="1"/>
        <v>4.3085184853869498E-9</v>
      </c>
    </row>
    <row r="11" spans="1:18" x14ac:dyDescent="0.3">
      <c r="K11">
        <v>2</v>
      </c>
      <c r="L11">
        <f>Eta*Vt*LN((M10+Is)/Is)</f>
        <v>0.77281518934022764</v>
      </c>
      <c r="M11">
        <f>(1/R_)*(Vsrc-L11)</f>
        <v>4.6135924053298857E-3</v>
      </c>
      <c r="P11" s="2">
        <v>0.08</v>
      </c>
      <c r="Q11">
        <f t="shared" si="0"/>
        <v>4.96E-3</v>
      </c>
      <c r="R11">
        <f t="shared" si="1"/>
        <v>5.5479315611904591E-9</v>
      </c>
    </row>
    <row r="12" spans="1:18" x14ac:dyDescent="0.3">
      <c r="K12">
        <v>3</v>
      </c>
      <c r="L12">
        <f>Eta*Vt*LN((M11+Is)/Is)</f>
        <v>0.77240877522460882</v>
      </c>
      <c r="M12">
        <f>(1/R_)*(Vsrc-L12)</f>
        <v>4.6137956123876956E-3</v>
      </c>
      <c r="P12" s="2">
        <v>0.09</v>
      </c>
      <c r="Q12">
        <f t="shared" si="0"/>
        <v>4.9550000000000002E-3</v>
      </c>
      <c r="R12">
        <f t="shared" si="1"/>
        <v>7.0518087643505954E-9</v>
      </c>
    </row>
    <row r="13" spans="1:18" ht="20.399999999999999" x14ac:dyDescent="0.45">
      <c r="A13" s="1" t="s">
        <v>0</v>
      </c>
      <c r="K13">
        <v>4</v>
      </c>
      <c r="L13">
        <f>Eta*Vt*LN((M12+Is)/Is)</f>
        <v>0.77241105249186637</v>
      </c>
      <c r="M13">
        <f>(1/R_)*(Vsrc-L13)</f>
        <v>4.6137944737540664E-3</v>
      </c>
      <c r="P13" s="2">
        <v>0.1</v>
      </c>
      <c r="Q13">
        <f t="shared" si="0"/>
        <v>4.9500000000000004E-3</v>
      </c>
      <c r="R13">
        <f t="shared" si="1"/>
        <v>8.8765810588647096E-9</v>
      </c>
    </row>
    <row r="14" spans="1:18" x14ac:dyDescent="0.3">
      <c r="P14" s="2">
        <v>0.11</v>
      </c>
      <c r="Q14">
        <f t="shared" si="0"/>
        <v>4.9450000000000006E-3</v>
      </c>
      <c r="R14">
        <f t="shared" si="1"/>
        <v>1.109072056429062E-8</v>
      </c>
    </row>
    <row r="15" spans="1:18" x14ac:dyDescent="0.3">
      <c r="P15" s="2">
        <v>0.12</v>
      </c>
      <c r="Q15">
        <f t="shared" si="0"/>
        <v>4.9400000000000008E-3</v>
      </c>
      <c r="R15">
        <f t="shared" si="1"/>
        <v>1.3777309879695089E-8</v>
      </c>
    </row>
    <row r="16" spans="1:18" x14ac:dyDescent="0.3">
      <c r="L16" s="9" t="s">
        <v>25</v>
      </c>
      <c r="M16">
        <f>'Exmpl1.2.1-lin approx'!M3</f>
        <v>4.6099290780141841E-3</v>
      </c>
      <c r="P16" s="2">
        <v>0.13</v>
      </c>
      <c r="Q16">
        <f t="shared" si="0"/>
        <v>4.9349999999999993E-3</v>
      </c>
      <c r="R16">
        <f t="shared" si="1"/>
        <v>1.7037159646142861E-8</v>
      </c>
    </row>
    <row r="17" spans="2:18" x14ac:dyDescent="0.3">
      <c r="B17">
        <f>10/2000</f>
        <v>5.0000000000000001E-3</v>
      </c>
      <c r="P17" s="2">
        <v>0.14000000000000001</v>
      </c>
      <c r="Q17">
        <f t="shared" si="0"/>
        <v>4.9299999999999995E-3</v>
      </c>
      <c r="R17">
        <f t="shared" si="1"/>
        <v>2.0992591330054607E-8</v>
      </c>
    </row>
    <row r="18" spans="2:18" x14ac:dyDescent="0.3">
      <c r="P18" s="2">
        <v>0.15</v>
      </c>
      <c r="Q18">
        <f t="shared" si="0"/>
        <v>4.9249999999999997E-3</v>
      </c>
      <c r="R18">
        <f t="shared" si="1"/>
        <v>2.5792027171277912E-8</v>
      </c>
    </row>
    <row r="19" spans="2:18" x14ac:dyDescent="0.3">
      <c r="P19" s="2">
        <v>0.16</v>
      </c>
      <c r="Q19">
        <f t="shared" si="0"/>
        <v>4.9199999999999999E-3</v>
      </c>
      <c r="R19">
        <f t="shared" si="1"/>
        <v>3.161555952748305E-8</v>
      </c>
    </row>
    <row r="20" spans="2:18" x14ac:dyDescent="0.3">
      <c r="P20" s="2">
        <v>0.17</v>
      </c>
      <c r="Q20">
        <f t="shared" si="0"/>
        <v>4.9150000000000001E-3</v>
      </c>
      <c r="R20">
        <f t="shared" si="1"/>
        <v>3.8681708597021169E-8</v>
      </c>
    </row>
    <row r="21" spans="2:18" x14ac:dyDescent="0.3">
      <c r="P21" s="2">
        <v>0.18</v>
      </c>
      <c r="Q21">
        <f t="shared" si="0"/>
        <v>4.9100000000000003E-3</v>
      </c>
      <c r="R21">
        <f t="shared" si="1"/>
        <v>4.7255622094682436E-8</v>
      </c>
    </row>
    <row r="22" spans="2:18" x14ac:dyDescent="0.3">
      <c r="P22" s="2">
        <v>0.19</v>
      </c>
      <c r="Q22">
        <f t="shared" si="0"/>
        <v>4.9050000000000005E-3</v>
      </c>
      <c r="R22">
        <f t="shared" si="1"/>
        <v>5.7659024562129056E-8</v>
      </c>
    </row>
    <row r="23" spans="2:18" x14ac:dyDescent="0.3">
      <c r="P23" s="2">
        <v>0.2</v>
      </c>
      <c r="Q23">
        <f t="shared" si="0"/>
        <v>4.9000000000000007E-3</v>
      </c>
      <c r="R23">
        <f t="shared" si="1"/>
        <v>7.0282289647459898E-8</v>
      </c>
    </row>
    <row r="24" spans="2:18" x14ac:dyDescent="0.3">
      <c r="P24" s="2">
        <v>0.21</v>
      </c>
      <c r="Q24">
        <f t="shared" si="0"/>
        <v>4.895E-3</v>
      </c>
      <c r="R24">
        <f t="shared" si="1"/>
        <v>8.5599088349917595E-8</v>
      </c>
    </row>
    <row r="25" spans="2:18" x14ac:dyDescent="0.3">
      <c r="P25" s="2">
        <v>0.22</v>
      </c>
      <c r="Q25">
        <f t="shared" si="0"/>
        <v>4.8899999999999994E-3</v>
      </c>
      <c r="R25">
        <f t="shared" si="1"/>
        <v>1.0418416288536714E-7</v>
      </c>
    </row>
    <row r="26" spans="2:18" x14ac:dyDescent="0.3">
      <c r="P26" s="2">
        <v>0.23</v>
      </c>
      <c r="Q26">
        <f t="shared" si="0"/>
        <v>4.8849999999999996E-3</v>
      </c>
      <c r="R26">
        <f t="shared" si="1"/>
        <v>1.2673489311287814E-7</v>
      </c>
    </row>
    <row r="27" spans="2:18" x14ac:dyDescent="0.3">
      <c r="P27" s="2">
        <v>0.24</v>
      </c>
      <c r="Q27">
        <f t="shared" si="0"/>
        <v>4.8799999999999998E-3</v>
      </c>
      <c r="R27">
        <f t="shared" si="1"/>
        <v>1.540974647734861E-7</v>
      </c>
    </row>
    <row r="28" spans="2:18" x14ac:dyDescent="0.3">
      <c r="P28" s="2">
        <v>0.25</v>
      </c>
      <c r="Q28">
        <f t="shared" si="0"/>
        <v>4.875E-3</v>
      </c>
      <c r="R28">
        <f t="shared" si="1"/>
        <v>1.8729862146900229E-7</v>
      </c>
    </row>
    <row r="29" spans="2:18" x14ac:dyDescent="0.3">
      <c r="P29" s="2">
        <v>0.26</v>
      </c>
      <c r="Q29">
        <f t="shared" si="0"/>
        <v>4.8700000000000002E-3</v>
      </c>
      <c r="R29">
        <f t="shared" si="1"/>
        <v>2.2758419183105821E-7</v>
      </c>
    </row>
    <row r="30" spans="2:18" x14ac:dyDescent="0.3">
      <c r="P30" s="2">
        <v>0.27</v>
      </c>
      <c r="Q30">
        <f t="shared" si="0"/>
        <v>4.8650000000000004E-3</v>
      </c>
      <c r="R30">
        <f t="shared" si="1"/>
        <v>2.7646583756044732E-7</v>
      </c>
    </row>
    <row r="31" spans="2:18" x14ac:dyDescent="0.3">
      <c r="P31" s="2">
        <v>0.28000000000000003</v>
      </c>
      <c r="Q31">
        <f t="shared" si="0"/>
        <v>4.8600000000000006E-3</v>
      </c>
      <c r="R31">
        <f t="shared" si="1"/>
        <v>3.3577777649389839E-7</v>
      </c>
    </row>
    <row r="32" spans="2:18" x14ac:dyDescent="0.3">
      <c r="P32" s="2">
        <v>0.28999999999999998</v>
      </c>
      <c r="Q32">
        <f t="shared" si="0"/>
        <v>4.8550000000000008E-3</v>
      </c>
      <c r="R32">
        <f t="shared" si="1"/>
        <v>4.0774560915486667E-7</v>
      </c>
    </row>
    <row r="33" spans="16:18" x14ac:dyDescent="0.3">
      <c r="P33" s="2">
        <v>0.3</v>
      </c>
      <c r="Q33">
        <f t="shared" si="0"/>
        <v>4.8500000000000001E-3</v>
      </c>
      <c r="R33">
        <f t="shared" si="1"/>
        <v>4.9506983141184793E-7</v>
      </c>
    </row>
    <row r="34" spans="16:18" x14ac:dyDescent="0.3">
      <c r="P34" s="2">
        <v>0.31</v>
      </c>
      <c r="Q34">
        <f t="shared" si="0"/>
        <v>4.8449999999999995E-3</v>
      </c>
      <c r="R34">
        <f t="shared" si="1"/>
        <v>6.0102716694409204E-7</v>
      </c>
    </row>
    <row r="35" spans="16:18" x14ac:dyDescent="0.3">
      <c r="P35" s="2">
        <v>0.32</v>
      </c>
      <c r="Q35">
        <f t="shared" ref="Q35:Q66" si="2">(1/R_)*(Vsrc-P35)</f>
        <v>4.8399999999999997E-3</v>
      </c>
      <c r="R35">
        <f t="shared" ref="R35:R66" si="3">Is*(EXP(P35/(Eta*Vt))-1)</f>
        <v>7.2959352187884896E-7</v>
      </c>
    </row>
    <row r="36" spans="16:18" x14ac:dyDescent="0.3">
      <c r="P36" s="2">
        <v>0.33</v>
      </c>
      <c r="Q36">
        <f t="shared" si="2"/>
        <v>4.8349999999999999E-3</v>
      </c>
      <c r="R36">
        <f t="shared" si="3"/>
        <v>8.8559317530708794E-7</v>
      </c>
    </row>
    <row r="37" spans="16:18" x14ac:dyDescent="0.3">
      <c r="P37" s="2">
        <v>0.34</v>
      </c>
      <c r="Q37">
        <f t="shared" si="2"/>
        <v>4.8300000000000001E-3</v>
      </c>
      <c r="R37">
        <f t="shared" si="3"/>
        <v>1.0748798038506165E-6</v>
      </c>
    </row>
    <row r="38" spans="16:18" x14ac:dyDescent="0.3">
      <c r="P38" s="2">
        <v>0.35</v>
      </c>
      <c r="Q38">
        <f t="shared" si="2"/>
        <v>4.8250000000000003E-3</v>
      </c>
      <c r="R38">
        <f t="shared" si="3"/>
        <v>1.3045561329833437E-6</v>
      </c>
    </row>
    <row r="39" spans="16:18" x14ac:dyDescent="0.3">
      <c r="P39" s="2">
        <v>0.36</v>
      </c>
      <c r="Q39">
        <f t="shared" si="2"/>
        <v>4.8200000000000005E-3</v>
      </c>
      <c r="R39">
        <f t="shared" si="3"/>
        <v>1.5832404572263241E-6</v>
      </c>
    </row>
    <row r="40" spans="16:18" x14ac:dyDescent="0.3">
      <c r="P40" s="2">
        <v>0.37</v>
      </c>
      <c r="Q40">
        <f t="shared" si="2"/>
        <v>4.8150000000000007E-3</v>
      </c>
      <c r="R40">
        <f t="shared" si="3"/>
        <v>1.9213900300274667E-6</v>
      </c>
    </row>
    <row r="41" spans="16:18" x14ac:dyDescent="0.3">
      <c r="P41" s="2">
        <v>0.38</v>
      </c>
      <c r="Q41">
        <f t="shared" si="2"/>
        <v>4.81E-3</v>
      </c>
      <c r="R41">
        <f t="shared" si="3"/>
        <v>2.3316934580950589E-6</v>
      </c>
    </row>
    <row r="42" spans="16:18" x14ac:dyDescent="0.3">
      <c r="P42" s="2">
        <v>0.39</v>
      </c>
      <c r="Q42">
        <f t="shared" si="2"/>
        <v>4.8050000000000002E-3</v>
      </c>
      <c r="R42">
        <f t="shared" si="3"/>
        <v>2.8295468242532931E-6</v>
      </c>
    </row>
    <row r="43" spans="16:18" x14ac:dyDescent="0.3">
      <c r="P43" s="2">
        <v>0.4</v>
      </c>
      <c r="Q43">
        <f t="shared" si="2"/>
        <v>4.7999999999999996E-3</v>
      </c>
      <c r="R43">
        <f t="shared" si="3"/>
        <v>3.4336314046878852E-6</v>
      </c>
    </row>
    <row r="44" spans="16:18" x14ac:dyDescent="0.3">
      <c r="P44" s="2">
        <v>0.41</v>
      </c>
      <c r="Q44">
        <f t="shared" si="2"/>
        <v>4.7949999999999998E-3</v>
      </c>
      <c r="R44">
        <f t="shared" si="3"/>
        <v>4.1666146586423174E-6</v>
      </c>
    </row>
    <row r="45" spans="16:18" x14ac:dyDescent="0.3">
      <c r="P45" s="2">
        <v>0.42</v>
      </c>
      <c r="Q45">
        <f t="shared" si="2"/>
        <v>4.79E-3</v>
      </c>
      <c r="R45">
        <f t="shared" si="3"/>
        <v>5.0560007942578331E-6</v>
      </c>
    </row>
    <row r="46" spans="16:18" x14ac:dyDescent="0.3">
      <c r="P46" s="2">
        <v>0.43</v>
      </c>
      <c r="Q46">
        <f t="shared" si="2"/>
        <v>4.7850000000000002E-3</v>
      </c>
      <c r="R46">
        <f t="shared" si="3"/>
        <v>6.1351628268931147E-6</v>
      </c>
    </row>
    <row r="47" spans="16:18" x14ac:dyDescent="0.3">
      <c r="P47" s="2">
        <v>0.44</v>
      </c>
      <c r="Q47">
        <f t="shared" si="2"/>
        <v>4.7800000000000004E-3</v>
      </c>
      <c r="R47">
        <f t="shared" si="3"/>
        <v>7.4445948565205405E-6</v>
      </c>
    </row>
    <row r="48" spans="16:18" x14ac:dyDescent="0.3">
      <c r="P48" s="2">
        <v>0.45</v>
      </c>
      <c r="Q48">
        <f t="shared" si="2"/>
        <v>4.7750000000000006E-3</v>
      </c>
      <c r="R48">
        <f t="shared" si="3"/>
        <v>9.0334315542193702E-6</v>
      </c>
    </row>
    <row r="49" spans="16:18" x14ac:dyDescent="0.3">
      <c r="P49" s="2">
        <v>0.46</v>
      </c>
      <c r="Q49">
        <f t="shared" si="2"/>
        <v>4.7699999999999999E-3</v>
      </c>
      <c r="R49">
        <f t="shared" si="3"/>
        <v>1.0961291874447518E-5</v>
      </c>
    </row>
    <row r="50" spans="16:18" x14ac:dyDescent="0.3">
      <c r="P50" s="2">
        <v>0.47</v>
      </c>
      <c r="Q50">
        <f t="shared" si="2"/>
        <v>4.7650000000000001E-3</v>
      </c>
      <c r="R50">
        <f t="shared" si="3"/>
        <v>1.3300516175908538E-5</v>
      </c>
    </row>
    <row r="51" spans="16:18" x14ac:dyDescent="0.3">
      <c r="P51" s="2">
        <v>0.48</v>
      </c>
      <c r="Q51">
        <f t="shared" si="2"/>
        <v>4.7599999999999995E-3</v>
      </c>
      <c r="R51">
        <f t="shared" si="3"/>
        <v>1.6138880695957493E-5</v>
      </c>
    </row>
    <row r="52" spans="16:18" x14ac:dyDescent="0.3">
      <c r="P52" s="2">
        <v>0.49</v>
      </c>
      <c r="Q52">
        <f t="shared" si="2"/>
        <v>4.7549999999999997E-3</v>
      </c>
      <c r="R52">
        <f t="shared" si="3"/>
        <v>1.958289123553721E-5</v>
      </c>
    </row>
    <row r="53" spans="16:18" x14ac:dyDescent="0.3">
      <c r="P53" s="2">
        <v>0.5</v>
      </c>
      <c r="Q53">
        <f t="shared" si="2"/>
        <v>4.7499999999999999E-3</v>
      </c>
      <c r="R53">
        <f t="shared" si="3"/>
        <v>2.3761779645730403E-5</v>
      </c>
    </row>
    <row r="54" spans="16:18" x14ac:dyDescent="0.3">
      <c r="P54" s="2">
        <v>0.51</v>
      </c>
      <c r="Q54">
        <f t="shared" si="2"/>
        <v>4.7450000000000001E-3</v>
      </c>
      <c r="R54">
        <f t="shared" si="3"/>
        <v>2.8832353078696171E-5</v>
      </c>
    </row>
    <row r="55" spans="16:18" x14ac:dyDescent="0.3">
      <c r="P55" s="2">
        <v>0.52</v>
      </c>
      <c r="Q55">
        <f t="shared" si="2"/>
        <v>4.7400000000000003E-3</v>
      </c>
      <c r="R55">
        <f t="shared" si="3"/>
        <v>3.4984877964592713E-5</v>
      </c>
    </row>
    <row r="56" spans="16:18" x14ac:dyDescent="0.3">
      <c r="P56" s="2">
        <v>0.53</v>
      </c>
      <c r="Q56">
        <f t="shared" si="2"/>
        <v>4.7350000000000005E-3</v>
      </c>
      <c r="R56">
        <f t="shared" si="3"/>
        <v>4.2450219502785518E-5</v>
      </c>
    </row>
    <row r="57" spans="16:18" x14ac:dyDescent="0.3">
      <c r="P57" s="2">
        <v>0.54</v>
      </c>
      <c r="Q57">
        <f t="shared" si="2"/>
        <v>4.7300000000000007E-3</v>
      </c>
      <c r="R57">
        <f t="shared" si="3"/>
        <v>5.1508504567120658E-5</v>
      </c>
    </row>
    <row r="58" spans="16:18" x14ac:dyDescent="0.3">
      <c r="P58" s="2">
        <v>0.55000000000000004</v>
      </c>
      <c r="Q58">
        <f t="shared" si="2"/>
        <v>4.725E-3</v>
      </c>
      <c r="R58">
        <f t="shared" si="3"/>
        <v>6.2499633089101202E-5</v>
      </c>
    </row>
    <row r="59" spans="16:18" x14ac:dyDescent="0.3">
      <c r="P59" s="2">
        <v>0.56000000000000005</v>
      </c>
      <c r="Q59">
        <f t="shared" si="2"/>
        <v>4.7200000000000002E-3</v>
      </c>
      <c r="R59">
        <f t="shared" si="3"/>
        <v>7.5836032344445383E-5</v>
      </c>
    </row>
    <row r="60" spans="16:18" x14ac:dyDescent="0.3">
      <c r="P60" s="2">
        <v>0.56999999999999995</v>
      </c>
      <c r="Q60">
        <f t="shared" si="2"/>
        <v>4.7149999999999996E-3</v>
      </c>
      <c r="R60">
        <f t="shared" si="3"/>
        <v>9.2018132730429511E-5</v>
      </c>
    </row>
    <row r="61" spans="16:18" x14ac:dyDescent="0.3">
      <c r="P61" s="2">
        <v>0.57999999999999996</v>
      </c>
      <c r="Q61">
        <f t="shared" si="2"/>
        <v>4.7099999999999998E-3</v>
      </c>
      <c r="R61">
        <f t="shared" si="3"/>
        <v>1.1165314574169192E-4</v>
      </c>
    </row>
    <row r="62" spans="16:18" x14ac:dyDescent="0.3">
      <c r="P62" s="2">
        <v>0.59</v>
      </c>
      <c r="Q62">
        <f t="shared" si="2"/>
        <v>4.705E-3</v>
      </c>
      <c r="R62">
        <f t="shared" si="3"/>
        <v>1.3547784876271406E-4</v>
      </c>
    </row>
    <row r="63" spans="16:18" x14ac:dyDescent="0.3">
      <c r="P63" s="2">
        <v>0.6</v>
      </c>
      <c r="Q63">
        <f t="shared" si="2"/>
        <v>4.7000000000000002E-3</v>
      </c>
      <c r="R63">
        <f t="shared" si="3"/>
        <v>1.6438623164559399E-4</v>
      </c>
    </row>
    <row r="64" spans="16:18" x14ac:dyDescent="0.3">
      <c r="P64" s="2">
        <v>0.61</v>
      </c>
      <c r="Q64">
        <f t="shared" si="2"/>
        <v>4.6950000000000004E-3</v>
      </c>
      <c r="R64">
        <f t="shared" si="3"/>
        <v>1.9946304247365736E-4</v>
      </c>
    </row>
    <row r="65" spans="16:18" x14ac:dyDescent="0.3">
      <c r="P65" s="2">
        <v>0.62</v>
      </c>
      <c r="Q65">
        <f t="shared" si="2"/>
        <v>4.6900000000000006E-3</v>
      </c>
      <c r="R65">
        <f t="shared" si="3"/>
        <v>2.4202449127044915E-4</v>
      </c>
    </row>
    <row r="66" spans="16:18" x14ac:dyDescent="0.3">
      <c r="P66" s="2">
        <v>0.63</v>
      </c>
      <c r="Q66">
        <f t="shared" si="2"/>
        <v>4.6849999999999999E-3</v>
      </c>
      <c r="R66">
        <f t="shared" si="3"/>
        <v>2.9366763900589454E-4</v>
      </c>
    </row>
    <row r="67" spans="16:18" x14ac:dyDescent="0.3">
      <c r="P67" s="2">
        <v>0.64</v>
      </c>
      <c r="Q67">
        <f t="shared" ref="Q67:Q98" si="4">(1/R_)*(Vsrc-P67)</f>
        <v>4.6800000000000001E-3</v>
      </c>
      <c r="R67">
        <f t="shared" ref="R67:R103" si="5">Is*(EXP(P67/(Eta*Vt))-1)</f>
        <v>3.5633032515547928E-4</v>
      </c>
    </row>
    <row r="68" spans="16:18" x14ac:dyDescent="0.3">
      <c r="P68" s="2">
        <v>0.65</v>
      </c>
      <c r="Q68">
        <f t="shared" si="4"/>
        <v>4.6750000000000003E-3</v>
      </c>
      <c r="R68">
        <f t="shared" si="5"/>
        <v>4.3236388251330002E-4</v>
      </c>
    </row>
    <row r="69" spans="16:18" x14ac:dyDescent="0.3">
      <c r="P69" s="2">
        <v>0.66</v>
      </c>
      <c r="Q69">
        <f t="shared" si="4"/>
        <v>4.6699999999999997E-3</v>
      </c>
      <c r="R69">
        <f t="shared" si="5"/>
        <v>5.2462136778427457E-4</v>
      </c>
    </row>
    <row r="70" spans="16:18" x14ac:dyDescent="0.3">
      <c r="P70" s="2">
        <v>0.67</v>
      </c>
      <c r="Q70">
        <f t="shared" si="4"/>
        <v>4.6649999999999999E-3</v>
      </c>
      <c r="R70">
        <f t="shared" si="5"/>
        <v>6.3656461868950918E-4</v>
      </c>
    </row>
    <row r="71" spans="16:18" x14ac:dyDescent="0.3">
      <c r="P71" s="2">
        <v>0.68</v>
      </c>
      <c r="Q71">
        <f t="shared" si="4"/>
        <v>4.6600000000000001E-3</v>
      </c>
      <c r="R71">
        <f t="shared" si="5"/>
        <v>7.7239415475832771E-4</v>
      </c>
    </row>
    <row r="72" spans="16:18" x14ac:dyDescent="0.3">
      <c r="P72" s="2">
        <v>0.69</v>
      </c>
      <c r="Q72">
        <f t="shared" si="4"/>
        <v>4.6550000000000003E-3</v>
      </c>
      <c r="R72">
        <f t="shared" si="5"/>
        <v>9.3720679615900331E-4</v>
      </c>
    </row>
    <row r="73" spans="16:18" x14ac:dyDescent="0.3">
      <c r="P73" s="2">
        <v>0.7</v>
      </c>
      <c r="Q73">
        <f t="shared" si="4"/>
        <v>4.6500000000000005E-3</v>
      </c>
      <c r="R73">
        <f t="shared" si="5"/>
        <v>1.1371869150022702E-3</v>
      </c>
    </row>
    <row r="74" spans="16:18" x14ac:dyDescent="0.3">
      <c r="P74" s="2">
        <v>0.71</v>
      </c>
      <c r="Q74">
        <f t="shared" si="4"/>
        <v>4.6449999999999998E-3</v>
      </c>
      <c r="R74">
        <f t="shared" si="5"/>
        <v>1.3798384955648457E-3</v>
      </c>
    </row>
    <row r="75" spans="16:18" x14ac:dyDescent="0.3">
      <c r="P75" s="2">
        <v>0.72</v>
      </c>
      <c r="Q75">
        <f t="shared" si="4"/>
        <v>4.64E-3</v>
      </c>
      <c r="R75">
        <f t="shared" si="5"/>
        <v>1.6742667111799326E-3</v>
      </c>
    </row>
    <row r="76" spans="16:18" x14ac:dyDescent="0.3">
      <c r="P76" s="2">
        <v>0.73</v>
      </c>
      <c r="Q76">
        <f t="shared" si="4"/>
        <v>4.6350000000000002E-3</v>
      </c>
      <c r="R76">
        <f t="shared" si="5"/>
        <v>2.0315195835877782E-3</v>
      </c>
    </row>
    <row r="77" spans="16:18" x14ac:dyDescent="0.3">
      <c r="P77" s="2">
        <v>0.74</v>
      </c>
      <c r="Q77">
        <f t="shared" si="4"/>
        <v>4.6299999999999996E-3</v>
      </c>
      <c r="R77">
        <f t="shared" si="5"/>
        <v>2.4650025450526874E-3</v>
      </c>
    </row>
    <row r="78" spans="16:18" x14ac:dyDescent="0.3">
      <c r="P78" s="2">
        <v>0.75</v>
      </c>
      <c r="Q78">
        <f t="shared" si="4"/>
        <v>4.6249999999999998E-3</v>
      </c>
      <c r="R78">
        <f t="shared" si="5"/>
        <v>2.9909814591308642E-3</v>
      </c>
    </row>
    <row r="79" spans="16:18" x14ac:dyDescent="0.3">
      <c r="P79" s="2">
        <v>0.76</v>
      </c>
      <c r="Q79">
        <f t="shared" si="4"/>
        <v>4.62E-3</v>
      </c>
      <c r="R79">
        <f t="shared" si="5"/>
        <v>3.6291929752650526E-3</v>
      </c>
    </row>
    <row r="80" spans="16:18" x14ac:dyDescent="0.3">
      <c r="P80" s="2">
        <v>0.77</v>
      </c>
      <c r="Q80">
        <f t="shared" si="4"/>
        <v>4.6150000000000002E-3</v>
      </c>
      <c r="R80">
        <f t="shared" si="5"/>
        <v>4.4035851199390498E-3</v>
      </c>
    </row>
    <row r="81" spans="16:18" x14ac:dyDescent="0.3">
      <c r="P81" s="2">
        <v>0.78</v>
      </c>
      <c r="Q81">
        <f t="shared" si="4"/>
        <v>4.6100000000000004E-3</v>
      </c>
      <c r="R81">
        <f t="shared" si="5"/>
        <v>5.3432159140764371E-3</v>
      </c>
    </row>
    <row r="82" spans="16:18" x14ac:dyDescent="0.3">
      <c r="P82" s="2">
        <v>0.79</v>
      </c>
      <c r="Q82">
        <f t="shared" si="4"/>
        <v>4.6050000000000006E-3</v>
      </c>
      <c r="R82">
        <f t="shared" si="5"/>
        <v>6.4833437360895876E-3</v>
      </c>
    </row>
    <row r="83" spans="16:18" x14ac:dyDescent="0.3">
      <c r="P83" s="2">
        <v>0.8</v>
      </c>
      <c r="Q83">
        <f t="shared" si="4"/>
        <v>4.5999999999999999E-3</v>
      </c>
      <c r="R83">
        <f t="shared" si="5"/>
        <v>7.866750344981974E-3</v>
      </c>
    </row>
    <row r="84" spans="16:18" x14ac:dyDescent="0.3">
      <c r="P84" s="2">
        <v>0.81</v>
      </c>
      <c r="Q84">
        <f t="shared" si="4"/>
        <v>4.5950000000000001E-3</v>
      </c>
      <c r="R84">
        <f t="shared" si="5"/>
        <v>9.5453462081614478E-3</v>
      </c>
    </row>
    <row r="85" spans="16:18" x14ac:dyDescent="0.3">
      <c r="P85" s="2">
        <v>0.82</v>
      </c>
      <c r="Q85">
        <f t="shared" si="4"/>
        <v>4.5900000000000003E-3</v>
      </c>
      <c r="R85">
        <f t="shared" si="5"/>
        <v>1.1582118371725972E-2</v>
      </c>
    </row>
    <row r="86" spans="16:18" x14ac:dyDescent="0.3">
      <c r="P86" s="2">
        <v>0.83</v>
      </c>
      <c r="Q86">
        <f t="shared" si="4"/>
        <v>4.5849999999999997E-3</v>
      </c>
      <c r="R86">
        <f t="shared" si="5"/>
        <v>1.4053493964427502E-2</v>
      </c>
    </row>
    <row r="87" spans="16:18" x14ac:dyDescent="0.3">
      <c r="P87" s="2">
        <v>0.84</v>
      </c>
      <c r="Q87">
        <f t="shared" si="4"/>
        <v>4.5799999999999999E-3</v>
      </c>
      <c r="R87">
        <f t="shared" si="5"/>
        <v>1.7052208022612408E-2</v>
      </c>
    </row>
    <row r="88" spans="16:18" x14ac:dyDescent="0.3">
      <c r="P88" s="2">
        <v>0.85</v>
      </c>
      <c r="Q88">
        <f t="shared" si="4"/>
        <v>4.5750000000000001E-3</v>
      </c>
      <c r="R88">
        <f t="shared" si="5"/>
        <v>2.0690783247402963E-2</v>
      </c>
    </row>
    <row r="89" spans="16:18" x14ac:dyDescent="0.3">
      <c r="P89" s="2">
        <v>0.86</v>
      </c>
      <c r="Q89">
        <f t="shared" si="4"/>
        <v>4.5700000000000003E-3</v>
      </c>
      <c r="R89">
        <f t="shared" si="5"/>
        <v>2.510575226731453E-2</v>
      </c>
    </row>
    <row r="90" spans="16:18" x14ac:dyDescent="0.3">
      <c r="P90" s="2">
        <v>0.87</v>
      </c>
      <c r="Q90">
        <f t="shared" si="4"/>
        <v>4.5650000000000005E-3</v>
      </c>
      <c r="R90">
        <f t="shared" si="5"/>
        <v>3.0462780841019745E-2</v>
      </c>
    </row>
    <row r="91" spans="16:18" x14ac:dyDescent="0.3">
      <c r="P91" s="2">
        <v>0.88</v>
      </c>
      <c r="Q91">
        <f t="shared" si="4"/>
        <v>4.5599999999999998E-3</v>
      </c>
      <c r="R91">
        <f t="shared" si="5"/>
        <v>3.6962884241534426E-2</v>
      </c>
    </row>
    <row r="92" spans="16:18" x14ac:dyDescent="0.3">
      <c r="P92" s="2">
        <v>0.89</v>
      </c>
      <c r="Q92">
        <f t="shared" si="4"/>
        <v>4.555E-3</v>
      </c>
      <c r="R92">
        <f t="shared" si="5"/>
        <v>4.4849970083258646E-2</v>
      </c>
    </row>
    <row r="93" spans="16:18" x14ac:dyDescent="0.3">
      <c r="P93" s="2">
        <v>0.9</v>
      </c>
      <c r="Q93">
        <f t="shared" si="4"/>
        <v>4.5500000000000002E-3</v>
      </c>
      <c r="R93">
        <f t="shared" si="5"/>
        <v>5.4419990626285879E-2</v>
      </c>
    </row>
    <row r="94" spans="16:18" x14ac:dyDescent="0.3">
      <c r="P94" s="2">
        <v>0.91</v>
      </c>
      <c r="Q94">
        <f t="shared" si="4"/>
        <v>4.5450000000000004E-3</v>
      </c>
      <c r="R94">
        <f t="shared" si="5"/>
        <v>6.6032047985857045E-2</v>
      </c>
    </row>
    <row r="95" spans="16:18" x14ac:dyDescent="0.3">
      <c r="P95" s="2">
        <v>0.92</v>
      </c>
      <c r="Q95">
        <f t="shared" si="4"/>
        <v>4.5399999999999998E-3</v>
      </c>
      <c r="R95">
        <f t="shared" si="5"/>
        <v>8.0121868954968339E-2</v>
      </c>
    </row>
    <row r="96" spans="16:18" x14ac:dyDescent="0.3">
      <c r="P96" s="2">
        <v>0.93</v>
      </c>
      <c r="Q96">
        <f t="shared" si="4"/>
        <v>4.535E-3</v>
      </c>
      <c r="R96">
        <f t="shared" si="5"/>
        <v>9.7218155064679693E-2</v>
      </c>
    </row>
    <row r="97" spans="16:18" x14ac:dyDescent="0.3">
      <c r="P97" s="2">
        <v>0.94</v>
      </c>
      <c r="Q97">
        <f t="shared" si="4"/>
        <v>4.5300000000000002E-3</v>
      </c>
      <c r="R97">
        <f t="shared" si="5"/>
        <v>0.11796242139608826</v>
      </c>
    </row>
    <row r="98" spans="16:18" x14ac:dyDescent="0.3">
      <c r="P98" s="2">
        <v>0.95</v>
      </c>
      <c r="Q98">
        <f t="shared" si="4"/>
        <v>4.5250000000000004E-3</v>
      </c>
      <c r="R98">
        <f t="shared" si="5"/>
        <v>0.14313306856863231</v>
      </c>
    </row>
    <row r="99" spans="16:18" x14ac:dyDescent="0.3">
      <c r="P99" s="2">
        <v>0.96</v>
      </c>
      <c r="Q99">
        <f t="shared" ref="Q99:Q103" si="6">(1/R_)*(Vsrc-P99)</f>
        <v>4.5199999999999997E-3</v>
      </c>
      <c r="R99">
        <f t="shared" si="5"/>
        <v>0.17367459117362488</v>
      </c>
    </row>
    <row r="100" spans="16:18" x14ac:dyDescent="0.3">
      <c r="P100" s="2">
        <v>0.97</v>
      </c>
      <c r="Q100">
        <f t="shared" si="6"/>
        <v>4.5149999999999999E-3</v>
      </c>
      <c r="R100">
        <f t="shared" si="5"/>
        <v>0.21073301866009589</v>
      </c>
    </row>
    <row r="101" spans="16:18" x14ac:dyDescent="0.3">
      <c r="P101" s="2">
        <v>0.98</v>
      </c>
      <c r="Q101">
        <f t="shared" si="6"/>
        <v>4.5100000000000001E-3</v>
      </c>
      <c r="R101">
        <f t="shared" si="5"/>
        <v>0.25569891854439109</v>
      </c>
    </row>
    <row r="102" spans="16:18" x14ac:dyDescent="0.3">
      <c r="P102" s="2">
        <v>0.99</v>
      </c>
      <c r="Q102">
        <f t="shared" si="6"/>
        <v>4.5050000000000003E-3</v>
      </c>
      <c r="R102">
        <f t="shared" si="5"/>
        <v>0.31025957558097478</v>
      </c>
    </row>
    <row r="103" spans="16:18" x14ac:dyDescent="0.3">
      <c r="P103" s="2">
        <v>1</v>
      </c>
      <c r="Q103">
        <f t="shared" si="6"/>
        <v>4.5000000000000005E-3</v>
      </c>
      <c r="R103">
        <f t="shared" si="5"/>
        <v>0.37646230484745652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r:id="rId5">
            <anchor moveWithCells="1">
              <from>
                <xdr:col>11</xdr:col>
                <xdr:colOff>198120</xdr:colOff>
                <xdr:row>0</xdr:row>
                <xdr:rowOff>76200</xdr:rowOff>
              </from>
              <to>
                <xdr:col>12</xdr:col>
                <xdr:colOff>845820</xdr:colOff>
                <xdr:row>3</xdr:row>
                <xdr:rowOff>7620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>
              <from>
                <xdr:col>11</xdr:col>
                <xdr:colOff>152400</xdr:colOff>
                <xdr:row>3</xdr:row>
                <xdr:rowOff>144780</xdr:rowOff>
              </from>
              <to>
                <xdr:col>12</xdr:col>
                <xdr:colOff>1143000</xdr:colOff>
                <xdr:row>6</xdr:row>
                <xdr:rowOff>160020</xdr:rowOff>
              </to>
            </anchor>
          </objectPr>
        </oleObject>
      </mc:Choice>
      <mc:Fallback>
        <oleObject progId="Equation.3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"/>
  <sheetViews>
    <sheetView workbookViewId="0">
      <selection activeCell="G23" sqref="G23"/>
    </sheetView>
  </sheetViews>
  <sheetFormatPr defaultRowHeight="14.4" x14ac:dyDescent="0.3"/>
  <cols>
    <col min="6" max="6" width="8.109375" customWidth="1"/>
    <col min="8" max="9" width="9.109375" customWidth="1"/>
    <col min="12" max="12" width="17.5546875" customWidth="1"/>
    <col min="13" max="13" width="20.44140625" customWidth="1"/>
  </cols>
  <sheetData>
    <row r="1" spans="1:14" ht="16.2" x14ac:dyDescent="0.3">
      <c r="H1" s="2" t="s">
        <v>3</v>
      </c>
      <c r="I1" s="2" t="s">
        <v>4</v>
      </c>
      <c r="J1" t="s">
        <v>5</v>
      </c>
    </row>
    <row r="2" spans="1:14" ht="18" x14ac:dyDescent="0.4">
      <c r="G2" s="4" t="s">
        <v>19</v>
      </c>
      <c r="H2">
        <v>2.2000000000000002</v>
      </c>
      <c r="I2">
        <v>0</v>
      </c>
      <c r="J2">
        <f>H2*POWER(10,I2)</f>
        <v>2.2000000000000002</v>
      </c>
      <c r="K2" s="3" t="s">
        <v>6</v>
      </c>
    </row>
    <row r="3" spans="1:14" ht="20.399999999999999" x14ac:dyDescent="0.45">
      <c r="G3" s="4" t="s">
        <v>20</v>
      </c>
      <c r="H3">
        <v>0.77</v>
      </c>
      <c r="I3">
        <v>0</v>
      </c>
      <c r="J3">
        <f>H3*POWER(10,I3)</f>
        <v>0.77</v>
      </c>
      <c r="K3" s="2" t="s">
        <v>1</v>
      </c>
      <c r="L3" s="8" t="s">
        <v>24</v>
      </c>
      <c r="M3" s="6">
        <f>(J5-J3)/(J6+J2)</f>
        <v>4.6099290780141841E-3</v>
      </c>
      <c r="N3" s="6"/>
    </row>
    <row r="4" spans="1:14" ht="15.6" x14ac:dyDescent="0.3">
      <c r="G4" s="4"/>
      <c r="K4" s="2"/>
    </row>
    <row r="5" spans="1:14" ht="18" x14ac:dyDescent="0.4">
      <c r="G5" s="4" t="s">
        <v>7</v>
      </c>
      <c r="H5" s="7">
        <v>1</v>
      </c>
      <c r="I5" s="7">
        <v>1</v>
      </c>
      <c r="J5">
        <f>H5*POWER(10,I5)</f>
        <v>10</v>
      </c>
      <c r="K5" s="2" t="s">
        <v>1</v>
      </c>
    </row>
    <row r="6" spans="1:14" ht="15.6" x14ac:dyDescent="0.3">
      <c r="G6" s="4" t="s">
        <v>2</v>
      </c>
      <c r="H6" s="7">
        <v>2</v>
      </c>
      <c r="I6" s="7">
        <v>3</v>
      </c>
      <c r="J6">
        <f>H6*POWER(10,I6)</f>
        <v>2000</v>
      </c>
      <c r="K6" s="3" t="s">
        <v>6</v>
      </c>
    </row>
    <row r="9" spans="1:14" x14ac:dyDescent="0.3">
      <c r="G9" t="s">
        <v>21</v>
      </c>
    </row>
    <row r="13" spans="1:14" ht="20.399999999999999" x14ac:dyDescent="0.45">
      <c r="A13" s="1" t="s">
        <v>0</v>
      </c>
    </row>
    <row r="14" spans="1:14" ht="16.2" x14ac:dyDescent="0.35">
      <c r="G14" t="s">
        <v>22</v>
      </c>
    </row>
    <row r="18" spans="7:7" x14ac:dyDescent="0.3">
      <c r="G18" t="s">
        <v>23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4099" r:id="rId4">
          <objectPr defaultSize="0" r:id="rId5">
            <anchor moveWithCells="1">
              <from>
                <xdr:col>6</xdr:col>
                <xdr:colOff>76200</xdr:colOff>
                <xdr:row>9</xdr:row>
                <xdr:rowOff>83820</xdr:rowOff>
              </from>
              <to>
                <xdr:col>12</xdr:col>
                <xdr:colOff>601980</xdr:colOff>
                <xdr:row>12</xdr:row>
                <xdr:rowOff>76200</xdr:rowOff>
              </to>
            </anchor>
          </objectPr>
        </oleObject>
      </mc:Choice>
      <mc:Fallback>
        <oleObject progId="Equation.3" shapeId="4099" r:id="rId4"/>
      </mc:Fallback>
    </mc:AlternateContent>
    <mc:AlternateContent xmlns:mc="http://schemas.openxmlformats.org/markup-compatibility/2006">
      <mc:Choice Requires="x14">
        <oleObject progId="Equation.3" shapeId="4100" r:id="rId6">
          <objectPr defaultSize="0" autoPict="0" r:id="rId7">
            <anchor moveWithCells="1">
              <from>
                <xdr:col>6</xdr:col>
                <xdr:colOff>30480</xdr:colOff>
                <xdr:row>14</xdr:row>
                <xdr:rowOff>60960</xdr:rowOff>
              </from>
              <to>
                <xdr:col>14</xdr:col>
                <xdr:colOff>563880</xdr:colOff>
                <xdr:row>15</xdr:row>
                <xdr:rowOff>182880</xdr:rowOff>
              </to>
            </anchor>
          </objectPr>
        </oleObject>
      </mc:Choice>
      <mc:Fallback>
        <oleObject progId="Equation.3" shapeId="4100" r:id="rId6"/>
      </mc:Fallback>
    </mc:AlternateContent>
    <mc:AlternateContent xmlns:mc="http://schemas.openxmlformats.org/markup-compatibility/2006">
      <mc:Choice Requires="x14">
        <oleObject progId="Equation.3" shapeId="4101" r:id="rId8">
          <objectPr defaultSize="0" autoPict="0" r:id="rId9">
            <anchor moveWithCells="1">
              <from>
                <xdr:col>7</xdr:col>
                <xdr:colOff>457200</xdr:colOff>
                <xdr:row>17</xdr:row>
                <xdr:rowOff>38100</xdr:rowOff>
              </from>
              <to>
                <xdr:col>10</xdr:col>
                <xdr:colOff>190500</xdr:colOff>
                <xdr:row>20</xdr:row>
                <xdr:rowOff>106680</xdr:rowOff>
              </to>
            </anchor>
          </objectPr>
        </oleObject>
      </mc:Choice>
      <mc:Fallback>
        <oleObject progId="Equation.3" shapeId="4101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zoomScale="91" zoomScaleNormal="91" workbookViewId="0">
      <selection activeCell="L17" sqref="L17"/>
    </sheetView>
  </sheetViews>
  <sheetFormatPr defaultRowHeight="14.4" x14ac:dyDescent="0.3"/>
  <cols>
    <col min="5" max="5" width="11.109375" customWidth="1"/>
    <col min="12" max="12" width="15.5546875" customWidth="1"/>
  </cols>
  <sheetData>
    <row r="2" spans="1:12" ht="18.600000000000001" x14ac:dyDescent="0.45">
      <c r="B2" s="10" t="s">
        <v>26</v>
      </c>
      <c r="D2" s="11" t="s">
        <v>28</v>
      </c>
      <c r="E2" s="13">
        <v>1</v>
      </c>
      <c r="F2" s="12" t="s">
        <v>9</v>
      </c>
      <c r="G2" s="12" t="s">
        <v>27</v>
      </c>
      <c r="H2" s="11" t="s">
        <v>29</v>
      </c>
      <c r="I2" s="13">
        <v>0.7</v>
      </c>
      <c r="J2" s="12" t="s">
        <v>1</v>
      </c>
      <c r="K2" s="15" t="s">
        <v>31</v>
      </c>
    </row>
    <row r="3" spans="1:12" ht="16.2" x14ac:dyDescent="0.35">
      <c r="D3" s="11" t="s">
        <v>28</v>
      </c>
      <c r="E3" s="13">
        <v>2</v>
      </c>
      <c r="F3" s="12" t="s">
        <v>9</v>
      </c>
      <c r="G3" s="12" t="s">
        <v>27</v>
      </c>
      <c r="H3" s="11" t="s">
        <v>29</v>
      </c>
      <c r="I3" s="13">
        <v>0.73</v>
      </c>
      <c r="J3" s="12" t="s">
        <v>1</v>
      </c>
      <c r="K3" s="14" t="s">
        <v>32</v>
      </c>
    </row>
    <row r="5" spans="1:12" ht="18" x14ac:dyDescent="0.4">
      <c r="A5" s="11" t="s">
        <v>30</v>
      </c>
      <c r="B5">
        <v>2.5999999999999999E-2</v>
      </c>
      <c r="C5" t="s">
        <v>1</v>
      </c>
      <c r="E5" s="16" t="s">
        <v>33</v>
      </c>
      <c r="F5">
        <f>I2/B5</f>
        <v>26.923076923076923</v>
      </c>
    </row>
    <row r="6" spans="1:12" ht="18" x14ac:dyDescent="0.4">
      <c r="E6" s="16" t="s">
        <v>34</v>
      </c>
      <c r="F6">
        <f>I3/B5</f>
        <v>28.076923076923077</v>
      </c>
    </row>
    <row r="7" spans="1:12" x14ac:dyDescent="0.3">
      <c r="A7" s="11" t="s">
        <v>36</v>
      </c>
      <c r="B7">
        <f>LN(E3)</f>
        <v>0.69314718055994529</v>
      </c>
    </row>
    <row r="9" spans="1:12" x14ac:dyDescent="0.3">
      <c r="A9" t="s">
        <v>35</v>
      </c>
      <c r="G9" t="s">
        <v>38</v>
      </c>
    </row>
    <row r="10" spans="1:12" ht="18" x14ac:dyDescent="0.35">
      <c r="L10" s="17">
        <f>(F6-F5)/B7</f>
        <v>1.6646481241026494</v>
      </c>
    </row>
    <row r="13" spans="1:12" ht="18" x14ac:dyDescent="0.35">
      <c r="G13" t="s">
        <v>39</v>
      </c>
      <c r="L13" s="17">
        <f>1/EXP(F5/L10)</f>
        <v>9.4616475818645175E-8</v>
      </c>
    </row>
    <row r="16" spans="1:12" x14ac:dyDescent="0.3">
      <c r="A16" t="s">
        <v>37</v>
      </c>
    </row>
    <row r="17" spans="7:12" ht="15.6" x14ac:dyDescent="0.3">
      <c r="G17" t="s">
        <v>40</v>
      </c>
      <c r="K17" t="s">
        <v>41</v>
      </c>
      <c r="L17" s="18">
        <f>(L10*B5)/E2</f>
        <v>4.328085122666888E-2</v>
      </c>
    </row>
    <row r="19" spans="7:12" ht="15.6" x14ac:dyDescent="0.3">
      <c r="K19" t="s">
        <v>42</v>
      </c>
      <c r="L19" s="18">
        <f>L10*B5/E3</f>
        <v>2.164042561333444E-2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45"/>
  <sheetViews>
    <sheetView tabSelected="1" topLeftCell="B28" zoomScale="95" zoomScaleNormal="95" workbookViewId="0">
      <selection activeCell="J33" sqref="J33"/>
    </sheetView>
  </sheetViews>
  <sheetFormatPr defaultRowHeight="14.4" x14ac:dyDescent="0.3"/>
  <cols>
    <col min="5" max="5" width="8.109375" customWidth="1"/>
    <col min="6" max="6" width="3.44140625" customWidth="1"/>
    <col min="7" max="7" width="5.109375" customWidth="1"/>
    <col min="10" max="10" width="12.44140625" bestFit="1" customWidth="1"/>
    <col min="11" max="11" width="12.5546875" bestFit="1" customWidth="1"/>
    <col min="12" max="12" width="12.5546875" customWidth="1"/>
    <col min="13" max="13" width="11.6640625" customWidth="1"/>
    <col min="14" max="14" width="12.44140625" bestFit="1" customWidth="1"/>
  </cols>
  <sheetData>
    <row r="2" spans="1:14" ht="18.600000000000001" x14ac:dyDescent="0.45">
      <c r="B2" s="10" t="s">
        <v>43</v>
      </c>
      <c r="D2" t="s">
        <v>44</v>
      </c>
      <c r="E2" s="7">
        <v>1</v>
      </c>
      <c r="J2" t="s">
        <v>44</v>
      </c>
      <c r="K2" s="7">
        <v>2</v>
      </c>
    </row>
    <row r="4" spans="1:14" ht="18" x14ac:dyDescent="0.4">
      <c r="A4" s="11" t="s">
        <v>30</v>
      </c>
      <c r="B4">
        <v>2.5999999999999999E-2</v>
      </c>
      <c r="C4" t="s">
        <v>1</v>
      </c>
      <c r="E4" s="7">
        <v>10</v>
      </c>
      <c r="G4" s="16" t="s">
        <v>45</v>
      </c>
      <c r="H4" s="19">
        <f>E2*$B$4*LN(E4)</f>
        <v>5.9867212417845192E-2</v>
      </c>
      <c r="K4" s="7">
        <v>10</v>
      </c>
      <c r="M4" s="16" t="s">
        <v>45</v>
      </c>
      <c r="N4" s="19">
        <f>K2*$B$4*LN(K4)</f>
        <v>0.11973442483569038</v>
      </c>
    </row>
    <row r="6" spans="1:14" ht="18" x14ac:dyDescent="0.4">
      <c r="E6" s="7">
        <v>100</v>
      </c>
      <c r="G6" s="16" t="s">
        <v>45</v>
      </c>
      <c r="H6" s="19">
        <f>E2*$B$4*LN(E6)</f>
        <v>0.11973442483569038</v>
      </c>
      <c r="K6" s="7">
        <v>100</v>
      </c>
      <c r="M6" s="16" t="s">
        <v>45</v>
      </c>
      <c r="N6" s="19">
        <f>K2*$B$4*LN(K6)</f>
        <v>0.23946884967138077</v>
      </c>
    </row>
    <row r="8" spans="1:14" ht="18" x14ac:dyDescent="0.4">
      <c r="D8" s="20" t="s">
        <v>46</v>
      </c>
      <c r="E8" s="7">
        <v>0.8</v>
      </c>
      <c r="G8" s="16" t="s">
        <v>45</v>
      </c>
      <c r="H8" s="19">
        <f>E2*$B$4*LN(1+E8)</f>
        <v>1.5282453287455094E-2</v>
      </c>
      <c r="J8" s="20" t="s">
        <v>46</v>
      </c>
      <c r="K8" s="7">
        <v>0.8</v>
      </c>
      <c r="M8" s="16" t="s">
        <v>45</v>
      </c>
      <c r="N8" s="19">
        <f>K2*$B$4*LN(1+K8)</f>
        <v>3.0564906574910188E-2</v>
      </c>
    </row>
    <row r="10" spans="1:14" ht="18" x14ac:dyDescent="0.4">
      <c r="D10" s="20" t="s">
        <v>47</v>
      </c>
      <c r="E10" s="7">
        <v>0.95</v>
      </c>
      <c r="G10" s="16" t="s">
        <v>45</v>
      </c>
      <c r="H10" s="19">
        <f>E2*$B$4*LN(1+E10)</f>
        <v>1.7363563686967041E-2</v>
      </c>
      <c r="J10" s="20" t="s">
        <v>47</v>
      </c>
      <c r="K10" s="7">
        <v>0.95</v>
      </c>
      <c r="M10" s="16" t="s">
        <v>45</v>
      </c>
      <c r="N10" s="19">
        <f>K2*$B$4*LN(1+K10)</f>
        <v>3.4727127373934082E-2</v>
      </c>
    </row>
    <row r="12" spans="1:14" ht="18.600000000000001" x14ac:dyDescent="0.45">
      <c r="B12" s="10" t="s">
        <v>48</v>
      </c>
    </row>
    <row r="14" spans="1:14" ht="18" x14ac:dyDescent="0.4">
      <c r="B14" s="20" t="s">
        <v>28</v>
      </c>
      <c r="C14">
        <v>1</v>
      </c>
      <c r="D14">
        <v>-3</v>
      </c>
      <c r="E14" s="7">
        <f>C14*POWER(10,D14)</f>
        <v>1E-3</v>
      </c>
      <c r="G14" s="16" t="s">
        <v>45</v>
      </c>
      <c r="H14" s="7">
        <v>0.3</v>
      </c>
      <c r="J14" s="16" t="s">
        <v>8</v>
      </c>
      <c r="K14" s="19">
        <f>$E$14/(EXP(H14/$B$4)-1)</f>
        <v>9.747967165471425E-9</v>
      </c>
    </row>
    <row r="15" spans="1:14" ht="18" x14ac:dyDescent="0.4">
      <c r="G15" s="16" t="s">
        <v>45</v>
      </c>
      <c r="H15" s="7">
        <v>0.5</v>
      </c>
      <c r="J15" s="16" t="s">
        <v>8</v>
      </c>
      <c r="K15" s="19">
        <f>$E$14/(EXP(H15/$B$4)-1)</f>
        <v>4.4481870586889081E-12</v>
      </c>
    </row>
    <row r="16" spans="1:14" ht="18" x14ac:dyDescent="0.4">
      <c r="G16" s="16" t="s">
        <v>45</v>
      </c>
      <c r="H16" s="7">
        <v>0.7</v>
      </c>
      <c r="J16" s="16" t="s">
        <v>8</v>
      </c>
      <c r="K16" s="19">
        <f>$E$14/(EXP(H16/$B$4)-1)</f>
        <v>2.0298140601101118E-15</v>
      </c>
    </row>
    <row r="17" spans="2:13" ht="16.2" x14ac:dyDescent="0.35">
      <c r="B17" s="12" t="s">
        <v>49</v>
      </c>
    </row>
    <row r="18" spans="2:13" ht="16.2" x14ac:dyDescent="0.35">
      <c r="C18" s="12" t="s">
        <v>50</v>
      </c>
    </row>
    <row r="20" spans="2:13" ht="18.600000000000001" x14ac:dyDescent="0.45">
      <c r="B20" s="10" t="s">
        <v>51</v>
      </c>
      <c r="L20" t="s">
        <v>54</v>
      </c>
      <c r="M20" t="s">
        <v>54</v>
      </c>
    </row>
    <row r="21" spans="2:13" x14ac:dyDescent="0.3">
      <c r="K21" s="21" t="s">
        <v>55</v>
      </c>
      <c r="L21" s="22">
        <v>2</v>
      </c>
      <c r="M21" s="22">
        <v>1</v>
      </c>
    </row>
    <row r="22" spans="2:13" x14ac:dyDescent="0.3">
      <c r="J22" s="2" t="s">
        <v>53</v>
      </c>
      <c r="K22" s="22">
        <v>2</v>
      </c>
      <c r="L22" s="19">
        <f>L$21*$B$4*LN($K22)</f>
        <v>3.604365338911715E-2</v>
      </c>
      <c r="M22" s="19">
        <f>M$21*$B$4*LN($K22)</f>
        <v>1.8021826694558575E-2</v>
      </c>
    </row>
    <row r="23" spans="2:13" x14ac:dyDescent="0.3">
      <c r="B23" s="2" t="s">
        <v>52</v>
      </c>
      <c r="J23" s="2" t="s">
        <v>56</v>
      </c>
      <c r="K23" s="22">
        <v>10</v>
      </c>
      <c r="L23" s="19">
        <f>L$21*$B$4*LN($K23)</f>
        <v>0.11973442483569038</v>
      </c>
      <c r="M23" s="19">
        <f>M$21*$B$4*LN($K23)</f>
        <v>5.9867212417845192E-2</v>
      </c>
    </row>
    <row r="25" spans="2:13" x14ac:dyDescent="0.3">
      <c r="J25" s="23" t="s">
        <v>57</v>
      </c>
      <c r="K25" s="22">
        <v>0.1</v>
      </c>
      <c r="L25" s="19">
        <f>K25/(B4*LN(K26))</f>
        <v>1.670363391935584</v>
      </c>
    </row>
    <row r="26" spans="2:13" x14ac:dyDescent="0.3">
      <c r="K26" s="22">
        <v>10</v>
      </c>
    </row>
    <row r="28" spans="2:13" x14ac:dyDescent="0.3">
      <c r="B28" t="s">
        <v>59</v>
      </c>
    </row>
    <row r="29" spans="2:13" x14ac:dyDescent="0.3">
      <c r="C29" t="s">
        <v>60</v>
      </c>
    </row>
    <row r="30" spans="2:13" ht="18" x14ac:dyDescent="0.4">
      <c r="J30" s="16" t="s">
        <v>8</v>
      </c>
      <c r="K30">
        <v>9.747967165471425E-9</v>
      </c>
    </row>
    <row r="32" spans="2:13" x14ac:dyDescent="0.3">
      <c r="I32" s="2" t="s">
        <v>183</v>
      </c>
      <c r="J32" t="s">
        <v>184</v>
      </c>
    </row>
    <row r="33" spans="9:13" x14ac:dyDescent="0.3">
      <c r="I33" s="2"/>
      <c r="J33">
        <v>1</v>
      </c>
      <c r="K33">
        <v>1.67</v>
      </c>
      <c r="L33">
        <v>2</v>
      </c>
    </row>
    <row r="34" spans="9:13" x14ac:dyDescent="0.3">
      <c r="I34" s="2">
        <v>0</v>
      </c>
      <c r="J34" s="69">
        <f>$K$30*(EXP($I34/(J$33*$B$4))+1)</f>
        <v>1.949593433094285E-8</v>
      </c>
      <c r="K34" s="69">
        <f>$K$30*(EXP($I34/(K$33*$B$4))+1)</f>
        <v>1.949593433094285E-8</v>
      </c>
      <c r="L34" s="69">
        <f>$K$30*(EXP($I34/(L$33*$B$4))+1)</f>
        <v>1.949593433094285E-8</v>
      </c>
      <c r="M34" s="71"/>
    </row>
    <row r="35" spans="9:13" x14ac:dyDescent="0.3">
      <c r="I35" s="2">
        <v>0.05</v>
      </c>
      <c r="J35" s="69">
        <f>$K$30*(EXP($I35/(J$33*$B$4))+1)</f>
        <v>7.6443347521892064E-8</v>
      </c>
      <c r="K35" s="69">
        <f>$K$30*(EXP($I35/(K$33*$B$4))+1)</f>
        <v>4.0581469443822234E-8</v>
      </c>
      <c r="L35" s="69">
        <f>$K$30*(EXP($I35/(L$33*$B$4))+1)</f>
        <v>3.524589605789358E-8</v>
      </c>
      <c r="M35" s="71"/>
    </row>
    <row r="36" spans="9:13" x14ac:dyDescent="0.3">
      <c r="I36" s="2">
        <v>0.1</v>
      </c>
      <c r="J36" s="69">
        <f>$K$30*(EXP($I36/(J$33*$B$4))+1)</f>
        <v>4.6607631597690245E-7</v>
      </c>
      <c r="K36" s="69">
        <f>$K$30*(EXP($I36/(K$33*$B$4))+1)</f>
        <v>1.0727649250935908E-7</v>
      </c>
      <c r="L36" s="69">
        <f>$K$30*(EXP($I36/(L$33*$B$4))+1)</f>
        <v>7.6443347521892064E-8</v>
      </c>
      <c r="M36" s="71"/>
    </row>
    <row r="37" spans="9:13" x14ac:dyDescent="0.3">
      <c r="I37" s="2">
        <v>0.15</v>
      </c>
      <c r="J37" s="69">
        <f>$K$30*(EXP($I37/(J$33*$B$4))+1)</f>
        <v>3.1319366527409099E-6</v>
      </c>
      <c r="K37" s="69">
        <f>$K$30*(EXP($I37/(K$33*$B$4))+1)</f>
        <v>3.1823751758647181E-7</v>
      </c>
      <c r="L37" s="69">
        <f>$K$30*(EXP($I37/(L$33*$B$4))+1)</f>
        <v>1.8420424475786924E-7</v>
      </c>
      <c r="M37" s="71"/>
    </row>
    <row r="38" spans="9:13" x14ac:dyDescent="0.3">
      <c r="I38" s="2">
        <v>0.2</v>
      </c>
      <c r="J38" s="69">
        <f>$K$30*(EXP($I38/(J$33*$B$4))+1)</f>
        <v>2.1371695375704625E-5</v>
      </c>
      <c r="K38" s="69">
        <f>$K$30*(EXP($I38/(K$33*$B$4))+1)</f>
        <v>9.8552200233512447E-7</v>
      </c>
      <c r="L38" s="69">
        <f>$K$30*(EXP($I38/(L$33*$B$4))+1)</f>
        <v>4.6607631597690245E-7</v>
      </c>
      <c r="M38" s="71"/>
    </row>
    <row r="39" spans="9:13" x14ac:dyDescent="0.3">
      <c r="I39" s="2">
        <v>0.25</v>
      </c>
      <c r="J39" s="69">
        <f>$K$30*(EXP($I39/(J$33*$B$4))+1)</f>
        <v>1.4616772976802726E-4</v>
      </c>
      <c r="K39" s="69">
        <f>$K$30*(EXP($I39/(K$33*$B$4))+1)</f>
        <v>3.0961895221934238E-6</v>
      </c>
      <c r="L39" s="69">
        <f>$K$30*(EXP($I39/(L$33*$B$4))+1)</f>
        <v>1.2033740424362703E-6</v>
      </c>
      <c r="M39" s="71"/>
    </row>
    <row r="40" spans="9:13" x14ac:dyDescent="0.3">
      <c r="I40" s="2">
        <v>0.3</v>
      </c>
      <c r="J40" s="69">
        <f>$K$30*(EXP($I40/(J$33*$B$4))+1)</f>
        <v>1.0000194959343309E-3</v>
      </c>
      <c r="K40" s="69">
        <f>$K$30*(EXP($I40/(K$33*$B$4))+1)</f>
        <v>9.772378585787237E-6</v>
      </c>
      <c r="L40" s="69">
        <f>$K$30*(EXP($I40/(L$33*$B$4))+1)</f>
        <v>3.1319366527409099E-6</v>
      </c>
      <c r="M40" s="71"/>
    </row>
    <row r="41" spans="9:13" x14ac:dyDescent="0.3">
      <c r="I41" s="2">
        <v>0.35</v>
      </c>
      <c r="J41" s="69">
        <f>$K$30*(EXP($I41/(J$33*$B$4))+1)</f>
        <v>6.8420547988619308E-3</v>
      </c>
      <c r="K41" s="69">
        <f>$K$30*(EXP($I41/(K$33*$B$4))+1)</f>
        <v>3.0889631773935964E-5</v>
      </c>
      <c r="L41" s="69">
        <f>$K$30*(EXP($I41/(L$33*$B$4))+1)</f>
        <v>8.1765117387458909E-6</v>
      </c>
      <c r="M41" s="71"/>
    </row>
    <row r="42" spans="9:13" x14ac:dyDescent="0.3">
      <c r="I42" s="2">
        <v>0.4</v>
      </c>
      <c r="J42" s="69">
        <f>$K$30*(EXP($I42/(J$33*$B$4))+1)</f>
        <v>4.6813133893643728E-2</v>
      </c>
      <c r="K42" s="69">
        <f>$K$30*(EXP($I42/(K$33*$B$4))+1)</f>
        <v>9.7684981331087092E-5</v>
      </c>
      <c r="L42" s="69">
        <f>$K$30*(EXP($I42/(L$33*$B$4))+1)</f>
        <v>2.1371695375704625E-5</v>
      </c>
      <c r="M42" s="71"/>
    </row>
    <row r="43" spans="9:13" x14ac:dyDescent="0.3">
      <c r="I43" s="2">
        <v>0.45</v>
      </c>
      <c r="J43" s="70">
        <f>$K$30*(EXP($I43/(J$33*$B$4))+1)</f>
        <v>0.32029439190669523</v>
      </c>
      <c r="K43" s="69">
        <f>$K$30*(EXP($I43/(K$33*$B$4))+1)</f>
        <v>3.0896334612172773E-4</v>
      </c>
      <c r="L43" s="69">
        <f>$K$30*(EXP($I43/(L$33*$B$4))+1)</f>
        <v>5.588656892691798E-5</v>
      </c>
      <c r="M43" s="71"/>
    </row>
    <row r="44" spans="9:13" x14ac:dyDescent="0.3">
      <c r="I44" s="2">
        <v>0.5</v>
      </c>
      <c r="J44" s="70">
        <f>$K$30*(EXP($I44/(J$33*$B$4))+1)</f>
        <v>2.1914472398708376</v>
      </c>
      <c r="K44" s="69">
        <f>$K$30*(EXP($I44/(K$33*$B$4))+1)</f>
        <v>9.7725159859076349E-4</v>
      </c>
      <c r="L44" s="69">
        <f>$K$30*(EXP($I44/(L$33*$B$4))+1)</f>
        <v>1.4616772976802726E-4</v>
      </c>
      <c r="M44" s="71"/>
    </row>
    <row r="45" spans="9:13" x14ac:dyDescent="0.3">
      <c r="I45" s="2">
        <v>0.55000000000000004</v>
      </c>
      <c r="J45" s="70">
        <f>$K$30*(EXP($I45/(J$33*$B$4))+1)</f>
        <v>14.993834525500707</v>
      </c>
      <c r="K45" s="69">
        <f>$K$30*(EXP($I45/(K$33*$B$4))+1)</f>
        <v>3.0910941059893418E-3</v>
      </c>
      <c r="L45" s="69">
        <f>$K$30*(EXP($I45/(L$33*$B$4))+1)</f>
        <v>3.8231774754874612E-4</v>
      </c>
      <c r="M45" s="7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6145" r:id="rId4">
          <object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6</xdr:col>
                <xdr:colOff>137160</xdr:colOff>
                <xdr:row>35</xdr:row>
                <xdr:rowOff>22860</xdr:rowOff>
              </to>
            </anchor>
          </objectPr>
        </oleObject>
      </mc:Choice>
      <mc:Fallback>
        <oleObject progId="Equation.DSMT4" shapeId="614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opLeftCell="A7" workbookViewId="0">
      <selection activeCell="B23" sqref="B23"/>
    </sheetView>
  </sheetViews>
  <sheetFormatPr defaultRowHeight="14.4" x14ac:dyDescent="0.3"/>
  <cols>
    <col min="1" max="1" width="6.109375" customWidth="1"/>
    <col min="7" max="7" width="12" bestFit="1" customWidth="1"/>
    <col min="9" max="9" width="11.5546875" customWidth="1"/>
  </cols>
  <sheetData>
    <row r="2" spans="1:7" ht="18.600000000000001" x14ac:dyDescent="0.45">
      <c r="B2" s="10" t="s">
        <v>58</v>
      </c>
    </row>
    <row r="4" spans="1:7" ht="16.2" x14ac:dyDescent="0.3">
      <c r="B4" s="2" t="s">
        <v>3</v>
      </c>
      <c r="C4" s="2" t="s">
        <v>4</v>
      </c>
      <c r="D4" t="s">
        <v>5</v>
      </c>
    </row>
    <row r="5" spans="1:7" ht="18" x14ac:dyDescent="0.4">
      <c r="A5" s="4" t="s">
        <v>8</v>
      </c>
      <c r="B5">
        <v>0.1</v>
      </c>
      <c r="C5">
        <v>-9</v>
      </c>
      <c r="D5" s="7">
        <f>B5*POWER(10,C5)</f>
        <v>1.0000000000000002E-10</v>
      </c>
      <c r="E5" s="2" t="s">
        <v>9</v>
      </c>
      <c r="G5" s="25">
        <f>(D7*D8)/(D5*EXP(D6/(D7*D8)))</f>
        <v>510095540.42730534</v>
      </c>
    </row>
    <row r="6" spans="1:7" ht="15.6" x14ac:dyDescent="0.3">
      <c r="A6" s="4" t="s">
        <v>61</v>
      </c>
      <c r="B6">
        <v>1</v>
      </c>
      <c r="C6">
        <v>-3</v>
      </c>
      <c r="D6" s="7">
        <f>B6*POWER(10,C6)</f>
        <v>1E-3</v>
      </c>
      <c r="E6" s="2" t="s">
        <v>1</v>
      </c>
      <c r="G6" s="24"/>
    </row>
    <row r="7" spans="1:7" x14ac:dyDescent="0.3">
      <c r="A7" t="s">
        <v>54</v>
      </c>
      <c r="D7">
        <v>2</v>
      </c>
      <c r="G7" t="s">
        <v>63</v>
      </c>
    </row>
    <row r="8" spans="1:7" ht="16.2" x14ac:dyDescent="0.35">
      <c r="A8" s="11" t="s">
        <v>30</v>
      </c>
      <c r="D8">
        <v>2.5999999999999999E-2</v>
      </c>
      <c r="E8" t="s">
        <v>1</v>
      </c>
      <c r="G8" s="24" t="s">
        <v>62</v>
      </c>
    </row>
    <row r="10" spans="1:7" ht="18.600000000000001" x14ac:dyDescent="0.45">
      <c r="B10" s="10" t="s">
        <v>64</v>
      </c>
    </row>
    <row r="12" spans="1:7" ht="16.2" x14ac:dyDescent="0.3">
      <c r="B12" s="2" t="s">
        <v>3</v>
      </c>
      <c r="C12" s="2" t="s">
        <v>4</v>
      </c>
      <c r="D12" t="s">
        <v>5</v>
      </c>
    </row>
    <row r="13" spans="1:7" ht="18" x14ac:dyDescent="0.4">
      <c r="A13" s="4" t="s">
        <v>8</v>
      </c>
      <c r="B13">
        <v>10</v>
      </c>
      <c r="C13">
        <v>-9</v>
      </c>
      <c r="D13" s="7">
        <f>B13*POWER(10,C13)</f>
        <v>1E-8</v>
      </c>
      <c r="E13" s="2" t="s">
        <v>9</v>
      </c>
      <c r="F13" s="21" t="s">
        <v>29</v>
      </c>
      <c r="G13" s="27">
        <f>D15*D8*LN((D14+D13)/D13)</f>
        <v>0.29933632208792593</v>
      </c>
    </row>
    <row r="14" spans="1:7" ht="15.6" x14ac:dyDescent="0.3">
      <c r="A14" s="4" t="s">
        <v>65</v>
      </c>
      <c r="B14">
        <v>1</v>
      </c>
      <c r="C14">
        <v>-3</v>
      </c>
      <c r="D14" s="7">
        <f>B14*POWER(10,C14)</f>
        <v>1E-3</v>
      </c>
      <c r="E14" s="2" t="s">
        <v>9</v>
      </c>
    </row>
    <row r="15" spans="1:7" x14ac:dyDescent="0.3">
      <c r="A15" t="s">
        <v>54</v>
      </c>
      <c r="D15">
        <v>1</v>
      </c>
    </row>
    <row r="16" spans="1:7" ht="18" x14ac:dyDescent="0.4">
      <c r="F16" s="14" t="s">
        <v>67</v>
      </c>
    </row>
    <row r="17" spans="1:11" ht="16.2" x14ac:dyDescent="0.35">
      <c r="A17" t="s">
        <v>2</v>
      </c>
      <c r="B17">
        <v>10</v>
      </c>
      <c r="C17">
        <v>3</v>
      </c>
      <c r="D17" s="7">
        <f>B17*POWER(10,C17)</f>
        <v>10000</v>
      </c>
      <c r="E17" s="26" t="s">
        <v>6</v>
      </c>
      <c r="F17" s="20" t="s">
        <v>28</v>
      </c>
      <c r="G17">
        <f>D13*(EXP((G20/2)/(D15*D8))-1)</f>
        <v>9.4036940548078711E-4</v>
      </c>
      <c r="H17" s="20" t="s">
        <v>28</v>
      </c>
      <c r="I17">
        <f>D13*(EXP((I20/2)/(D15*D8))-1)</f>
        <v>4.4362891532415388E-4</v>
      </c>
    </row>
    <row r="18" spans="1:11" ht="16.2" x14ac:dyDescent="0.35">
      <c r="A18" t="s">
        <v>2</v>
      </c>
      <c r="B18">
        <v>1</v>
      </c>
      <c r="C18">
        <v>3</v>
      </c>
      <c r="D18" s="7">
        <f>B18*POWER(10,C18)</f>
        <v>1000</v>
      </c>
      <c r="E18" s="26" t="s">
        <v>6</v>
      </c>
      <c r="F18" s="20" t="s">
        <v>66</v>
      </c>
      <c r="G18">
        <f>G20/D17</f>
        <v>5.9547558733885294E-5</v>
      </c>
      <c r="H18" s="20" t="s">
        <v>66</v>
      </c>
      <c r="I18">
        <f>I20/D18</f>
        <v>5.5640942051633313E-4</v>
      </c>
    </row>
    <row r="19" spans="1:11" ht="15.6" x14ac:dyDescent="0.3">
      <c r="F19" s="4" t="s">
        <v>65</v>
      </c>
      <c r="G19">
        <f>G17+G18</f>
        <v>9.9991696421467251E-4</v>
      </c>
      <c r="H19" s="4" t="s">
        <v>65</v>
      </c>
      <c r="I19">
        <f>I17+I18</f>
        <v>1.0000383358404869E-3</v>
      </c>
    </row>
    <row r="20" spans="1:11" x14ac:dyDescent="0.3">
      <c r="F20" s="2" t="s">
        <v>1</v>
      </c>
      <c r="G20" s="28">
        <v>0.59547558733885297</v>
      </c>
      <c r="H20" s="2" t="s">
        <v>1</v>
      </c>
      <c r="I20" s="28">
        <v>0.55640942051633313</v>
      </c>
    </row>
    <row r="21" spans="1:11" ht="16.2" x14ac:dyDescent="0.35">
      <c r="F21" s="21" t="s">
        <v>29</v>
      </c>
      <c r="G21" s="27">
        <f>G20/2</f>
        <v>0.29773779366942649</v>
      </c>
      <c r="H21" s="21" t="s">
        <v>29</v>
      </c>
      <c r="I21" s="27">
        <f>I20/2</f>
        <v>0.27820471025816657</v>
      </c>
    </row>
    <row r="23" spans="1:11" ht="18.600000000000001" x14ac:dyDescent="0.45">
      <c r="B23" s="10" t="s">
        <v>68</v>
      </c>
    </row>
    <row r="25" spans="1:11" ht="18" x14ac:dyDescent="0.4">
      <c r="A25" s="4" t="s">
        <v>65</v>
      </c>
      <c r="B25">
        <v>5</v>
      </c>
      <c r="C25">
        <v>-3</v>
      </c>
      <c r="D25" s="7">
        <f>B25*POWER(10,C25)</f>
        <v>5.0000000000000001E-3</v>
      </c>
      <c r="E25" s="2" t="s">
        <v>9</v>
      </c>
      <c r="F25" s="14" t="s">
        <v>73</v>
      </c>
    </row>
    <row r="26" spans="1:11" ht="16.2" x14ac:dyDescent="0.35">
      <c r="F26" s="20" t="s">
        <v>28</v>
      </c>
      <c r="G26">
        <f>D13*(EXP(G29/(D15*D8))-1)</f>
        <v>4.6606404783148311E-3</v>
      </c>
    </row>
    <row r="27" spans="1:11" ht="16.2" x14ac:dyDescent="0.35">
      <c r="F27" s="20" t="s">
        <v>66</v>
      </c>
      <c r="G27">
        <f>G29/D18</f>
        <v>3.3935409276567621E-4</v>
      </c>
    </row>
    <row r="28" spans="1:11" ht="15.6" x14ac:dyDescent="0.3">
      <c r="F28" s="4" t="s">
        <v>65</v>
      </c>
      <c r="G28">
        <f>G26+G27</f>
        <v>4.9999945710805073E-3</v>
      </c>
    </row>
    <row r="29" spans="1:11" ht="16.2" x14ac:dyDescent="0.35">
      <c r="F29" s="21" t="s">
        <v>69</v>
      </c>
      <c r="G29" s="27">
        <v>0.33935409276567619</v>
      </c>
      <c r="H29" s="21" t="s">
        <v>70</v>
      </c>
      <c r="I29" s="27">
        <f>D15*D8*LN((D25+D13)/D13)</f>
        <v>0.34118149981246054</v>
      </c>
      <c r="K29">
        <f>G29+I29</f>
        <v>0.68053559257813667</v>
      </c>
    </row>
    <row r="30" spans="1:11" x14ac:dyDescent="0.3">
      <c r="F30" s="21"/>
    </row>
    <row r="31" spans="1:11" x14ac:dyDescent="0.3">
      <c r="G31" t="s">
        <v>71</v>
      </c>
      <c r="I31" t="s">
        <v>72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F11" sqref="F11"/>
    </sheetView>
  </sheetViews>
  <sheetFormatPr defaultRowHeight="14.4" x14ac:dyDescent="0.3"/>
  <sheetData>
    <row r="2" spans="1:7" ht="18.600000000000001" x14ac:dyDescent="0.45">
      <c r="B2" s="10" t="s">
        <v>74</v>
      </c>
    </row>
    <row r="4" spans="1:7" ht="16.2" x14ac:dyDescent="0.3">
      <c r="B4" s="2" t="s">
        <v>3</v>
      </c>
      <c r="C4" s="2" t="s">
        <v>4</v>
      </c>
      <c r="D4" t="s">
        <v>5</v>
      </c>
    </row>
    <row r="5" spans="1:7" ht="18" x14ac:dyDescent="0.4">
      <c r="A5" s="4" t="s">
        <v>8</v>
      </c>
      <c r="B5">
        <v>14.11</v>
      </c>
      <c r="C5">
        <v>-9</v>
      </c>
      <c r="D5" s="7">
        <f>B5*POWER(10,C5)</f>
        <v>1.411E-8</v>
      </c>
      <c r="E5" s="2" t="s">
        <v>9</v>
      </c>
      <c r="F5" s="4" t="s">
        <v>76</v>
      </c>
      <c r="G5" s="27">
        <f>$D$5*(EXP(D7/($D$6*$D$8))-1)</f>
        <v>1.1346230359332438E-2</v>
      </c>
    </row>
    <row r="6" spans="1:7" x14ac:dyDescent="0.3">
      <c r="A6" t="s">
        <v>54</v>
      </c>
      <c r="D6">
        <v>1.98</v>
      </c>
    </row>
    <row r="7" spans="1:7" x14ac:dyDescent="0.3">
      <c r="A7" t="s">
        <v>75</v>
      </c>
      <c r="D7" s="7">
        <v>0.7</v>
      </c>
      <c r="E7" t="s">
        <v>1</v>
      </c>
      <c r="F7" t="s">
        <v>77</v>
      </c>
      <c r="G7">
        <f>($D$6*$D$8)/(G5+$D$5)</f>
        <v>4.5371840999146791</v>
      </c>
    </row>
    <row r="8" spans="1:7" ht="16.2" x14ac:dyDescent="0.35">
      <c r="A8" s="11" t="s">
        <v>30</v>
      </c>
      <c r="D8">
        <v>2.5999999999999999E-2</v>
      </c>
      <c r="E8" t="s">
        <v>1</v>
      </c>
      <c r="F8" t="s">
        <v>78</v>
      </c>
      <c r="G8" s="27">
        <f>G7*2</f>
        <v>9.0743681998293582</v>
      </c>
    </row>
    <row r="10" spans="1:7" ht="16.2" x14ac:dyDescent="0.35">
      <c r="F10" s="21" t="s">
        <v>81</v>
      </c>
      <c r="G10" s="4" t="s">
        <v>82</v>
      </c>
    </row>
    <row r="11" spans="1:7" x14ac:dyDescent="0.3">
      <c r="A11" t="s">
        <v>79</v>
      </c>
      <c r="D11" s="7">
        <f>G5*1.1</f>
        <v>1.2480853395265683E-2</v>
      </c>
      <c r="F11">
        <f>$D$6*$D$8*LN((D11+$D$5)/$D$5)</f>
        <v>0.7049065622363565</v>
      </c>
      <c r="G11" s="27">
        <f>F11-$D$7</f>
        <v>4.9065622363565486E-3</v>
      </c>
    </row>
    <row r="12" spans="1:7" x14ac:dyDescent="0.3">
      <c r="A12" t="s">
        <v>80</v>
      </c>
      <c r="D12" s="7">
        <f>G5*0.9</f>
        <v>1.0211607323399194E-2</v>
      </c>
      <c r="F12">
        <f>$D$6*$D$8*LN((D12+$D$5)/$D$5)</f>
        <v>0.69457604776723092</v>
      </c>
      <c r="G12" s="27">
        <f>F12-$D$7</f>
        <v>-5.4239522327690359E-3</v>
      </c>
    </row>
    <row r="15" spans="1:7" x14ac:dyDescent="0.3">
      <c r="A15" t="s">
        <v>83</v>
      </c>
      <c r="D15" s="7">
        <f>G5*2</f>
        <v>2.2692460718664875E-2</v>
      </c>
    </row>
    <row r="17" spans="1:7" ht="18.600000000000001" x14ac:dyDescent="0.45">
      <c r="B17" s="10" t="s">
        <v>84</v>
      </c>
    </row>
    <row r="18" spans="1:7" x14ac:dyDescent="0.3">
      <c r="F18" s="9" t="s">
        <v>85</v>
      </c>
      <c r="G18">
        <f>$D$5*(EXP(D22/($D$6*$D$8))-1)</f>
        <v>1.6264117167541401E-3</v>
      </c>
    </row>
    <row r="19" spans="1:7" x14ac:dyDescent="0.3">
      <c r="F19" s="9" t="s">
        <v>87</v>
      </c>
      <c r="G19">
        <f>G5-G18</f>
        <v>9.7198186425782977E-3</v>
      </c>
    </row>
    <row r="20" spans="1:7" x14ac:dyDescent="0.3">
      <c r="F20" t="s">
        <v>2</v>
      </c>
      <c r="G20" s="27">
        <f>D22/G19</f>
        <v>61.7295468221661</v>
      </c>
    </row>
    <row r="21" spans="1:7" x14ac:dyDescent="0.3">
      <c r="F21" t="s">
        <v>89</v>
      </c>
      <c r="G21">
        <f>($D$6*$D$8)/(G18+$D$5)</f>
        <v>31.652227327660366</v>
      </c>
    </row>
    <row r="22" spans="1:7" x14ac:dyDescent="0.3">
      <c r="A22" t="s">
        <v>86</v>
      </c>
      <c r="D22" s="7">
        <v>0.6</v>
      </c>
    </row>
    <row r="23" spans="1:7" x14ac:dyDescent="0.3">
      <c r="F23" t="s">
        <v>88</v>
      </c>
      <c r="G23" s="27">
        <f>(G20*G21)/(G20+G21)+G7</f>
        <v>25.460727978121099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topLeftCell="A22" workbookViewId="0">
      <selection activeCell="F23" sqref="F23"/>
    </sheetView>
  </sheetViews>
  <sheetFormatPr defaultRowHeight="14.4" x14ac:dyDescent="0.3"/>
  <cols>
    <col min="5" max="5" width="11" bestFit="1" customWidth="1"/>
  </cols>
  <sheetData>
    <row r="2" spans="1:4" ht="18.600000000000001" x14ac:dyDescent="0.45">
      <c r="B2" s="10" t="s">
        <v>90</v>
      </c>
    </row>
    <row r="11" spans="1:4" ht="15.6" x14ac:dyDescent="0.3">
      <c r="A11" s="14" t="s">
        <v>94</v>
      </c>
    </row>
    <row r="15" spans="1:4" ht="15.6" x14ac:dyDescent="0.3">
      <c r="A15" s="14" t="s">
        <v>95</v>
      </c>
    </row>
    <row r="16" spans="1:4" x14ac:dyDescent="0.3">
      <c r="A16" t="s">
        <v>54</v>
      </c>
      <c r="D16" s="7">
        <v>1.6722408026755855</v>
      </c>
    </row>
    <row r="17" spans="1:7" ht="16.2" x14ac:dyDescent="0.35">
      <c r="A17" s="11" t="s">
        <v>30</v>
      </c>
      <c r="D17">
        <v>2.5999999999999999E-2</v>
      </c>
      <c r="E17" t="s">
        <v>1</v>
      </c>
    </row>
    <row r="19" spans="1:7" x14ac:dyDescent="0.3">
      <c r="A19" t="s">
        <v>92</v>
      </c>
      <c r="D19">
        <v>0.7</v>
      </c>
    </row>
    <row r="20" spans="1:7" x14ac:dyDescent="0.3">
      <c r="A20" t="s">
        <v>91</v>
      </c>
      <c r="D20">
        <v>1E-3</v>
      </c>
    </row>
    <row r="22" spans="1:7" ht="18" x14ac:dyDescent="0.4">
      <c r="A22" s="14" t="s">
        <v>96</v>
      </c>
    </row>
    <row r="23" spans="1:7" ht="18" x14ac:dyDescent="0.4">
      <c r="E23" s="4" t="s">
        <v>97</v>
      </c>
      <c r="F23" s="4" t="s">
        <v>98</v>
      </c>
      <c r="G23" s="4" t="s">
        <v>99</v>
      </c>
    </row>
    <row r="24" spans="1:7" ht="15.6" x14ac:dyDescent="0.3">
      <c r="A24" s="14" t="s">
        <v>93</v>
      </c>
      <c r="C24">
        <v>1.7911448806434201E-3</v>
      </c>
      <c r="E24">
        <f>D19+2.3*$D$16*$D$17*LOG10(C24/D20)</f>
        <v>0.72531307161221514</v>
      </c>
      <c r="F24">
        <f>C24*3000</f>
        <v>5.3734346419302605</v>
      </c>
      <c r="G24" s="22">
        <f>E24*5+F24</f>
        <v>8.9999999999913367</v>
      </c>
    </row>
    <row r="26" spans="1:7" ht="18" x14ac:dyDescent="0.4">
      <c r="A26" s="14" t="s">
        <v>100</v>
      </c>
      <c r="E26" s="27">
        <f>E24*5</f>
        <v>3.6265653580610757</v>
      </c>
    </row>
    <row r="29" spans="1:7" ht="18.600000000000001" x14ac:dyDescent="0.45">
      <c r="B29" s="10" t="s">
        <v>101</v>
      </c>
    </row>
    <row r="31" spans="1:7" ht="18" x14ac:dyDescent="0.4">
      <c r="A31" s="4" t="s">
        <v>99</v>
      </c>
      <c r="D31" s="29">
        <v>10</v>
      </c>
    </row>
    <row r="32" spans="1:7" ht="18" x14ac:dyDescent="0.4">
      <c r="A32" s="4" t="s">
        <v>104</v>
      </c>
      <c r="B32">
        <v>1</v>
      </c>
      <c r="C32">
        <v>-6</v>
      </c>
      <c r="D32" s="7">
        <f>B32*POWER(10,C32)</f>
        <v>9.9999999999999995E-7</v>
      </c>
    </row>
    <row r="33" spans="1:7" ht="18" x14ac:dyDescent="0.4">
      <c r="A33" s="4" t="s">
        <v>105</v>
      </c>
      <c r="B33">
        <v>1</v>
      </c>
      <c r="C33">
        <v>-9</v>
      </c>
      <c r="D33" s="7">
        <f>B33*POWER(10,C33)</f>
        <v>1.0000000000000001E-9</v>
      </c>
    </row>
    <row r="34" spans="1:7" x14ac:dyDescent="0.3">
      <c r="A34" t="s">
        <v>54</v>
      </c>
      <c r="D34" s="7">
        <v>2</v>
      </c>
    </row>
    <row r="35" spans="1:7" x14ac:dyDescent="0.3">
      <c r="A35" t="s">
        <v>2</v>
      </c>
      <c r="D35" s="7">
        <v>1000</v>
      </c>
    </row>
    <row r="37" spans="1:7" ht="18" x14ac:dyDescent="0.4">
      <c r="D37" s="4" t="s">
        <v>102</v>
      </c>
      <c r="E37" s="4" t="s">
        <v>103</v>
      </c>
      <c r="F37" s="4" t="s">
        <v>98</v>
      </c>
      <c r="G37" s="4" t="s">
        <v>99</v>
      </c>
    </row>
    <row r="38" spans="1:7" ht="15.6" x14ac:dyDescent="0.3">
      <c r="A38" s="14" t="s">
        <v>93</v>
      </c>
      <c r="C38">
        <v>8.6972798557768856E-3</v>
      </c>
      <c r="D38" s="27">
        <f>$D$34*$D$17*LN(($C38+D32)/D32)</f>
        <v>0.47168578950309192</v>
      </c>
      <c r="E38" s="27">
        <f>$D$34*$D$17*LN(($C38+D33)/D33)</f>
        <v>0.83088309145188588</v>
      </c>
      <c r="F38">
        <f>C38*D35</f>
        <v>8.6972798557768858</v>
      </c>
      <c r="G38">
        <f>D38+E38+F38</f>
        <v>9.9998487367318631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zoomScaleNormal="100" workbookViewId="0">
      <selection activeCell="J22" sqref="J22"/>
    </sheetView>
  </sheetViews>
  <sheetFormatPr defaultRowHeight="14.4" x14ac:dyDescent="0.3"/>
  <cols>
    <col min="2" max="2" width="5.5546875" customWidth="1"/>
    <col min="5" max="5" width="11.6640625" bestFit="1" customWidth="1"/>
    <col min="7" max="7" width="7.109375" customWidth="1"/>
    <col min="8" max="8" width="12.5546875" customWidth="1"/>
    <col min="9" max="9" width="6.5546875" customWidth="1"/>
    <col min="13" max="13" width="7.5546875" customWidth="1"/>
    <col min="14" max="14" width="13.88671875" customWidth="1"/>
    <col min="17" max="17" width="14.44140625" customWidth="1"/>
  </cols>
  <sheetData>
    <row r="2" spans="1:14" x14ac:dyDescent="0.3">
      <c r="A2" t="s">
        <v>116</v>
      </c>
      <c r="H2" t="s">
        <v>123</v>
      </c>
    </row>
    <row r="3" spans="1:14" x14ac:dyDescent="0.3">
      <c r="A3" t="s">
        <v>117</v>
      </c>
      <c r="B3" s="47" t="s">
        <v>118</v>
      </c>
      <c r="H3" t="s">
        <v>124</v>
      </c>
    </row>
    <row r="4" spans="1:14" x14ac:dyDescent="0.3">
      <c r="B4" s="47" t="s">
        <v>122</v>
      </c>
      <c r="H4" t="s">
        <v>125</v>
      </c>
    </row>
    <row r="5" spans="1:14" x14ac:dyDescent="0.3">
      <c r="B5" s="47"/>
      <c r="C5" s="47" t="s">
        <v>119</v>
      </c>
    </row>
    <row r="6" spans="1:14" x14ac:dyDescent="0.3">
      <c r="C6" t="s">
        <v>120</v>
      </c>
      <c r="H6" t="s">
        <v>126</v>
      </c>
    </row>
    <row r="7" spans="1:14" x14ac:dyDescent="0.3">
      <c r="A7" t="s">
        <v>121</v>
      </c>
      <c r="H7" t="s">
        <v>127</v>
      </c>
    </row>
    <row r="9" spans="1:14" ht="15" thickBot="1" x14ac:dyDescent="0.35"/>
    <row r="10" spans="1:14" ht="18" x14ac:dyDescent="0.4">
      <c r="G10" s="4" t="s">
        <v>106</v>
      </c>
      <c r="H10" s="7">
        <v>4</v>
      </c>
      <c r="J10" s="30">
        <v>1</v>
      </c>
      <c r="K10" s="31">
        <v>1</v>
      </c>
      <c r="L10" s="32">
        <v>-1</v>
      </c>
      <c r="N10" s="48">
        <v>0</v>
      </c>
    </row>
    <row r="11" spans="1:14" ht="18" x14ac:dyDescent="0.4">
      <c r="G11" s="4" t="s">
        <v>107</v>
      </c>
      <c r="H11" s="7">
        <v>5</v>
      </c>
      <c r="I11" s="26" t="s">
        <v>111</v>
      </c>
      <c r="J11" s="33">
        <f>R_a</f>
        <v>9.9999999999999995E-7</v>
      </c>
      <c r="K11" s="34">
        <f>-R_n-R_a</f>
        <v>-1000.000001</v>
      </c>
      <c r="L11" s="35">
        <v>0</v>
      </c>
      <c r="N11" s="49">
        <f>V_2-V_1</f>
        <v>1</v>
      </c>
    </row>
    <row r="12" spans="1:14" ht="18.600000000000001" thickBot="1" x14ac:dyDescent="0.45">
      <c r="G12" s="4" t="s">
        <v>108</v>
      </c>
      <c r="H12" s="7">
        <v>3</v>
      </c>
      <c r="J12" s="36">
        <v>0</v>
      </c>
      <c r="K12" s="37">
        <f>R_n+R_a</f>
        <v>1000.000001</v>
      </c>
      <c r="L12" s="38">
        <f>R_a</f>
        <v>9.9999999999999995E-7</v>
      </c>
      <c r="N12" s="50">
        <f>V_3-V_2</f>
        <v>-2</v>
      </c>
    </row>
    <row r="13" spans="1:14" ht="15.6" x14ac:dyDescent="0.3">
      <c r="G13" s="4"/>
      <c r="J13" s="34"/>
      <c r="K13" s="34"/>
      <c r="L13" s="34"/>
      <c r="N13" s="34"/>
    </row>
    <row r="15" spans="1:14" ht="18" x14ac:dyDescent="0.4">
      <c r="G15" s="4" t="s">
        <v>109</v>
      </c>
      <c r="H15" s="7">
        <v>1000</v>
      </c>
      <c r="J15" s="39">
        <f t="array" ref="J15:L17">MINVERSE(J10:L12)</f>
        <v>0.49999999974999992</v>
      </c>
      <c r="K15" s="40">
        <v>500000.00025000004</v>
      </c>
      <c r="L15" s="41">
        <v>499999.99974999996</v>
      </c>
      <c r="M15" s="26" t="s">
        <v>113</v>
      </c>
      <c r="N15" s="51">
        <f t="array" ref="N15:N17">MMULT(J15:L17,N10:N12)</f>
        <v>-499999.99924999988</v>
      </c>
    </row>
    <row r="16" spans="1:14" ht="18.600000000000001" x14ac:dyDescent="0.4">
      <c r="G16" s="4" t="s">
        <v>110</v>
      </c>
      <c r="H16" s="7">
        <v>9.9999999999999995E-7</v>
      </c>
      <c r="I16" s="26" t="s">
        <v>112</v>
      </c>
      <c r="J16" s="42">
        <v>4.9999999924999992E-10</v>
      </c>
      <c r="K16" s="34">
        <v>-4.9999999925000001E-4</v>
      </c>
      <c r="L16" s="43">
        <v>4.999999992499999E-4</v>
      </c>
      <c r="M16" s="26" t="s">
        <v>114</v>
      </c>
      <c r="N16" s="51">
        <v>-1.4999999977499999E-3</v>
      </c>
    </row>
    <row r="17" spans="1:14" ht="16.2" x14ac:dyDescent="0.35">
      <c r="J17" s="44">
        <v>-0.49999999975000003</v>
      </c>
      <c r="K17" s="45">
        <v>499999.99975000002</v>
      </c>
      <c r="L17" s="46">
        <v>500000.00024999998</v>
      </c>
      <c r="M17" s="26" t="s">
        <v>115</v>
      </c>
      <c r="N17" s="51">
        <v>-500000.00074999995</v>
      </c>
    </row>
    <row r="21" spans="1:14" x14ac:dyDescent="0.3">
      <c r="A21" t="s">
        <v>130</v>
      </c>
    </row>
    <row r="22" spans="1:14" x14ac:dyDescent="0.3">
      <c r="A22" t="s">
        <v>128</v>
      </c>
    </row>
    <row r="23" spans="1:14" x14ac:dyDescent="0.3">
      <c r="A23" t="s">
        <v>129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8:R61"/>
  <sheetViews>
    <sheetView topLeftCell="A17" zoomScaleNormal="100" workbookViewId="0">
      <selection activeCell="P44" sqref="P44"/>
    </sheetView>
  </sheetViews>
  <sheetFormatPr defaultRowHeight="14.4" x14ac:dyDescent="0.3"/>
  <cols>
    <col min="5" max="5" width="12.33203125" customWidth="1"/>
  </cols>
  <sheetData>
    <row r="8" spans="1:10" x14ac:dyDescent="0.3">
      <c r="A8" t="s">
        <v>160</v>
      </c>
      <c r="G8" t="s">
        <v>162</v>
      </c>
    </row>
    <row r="9" spans="1:10" ht="16.2" x14ac:dyDescent="0.35">
      <c r="A9" t="s">
        <v>157</v>
      </c>
      <c r="D9" s="52" t="s">
        <v>147</v>
      </c>
      <c r="E9">
        <v>20</v>
      </c>
      <c r="G9" t="s">
        <v>150</v>
      </c>
      <c r="I9" s="52" t="s">
        <v>149</v>
      </c>
      <c r="J9">
        <v>100</v>
      </c>
    </row>
    <row r="10" spans="1:10" ht="16.2" x14ac:dyDescent="0.35">
      <c r="A10" t="s">
        <v>156</v>
      </c>
      <c r="D10" s="52" t="s">
        <v>152</v>
      </c>
      <c r="E10">
        <v>2000</v>
      </c>
      <c r="G10" t="s">
        <v>159</v>
      </c>
      <c r="I10" s="52" t="s">
        <v>154</v>
      </c>
      <c r="J10">
        <v>20</v>
      </c>
    </row>
    <row r="11" spans="1:10" ht="16.2" x14ac:dyDescent="0.35">
      <c r="D11" s="54" t="s">
        <v>164</v>
      </c>
      <c r="E11" s="55">
        <f>E9*(E13/(E10+E13))</f>
        <v>19.960079840319359</v>
      </c>
      <c r="I11" s="54" t="s">
        <v>165</v>
      </c>
      <c r="J11" s="56">
        <f>E11*J9</f>
        <v>1996.0079840319358</v>
      </c>
    </row>
    <row r="12" spans="1:10" x14ac:dyDescent="0.3">
      <c r="A12" t="s">
        <v>161</v>
      </c>
      <c r="G12" t="s">
        <v>163</v>
      </c>
    </row>
    <row r="13" spans="1:10" ht="16.2" x14ac:dyDescent="0.35">
      <c r="A13" t="s">
        <v>155</v>
      </c>
      <c r="D13" s="52" t="s">
        <v>151</v>
      </c>
      <c r="E13" s="53">
        <v>1000000</v>
      </c>
      <c r="G13" t="s">
        <v>158</v>
      </c>
      <c r="I13" s="52" t="s">
        <v>153</v>
      </c>
      <c r="J13">
        <v>10</v>
      </c>
    </row>
    <row r="14" spans="1:10" ht="16.2" x14ac:dyDescent="0.35">
      <c r="G14" t="s">
        <v>148</v>
      </c>
      <c r="I14" s="52" t="s">
        <v>146</v>
      </c>
      <c r="J14">
        <f>J11*(J13/(J13+J10))</f>
        <v>665.33599467731187</v>
      </c>
    </row>
    <row r="18" spans="5:10" ht="16.2" x14ac:dyDescent="0.35">
      <c r="I18" s="52" t="s">
        <v>151</v>
      </c>
      <c r="J18" s="53">
        <v>1000000</v>
      </c>
    </row>
    <row r="19" spans="5:10" ht="16.2" x14ac:dyDescent="0.35">
      <c r="E19" s="57">
        <f>1/(1+J18/(J19+J20*J18))</f>
        <v>0.99009901186158167</v>
      </c>
      <c r="I19" s="52" t="s">
        <v>154</v>
      </c>
      <c r="J19">
        <v>20</v>
      </c>
    </row>
    <row r="20" spans="5:10" ht="16.2" x14ac:dyDescent="0.35">
      <c r="I20" s="52" t="s">
        <v>149</v>
      </c>
      <c r="J20">
        <v>100</v>
      </c>
    </row>
    <row r="25" spans="5:10" x14ac:dyDescent="0.3">
      <c r="E25" s="57">
        <f>1/(1+1/J20)</f>
        <v>0.99009900990099009</v>
      </c>
    </row>
    <row r="39" spans="8:16" ht="16.2" x14ac:dyDescent="0.35">
      <c r="H39" s="52" t="s">
        <v>151</v>
      </c>
      <c r="I39" s="53">
        <v>1000000</v>
      </c>
      <c r="K39" s="52" t="s">
        <v>166</v>
      </c>
      <c r="L39">
        <v>1000</v>
      </c>
    </row>
    <row r="40" spans="8:16" ht="16.2" x14ac:dyDescent="0.35">
      <c r="H40" s="52" t="s">
        <v>154</v>
      </c>
      <c r="I40">
        <v>20</v>
      </c>
      <c r="K40" s="52" t="s">
        <v>167</v>
      </c>
      <c r="L40">
        <v>5000</v>
      </c>
    </row>
    <row r="41" spans="8:16" ht="16.2" x14ac:dyDescent="0.35">
      <c r="H41" s="52" t="s">
        <v>147</v>
      </c>
      <c r="I41">
        <v>1</v>
      </c>
    </row>
    <row r="42" spans="8:16" x14ac:dyDescent="0.3">
      <c r="H42" s="52" t="s">
        <v>9</v>
      </c>
      <c r="I42">
        <v>100</v>
      </c>
      <c r="M42" t="s">
        <v>168</v>
      </c>
    </row>
    <row r="44" spans="8:16" x14ac:dyDescent="0.3">
      <c r="H44" s="39">
        <f>-1/L40</f>
        <v>-2.0000000000000001E-4</v>
      </c>
      <c r="I44" s="59">
        <f>1/L39+1/L40-1/I39</f>
        <v>1.1990000000000002E-3</v>
      </c>
      <c r="K44" s="60">
        <f>I41/L39</f>
        <v>1E-3</v>
      </c>
      <c r="M44">
        <f t="array" ref="M44:N45">MINVERSE(H44:I45)</f>
        <v>-4716.1259663492838</v>
      </c>
      <c r="N44">
        <v>1.1309722456203832</v>
      </c>
      <c r="P44" s="58">
        <f t="array" ref="P44:P45">MMULT(M44:N45,K44:K45)</f>
        <v>-4.716125966349284</v>
      </c>
    </row>
    <row r="45" spans="8:16" x14ac:dyDescent="0.3">
      <c r="H45" s="44">
        <f>1/L40+1/I40</f>
        <v>5.0200000000000002E-2</v>
      </c>
      <c r="I45" s="46">
        <f>I42/I40-1/L40</f>
        <v>4.9997999999999996</v>
      </c>
      <c r="K45" s="61">
        <v>0</v>
      </c>
      <c r="M45">
        <v>47.35179877409778</v>
      </c>
      <c r="N45">
        <v>0.18865258475736166</v>
      </c>
      <c r="P45" s="58">
        <v>4.7351798774097779E-2</v>
      </c>
    </row>
    <row r="49" spans="8:18" ht="16.2" x14ac:dyDescent="0.35">
      <c r="H49" s="52" t="s">
        <v>151</v>
      </c>
      <c r="I49" s="53">
        <v>1000000</v>
      </c>
      <c r="K49" s="52" t="s">
        <v>166</v>
      </c>
      <c r="L49">
        <v>1000</v>
      </c>
    </row>
    <row r="50" spans="8:18" ht="16.2" x14ac:dyDescent="0.35">
      <c r="H50" s="52" t="s">
        <v>154</v>
      </c>
      <c r="I50">
        <v>20</v>
      </c>
      <c r="K50" s="52" t="s">
        <v>169</v>
      </c>
      <c r="L50">
        <v>5000</v>
      </c>
    </row>
    <row r="51" spans="8:18" ht="16.2" x14ac:dyDescent="0.35">
      <c r="H51" s="52" t="s">
        <v>147</v>
      </c>
      <c r="I51">
        <v>1</v>
      </c>
    </row>
    <row r="52" spans="8:18" x14ac:dyDescent="0.3">
      <c r="H52" s="52" t="s">
        <v>9</v>
      </c>
      <c r="I52">
        <v>100</v>
      </c>
    </row>
    <row r="53" spans="8:18" x14ac:dyDescent="0.3">
      <c r="P53" t="s">
        <v>170</v>
      </c>
      <c r="R53" t="s">
        <v>171</v>
      </c>
    </row>
    <row r="55" spans="8:18" x14ac:dyDescent="0.3">
      <c r="H55">
        <f>-1/L50</f>
        <v>-2.0000000000000001E-4</v>
      </c>
      <c r="I55" s="53">
        <f>1/I49+1/L50+1/L49</f>
        <v>1.201E-3</v>
      </c>
      <c r="K55" s="53">
        <f>I51/I49</f>
        <v>9.9999999999999995E-7</v>
      </c>
      <c r="M55">
        <f t="array" ref="M55:N56">MINVERSE(H55:I56)</f>
        <v>-4715.6793745476298</v>
      </c>
      <c r="N55">
        <v>1.1327514958261753</v>
      </c>
      <c r="P55" s="58">
        <f t="array" ref="P55:P56">MMULT(M55:N56,K55:K56)</f>
        <v>5.6590417997563289</v>
      </c>
      <c r="R55">
        <f>1+L50/L49</f>
        <v>6</v>
      </c>
    </row>
    <row r="56" spans="8:18" x14ac:dyDescent="0.3">
      <c r="H56">
        <f>1/I50+1/L50</f>
        <v>5.0200000000000002E-2</v>
      </c>
      <c r="I56">
        <f>I52/I50-1/L50</f>
        <v>4.9997999999999996</v>
      </c>
      <c r="K56">
        <f>I52*I51/I50</f>
        <v>5</v>
      </c>
      <c r="M56">
        <v>47.34731481305073</v>
      </c>
      <c r="N56">
        <v>0.18863472037072004</v>
      </c>
      <c r="P56" s="58">
        <v>0.94322094916841326</v>
      </c>
    </row>
    <row r="57" spans="8:18" x14ac:dyDescent="0.3">
      <c r="R57" t="s">
        <v>172</v>
      </c>
    </row>
    <row r="59" spans="8:18" x14ac:dyDescent="0.3">
      <c r="L59" t="s">
        <v>173</v>
      </c>
      <c r="M59">
        <f>L49/(L49+L50)</f>
        <v>0.16666666666666666</v>
      </c>
      <c r="R59">
        <f>(P55-R55)/R55</f>
        <v>-5.682636670727851E-2</v>
      </c>
    </row>
    <row r="61" spans="8:18" x14ac:dyDescent="0.3">
      <c r="M61">
        <f>-1/(1+I52*M59)</f>
        <v>-5.6603773584905669E-2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1265" r:id="rId4">
          <objectPr defaultSize="0" autoPict="0" r:id="rId5">
            <anchor moveWithCells="1">
              <from>
                <xdr:col>0</xdr:col>
                <xdr:colOff>220980</xdr:colOff>
                <xdr:row>1</xdr:row>
                <xdr:rowOff>22860</xdr:rowOff>
              </from>
              <to>
                <xdr:col>3</xdr:col>
                <xdr:colOff>609600</xdr:colOff>
                <xdr:row>4</xdr:row>
                <xdr:rowOff>45720</xdr:rowOff>
              </to>
            </anchor>
          </objectPr>
        </oleObject>
      </mc:Choice>
      <mc:Fallback>
        <oleObject progId="Equation.DSMT4" shapeId="11265" r:id="rId4"/>
      </mc:Fallback>
    </mc:AlternateContent>
    <mc:AlternateContent xmlns:mc="http://schemas.openxmlformats.org/markup-compatibility/2006">
      <mc:Choice Requires="x14">
        <oleObject progId="Equation.DSMT4" shapeId="11266" r:id="rId6">
          <objectPr defaultSize="0" autoPict="0" r:id="rId7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3</xdr:col>
                <xdr:colOff>160020</xdr:colOff>
                <xdr:row>20</xdr:row>
                <xdr:rowOff>121920</xdr:rowOff>
              </to>
            </anchor>
          </objectPr>
        </oleObject>
      </mc:Choice>
      <mc:Fallback>
        <oleObject progId="Equation.DSMT4" shapeId="11266" r:id="rId6"/>
      </mc:Fallback>
    </mc:AlternateContent>
    <mc:AlternateContent xmlns:mc="http://schemas.openxmlformats.org/markup-compatibility/2006">
      <mc:Choice Requires="x14">
        <oleObject progId="Equation.DSMT4" shapeId="11267" r:id="rId8">
          <objectPr defaultSize="0" autoPict="0" r:id="rId9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2</xdr:col>
                <xdr:colOff>274320</xdr:colOff>
                <xdr:row>27</xdr:row>
                <xdr:rowOff>7620</xdr:rowOff>
              </to>
            </anchor>
          </objectPr>
        </oleObject>
      </mc:Choice>
      <mc:Fallback>
        <oleObject progId="Equation.DSMT4" shapeId="11267" r:id="rId8"/>
      </mc:Fallback>
    </mc:AlternateContent>
    <mc:AlternateContent xmlns:mc="http://schemas.openxmlformats.org/markup-compatibility/2006">
      <mc:Choice Requires="x14">
        <oleObject progId="Equation.DSMT4" shapeId="11268" r:id="rId10">
          <objectPr defaultSize="0" autoPict="0" r:id="rId11">
            <anchor moveWithCells="1">
              <from>
                <xdr:col>7</xdr:col>
                <xdr:colOff>22860</xdr:colOff>
                <xdr:row>28</xdr:row>
                <xdr:rowOff>60960</xdr:rowOff>
              </from>
              <to>
                <xdr:col>11</xdr:col>
                <xdr:colOff>289560</xdr:colOff>
                <xdr:row>31</xdr:row>
                <xdr:rowOff>22860</xdr:rowOff>
              </to>
            </anchor>
          </objectPr>
        </oleObject>
      </mc:Choice>
      <mc:Fallback>
        <oleObject progId="Equation.DSMT4" shapeId="11268" r:id="rId10"/>
      </mc:Fallback>
    </mc:AlternateContent>
    <mc:AlternateContent xmlns:mc="http://schemas.openxmlformats.org/markup-compatibility/2006">
      <mc:Choice Requires="x14">
        <oleObject progId="Equation.DSMT4" shapeId="11269" r:id="rId12">
          <objectPr defaultSize="0" autoPict="0" r:id="rId13">
            <anchor moveWithCells="1">
              <from>
                <xdr:col>7</xdr:col>
                <xdr:colOff>22860</xdr:colOff>
                <xdr:row>31</xdr:row>
                <xdr:rowOff>106680</xdr:rowOff>
              </from>
              <to>
                <xdr:col>10</xdr:col>
                <xdr:colOff>541020</xdr:colOff>
                <xdr:row>34</xdr:row>
                <xdr:rowOff>60960</xdr:rowOff>
              </to>
            </anchor>
          </objectPr>
        </oleObject>
      </mc:Choice>
      <mc:Fallback>
        <oleObject progId="Equation.DSMT4" shapeId="11269" r:id="rId12"/>
      </mc:Fallback>
    </mc:AlternateContent>
    <mc:AlternateContent xmlns:mc="http://schemas.openxmlformats.org/markup-compatibility/2006">
      <mc:Choice Requires="x14">
        <oleObject progId="Equation.DSMT4" shapeId="11270" r:id="rId14">
          <objectPr defaultSize="0" autoPict="0" r:id="rId15">
            <anchor moveWithCells="1">
              <from>
                <xdr:col>12</xdr:col>
                <xdr:colOff>38100</xdr:colOff>
                <xdr:row>28</xdr:row>
                <xdr:rowOff>22860</xdr:rowOff>
              </from>
              <to>
                <xdr:col>16</xdr:col>
                <xdr:colOff>533400</xdr:colOff>
                <xdr:row>34</xdr:row>
                <xdr:rowOff>114300</xdr:rowOff>
              </to>
            </anchor>
          </objectPr>
        </oleObject>
      </mc:Choice>
      <mc:Fallback>
        <oleObject progId="Equation.DSMT4" shapeId="11270" r:id="rId14"/>
      </mc:Fallback>
    </mc:AlternateContent>
    <mc:AlternateContent xmlns:mc="http://schemas.openxmlformats.org/markup-compatibility/2006">
      <mc:Choice Requires="x14">
        <oleObject progId="Equation.DSMT4" shapeId="11271" r:id="rId16">
          <objectPr defaultSize="0" autoPict="0" r:id="rId17">
            <anchor moveWithCells="1">
              <from>
                <xdr:col>6</xdr:col>
                <xdr:colOff>594360</xdr:colOff>
                <xdr:row>34</xdr:row>
                <xdr:rowOff>144780</xdr:rowOff>
              </from>
              <to>
                <xdr:col>8</xdr:col>
                <xdr:colOff>304800</xdr:colOff>
                <xdr:row>36</xdr:row>
                <xdr:rowOff>99060</xdr:rowOff>
              </to>
            </anchor>
          </objectPr>
        </oleObject>
      </mc:Choice>
      <mc:Fallback>
        <oleObject progId="Equation.DSMT4" shapeId="11271" r:id="rId16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H17"/>
  <sheetViews>
    <sheetView workbookViewId="0">
      <selection activeCell="B17" sqref="B17"/>
    </sheetView>
  </sheetViews>
  <sheetFormatPr defaultRowHeight="14.4" x14ac:dyDescent="0.3"/>
  <sheetData>
    <row r="4" spans="2:8" ht="16.2" x14ac:dyDescent="0.35">
      <c r="B4" s="52" t="s">
        <v>151</v>
      </c>
      <c r="C4" s="53">
        <v>1000000</v>
      </c>
      <c r="E4" s="52" t="s">
        <v>166</v>
      </c>
      <c r="F4">
        <v>1000</v>
      </c>
      <c r="G4" s="52" t="s">
        <v>175</v>
      </c>
      <c r="H4">
        <v>1000</v>
      </c>
    </row>
    <row r="5" spans="2:8" ht="16.2" x14ac:dyDescent="0.35">
      <c r="B5" s="52" t="s">
        <v>154</v>
      </c>
      <c r="C5">
        <v>20</v>
      </c>
      <c r="E5" s="52" t="s">
        <v>167</v>
      </c>
      <c r="F5">
        <v>5000</v>
      </c>
      <c r="G5" s="52" t="s">
        <v>176</v>
      </c>
      <c r="H5">
        <v>5000</v>
      </c>
    </row>
    <row r="6" spans="2:8" x14ac:dyDescent="0.3">
      <c r="B6" s="52" t="s">
        <v>9</v>
      </c>
      <c r="C6">
        <v>100</v>
      </c>
    </row>
    <row r="8" spans="2:8" ht="16.2" x14ac:dyDescent="0.35">
      <c r="B8" s="52" t="s">
        <v>147</v>
      </c>
      <c r="C8">
        <v>10</v>
      </c>
    </row>
    <row r="9" spans="2:8" ht="16.2" x14ac:dyDescent="0.35">
      <c r="B9" s="52" t="s">
        <v>174</v>
      </c>
      <c r="C9">
        <v>5</v>
      </c>
    </row>
    <row r="10" spans="2:8" x14ac:dyDescent="0.3">
      <c r="E10" s="39">
        <f>-1/F5</f>
        <v>-2.0000000000000001E-4</v>
      </c>
      <c r="F10" s="62">
        <f>1/F4+1/F5-1/C4</f>
        <v>1.1990000000000002E-3</v>
      </c>
      <c r="G10" s="59">
        <f>1/C4</f>
        <v>9.9999999999999995E-7</v>
      </c>
      <c r="H10">
        <f>C8/F4</f>
        <v>0.01</v>
      </c>
    </row>
    <row r="11" spans="2:8" x14ac:dyDescent="0.3">
      <c r="E11" s="42">
        <v>0</v>
      </c>
      <c r="F11" s="63">
        <f>1/C4</f>
        <v>9.9999999999999995E-7</v>
      </c>
      <c r="G11" s="64">
        <f>1/H4-1/C4+1/H5</f>
        <v>1.1990000000000002E-3</v>
      </c>
      <c r="H11">
        <f>C9/H4</f>
        <v>5.0000000000000001E-3</v>
      </c>
    </row>
    <row r="12" spans="2:8" x14ac:dyDescent="0.3">
      <c r="E12" s="44">
        <f>1/C5+1/F5</f>
        <v>5.0200000000000002E-2</v>
      </c>
      <c r="F12" s="45">
        <f>C6/C5-1/F5</f>
        <v>4.9997999999999996</v>
      </c>
      <c r="G12" s="46">
        <f>-C6/C5</f>
        <v>-5</v>
      </c>
      <c r="H12">
        <v>0</v>
      </c>
    </row>
    <row r="14" spans="2:8" x14ac:dyDescent="0.3">
      <c r="E14">
        <f t="array" ref="E14:G16">MINVERSE(E10:G12)</f>
        <v>-4716.3493028909952</v>
      </c>
      <c r="F14">
        <v>4716.5376499674312</v>
      </c>
      <c r="G14">
        <v>1.130082458601614</v>
      </c>
      <c r="H14" s="58">
        <f t="array" ref="H14:H16">MMULT(E14:G16,H10:H12)</f>
        <v>-23.580804779072796</v>
      </c>
    </row>
    <row r="15" spans="2:8" x14ac:dyDescent="0.3">
      <c r="E15">
        <v>47.314577884487527</v>
      </c>
      <c r="F15">
        <v>786.05017283123914</v>
      </c>
      <c r="G15">
        <v>0.18850429436050806</v>
      </c>
      <c r="H15" s="65">
        <v>4.4033966430010709</v>
      </c>
    </row>
    <row r="16" spans="2:8" x14ac:dyDescent="0.3">
      <c r="E16">
        <v>-3.946169965345081E-2</v>
      </c>
      <c r="F16">
        <v>833.3727688299989</v>
      </c>
      <c r="G16">
        <v>-1.5721792690617852E-4</v>
      </c>
      <c r="H16" s="65">
        <v>4.1664692271534598</v>
      </c>
    </row>
    <row r="17" spans="2:2" x14ac:dyDescent="0.3">
      <c r="B17" s="58">
        <f>(F5/F4)*(C9-C8)</f>
        <v>-25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12289" r:id="rId4">
          <objectPr defaultSize="0" autoPict="0" r:id="rId5">
            <anchor moveWithCells="1">
              <from>
                <xdr:col>0</xdr:col>
                <xdr:colOff>373380</xdr:colOff>
                <xdr:row>12</xdr:row>
                <xdr:rowOff>22860</xdr:rowOff>
              </from>
              <to>
                <xdr:col>2</xdr:col>
                <xdr:colOff>381000</xdr:colOff>
                <xdr:row>14</xdr:row>
                <xdr:rowOff>152400</xdr:rowOff>
              </to>
            </anchor>
          </objectPr>
        </oleObject>
      </mc:Choice>
      <mc:Fallback>
        <oleObject progId="Equation.DSMT4" shapeId="12289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2"/>
  <sheetViews>
    <sheetView topLeftCell="A10" workbookViewId="0">
      <selection activeCell="H27" sqref="H27"/>
    </sheetView>
  </sheetViews>
  <sheetFormatPr defaultRowHeight="14.4" x14ac:dyDescent="0.3"/>
  <cols>
    <col min="4" max="4" width="9" bestFit="1" customWidth="1"/>
    <col min="5" max="6" width="12" bestFit="1" customWidth="1"/>
  </cols>
  <sheetData>
    <row r="3" spans="2:14" x14ac:dyDescent="0.3">
      <c r="I3">
        <v>3000</v>
      </c>
      <c r="J3" t="s">
        <v>134</v>
      </c>
      <c r="K3">
        <f>1/I3</f>
        <v>3.3333333333333332E-4</v>
      </c>
      <c r="M3" t="s">
        <v>139</v>
      </c>
      <c r="N3">
        <v>8.0000000000000002E-3</v>
      </c>
    </row>
    <row r="4" spans="2:14" x14ac:dyDescent="0.3">
      <c r="B4" t="s">
        <v>131</v>
      </c>
      <c r="C4">
        <f>1/1000</f>
        <v>1E-3</v>
      </c>
      <c r="I4">
        <v>6000</v>
      </c>
      <c r="J4" t="s">
        <v>135</v>
      </c>
      <c r="K4">
        <f t="shared" ref="K4:K7" si="0">1/I4</f>
        <v>1.6666666666666666E-4</v>
      </c>
      <c r="M4" t="s">
        <v>140</v>
      </c>
      <c r="N4">
        <v>2E-3</v>
      </c>
    </row>
    <row r="5" spans="2:14" x14ac:dyDescent="0.3">
      <c r="B5" t="s">
        <v>132</v>
      </c>
      <c r="C5">
        <f>1/2000</f>
        <v>5.0000000000000001E-4</v>
      </c>
      <c r="I5">
        <v>6000</v>
      </c>
      <c r="J5" t="s">
        <v>136</v>
      </c>
      <c r="K5">
        <f t="shared" si="0"/>
        <v>1.6666666666666666E-4</v>
      </c>
    </row>
    <row r="6" spans="2:14" x14ac:dyDescent="0.3">
      <c r="B6" t="s">
        <v>133</v>
      </c>
      <c r="C6">
        <f>1/4000</f>
        <v>2.5000000000000001E-4</v>
      </c>
      <c r="I6">
        <v>2000</v>
      </c>
      <c r="J6" t="s">
        <v>137</v>
      </c>
      <c r="K6">
        <f t="shared" si="0"/>
        <v>5.0000000000000001E-4</v>
      </c>
    </row>
    <row r="7" spans="2:14" x14ac:dyDescent="0.3">
      <c r="I7">
        <v>1000</v>
      </c>
      <c r="J7" t="s">
        <v>138</v>
      </c>
      <c r="K7">
        <f t="shared" si="0"/>
        <v>1E-3</v>
      </c>
    </row>
    <row r="9" spans="2:14" x14ac:dyDescent="0.3">
      <c r="C9">
        <f>C4+C5</f>
        <v>1.5E-3</v>
      </c>
      <c r="D9">
        <f>-C5</f>
        <v>-5.0000000000000001E-4</v>
      </c>
      <c r="E9">
        <f>-C4</f>
        <v>-1E-3</v>
      </c>
      <c r="G9">
        <v>4.0000000000000001E-3</v>
      </c>
    </row>
    <row r="10" spans="2:14" x14ac:dyDescent="0.3">
      <c r="C10">
        <f>-C5</f>
        <v>-5.0000000000000001E-4</v>
      </c>
      <c r="D10">
        <f>C4+C5+C6</f>
        <v>1.75E-3</v>
      </c>
      <c r="E10">
        <f>-C6</f>
        <v>-2.5000000000000001E-4</v>
      </c>
      <c r="G10">
        <v>0</v>
      </c>
      <c r="J10">
        <f>K3+K4</f>
        <v>5.0000000000000001E-4</v>
      </c>
      <c r="K10">
        <f>-K4</f>
        <v>-1.6666666666666666E-4</v>
      </c>
      <c r="L10">
        <v>0</v>
      </c>
      <c r="N10">
        <f>N3-N4</f>
        <v>6.0000000000000001E-3</v>
      </c>
    </row>
    <row r="11" spans="2:14" x14ac:dyDescent="0.3">
      <c r="C11">
        <f>-C4</f>
        <v>-1E-3</v>
      </c>
      <c r="D11">
        <f>-C6</f>
        <v>-2.5000000000000001E-4</v>
      </c>
      <c r="E11">
        <f>C4+C6</f>
        <v>1.25E-3</v>
      </c>
      <c r="G11">
        <v>-2E-3</v>
      </c>
      <c r="J11">
        <f>-K4</f>
        <v>-1.6666666666666666E-4</v>
      </c>
      <c r="K11">
        <f>K4+K5+K6</f>
        <v>8.3333333333333328E-4</v>
      </c>
      <c r="L11">
        <f>-K6</f>
        <v>-5.0000000000000001E-4</v>
      </c>
      <c r="N11">
        <v>0</v>
      </c>
    </row>
    <row r="12" spans="2:14" x14ac:dyDescent="0.3">
      <c r="J12">
        <v>0</v>
      </c>
      <c r="K12">
        <f>-K6</f>
        <v>-5.0000000000000001E-4</v>
      </c>
      <c r="L12">
        <f>K6+K7</f>
        <v>1.5E-3</v>
      </c>
      <c r="N12">
        <f>N4</f>
        <v>2E-3</v>
      </c>
    </row>
    <row r="14" spans="2:14" x14ac:dyDescent="0.3">
      <c r="C14">
        <f t="array" ref="C14:E16">MINVERSE(C9:E11)</f>
        <v>2428.571428571428</v>
      </c>
      <c r="D14">
        <v>999.99999999999966</v>
      </c>
      <c r="E14">
        <v>2142.8571428571422</v>
      </c>
      <c r="G14">
        <f t="array" ref="G14:G16">MMULT(C14:E16,G9:G11)</f>
        <v>5.428571428571427</v>
      </c>
    </row>
    <row r="15" spans="2:14" x14ac:dyDescent="0.3">
      <c r="C15">
        <v>999.99999999999966</v>
      </c>
      <c r="D15">
        <v>999.99999999999989</v>
      </c>
      <c r="E15">
        <v>999.99999999999955</v>
      </c>
      <c r="G15">
        <v>1.9999999999999996</v>
      </c>
      <c r="J15">
        <f t="array" ref="J15:L17">MINVERSE(J10:L12)</f>
        <v>2181.8181818181815</v>
      </c>
      <c r="K15">
        <v>545.4545454545455</v>
      </c>
      <c r="L15">
        <v>181.81818181818181</v>
      </c>
      <c r="N15">
        <f t="array" ref="N15:N17">MMULT(J15:L17,N10:N12)</f>
        <v>13.454545454545453</v>
      </c>
    </row>
    <row r="16" spans="2:14" x14ac:dyDescent="0.3">
      <c r="C16">
        <v>2142.8571428571422</v>
      </c>
      <c r="D16">
        <v>999.99999999999966</v>
      </c>
      <c r="E16">
        <v>2714.2857142857133</v>
      </c>
      <c r="G16">
        <v>3.1428571428571423</v>
      </c>
      <c r="J16">
        <v>545.4545454545455</v>
      </c>
      <c r="K16">
        <v>1636.3636363636365</v>
      </c>
      <c r="L16">
        <v>545.4545454545455</v>
      </c>
      <c r="N16">
        <v>4.3636363636363642</v>
      </c>
    </row>
    <row r="17" spans="1:14" x14ac:dyDescent="0.3">
      <c r="J17">
        <v>181.81818181818184</v>
      </c>
      <c r="K17">
        <v>545.4545454545455</v>
      </c>
      <c r="L17">
        <v>848.4848484848485</v>
      </c>
      <c r="N17">
        <v>2.7878787878787881</v>
      </c>
    </row>
    <row r="21" spans="1:14" x14ac:dyDescent="0.3">
      <c r="A21" t="s">
        <v>141</v>
      </c>
      <c r="B21">
        <v>9000</v>
      </c>
      <c r="D21" s="39">
        <f>B23+B24</f>
        <v>10000</v>
      </c>
      <c r="E21" s="40">
        <v>0</v>
      </c>
      <c r="F21" s="41">
        <f>-B24</f>
        <v>-6000</v>
      </c>
      <c r="G21">
        <v>-6</v>
      </c>
      <c r="I21">
        <v>3000</v>
      </c>
      <c r="J21" t="s">
        <v>134</v>
      </c>
      <c r="K21">
        <f>1/I21</f>
        <v>3.3333333333333332E-4</v>
      </c>
      <c r="M21" t="s">
        <v>139</v>
      </c>
      <c r="N21">
        <v>8.0000000000000002E-3</v>
      </c>
    </row>
    <row r="22" spans="1:14" x14ac:dyDescent="0.3">
      <c r="A22" t="s">
        <v>142</v>
      </c>
      <c r="B22">
        <v>3000</v>
      </c>
      <c r="D22" s="42">
        <v>0</v>
      </c>
      <c r="E22" s="34">
        <f>B21+B22</f>
        <v>12000</v>
      </c>
      <c r="F22" s="43">
        <f>-B22</f>
        <v>-3000</v>
      </c>
      <c r="G22">
        <v>6</v>
      </c>
      <c r="I22">
        <v>6000</v>
      </c>
      <c r="J22" t="s">
        <v>135</v>
      </c>
      <c r="K22">
        <f t="shared" ref="K22:K24" si="1">1/I22</f>
        <v>1.6666666666666666E-4</v>
      </c>
      <c r="M22" t="s">
        <v>140</v>
      </c>
      <c r="N22">
        <v>2E-3</v>
      </c>
    </row>
    <row r="23" spans="1:14" x14ac:dyDescent="0.3">
      <c r="A23" t="s">
        <v>143</v>
      </c>
      <c r="B23">
        <v>4000</v>
      </c>
      <c r="D23" s="44">
        <f>-B24</f>
        <v>-6000</v>
      </c>
      <c r="E23" s="45">
        <f>-B22</f>
        <v>-3000</v>
      </c>
      <c r="F23" s="46">
        <f>B22+B24+B25</f>
        <v>21000</v>
      </c>
      <c r="G23">
        <v>0</v>
      </c>
      <c r="I23">
        <v>2000</v>
      </c>
      <c r="J23" t="s">
        <v>136</v>
      </c>
      <c r="K23">
        <f t="shared" si="1"/>
        <v>5.0000000000000001E-4</v>
      </c>
    </row>
    <row r="24" spans="1:14" x14ac:dyDescent="0.3">
      <c r="A24" t="s">
        <v>144</v>
      </c>
      <c r="B24">
        <v>6000</v>
      </c>
      <c r="I24">
        <v>1000</v>
      </c>
      <c r="J24" t="s">
        <v>137</v>
      </c>
      <c r="K24">
        <f t="shared" si="1"/>
        <v>1E-3</v>
      </c>
    </row>
    <row r="25" spans="1:14" x14ac:dyDescent="0.3">
      <c r="A25" t="s">
        <v>145</v>
      </c>
      <c r="B25">
        <v>12000</v>
      </c>
      <c r="D25">
        <f t="array" ref="D25:F27">MINVERSE(D21:F23)</f>
        <v>1.2162162162162163E-4</v>
      </c>
      <c r="E25">
        <v>9.0090090090090078E-6</v>
      </c>
      <c r="F25">
        <v>3.6036036036036031E-5</v>
      </c>
      <c r="G25">
        <f t="array" ref="G25:G27">MMULT(D25:F27,G21:G23)</f>
        <v>-6.7567567567567571E-4</v>
      </c>
      <c r="H25">
        <f>G25*1000</f>
        <v>-0.67567567567567566</v>
      </c>
    </row>
    <row r="26" spans="1:14" x14ac:dyDescent="0.3">
      <c r="D26">
        <v>9.0090090090090095E-6</v>
      </c>
      <c r="E26">
        <v>8.7087087087087082E-5</v>
      </c>
      <c r="F26">
        <v>1.5015015015015015E-5</v>
      </c>
      <c r="G26">
        <v>4.6846846846846843E-4</v>
      </c>
      <c r="H26">
        <f>G26*1000</f>
        <v>0.46846846846846846</v>
      </c>
    </row>
    <row r="27" spans="1:14" x14ac:dyDescent="0.3">
      <c r="D27">
        <v>3.6036036036036038E-5</v>
      </c>
      <c r="E27">
        <v>1.5015015015015015E-5</v>
      </c>
      <c r="F27">
        <v>6.0060060060060059E-5</v>
      </c>
      <c r="G27">
        <v>-1.2612612612612615E-4</v>
      </c>
      <c r="H27">
        <f>G27*1000</f>
        <v>-0.12612612612612614</v>
      </c>
      <c r="J27">
        <f>K21+K22+K23</f>
        <v>1E-3</v>
      </c>
      <c r="K27">
        <f>-K23</f>
        <v>-5.0000000000000001E-4</v>
      </c>
      <c r="M27">
        <f>N21-N22-12*K22-12*K23</f>
        <v>-2E-3</v>
      </c>
    </row>
    <row r="28" spans="1:14" x14ac:dyDescent="0.3">
      <c r="J28">
        <f>-K23</f>
        <v>-5.0000000000000001E-4</v>
      </c>
      <c r="K28">
        <f>K23+K24</f>
        <v>1.5E-3</v>
      </c>
      <c r="M28">
        <f>N22+12*K23</f>
        <v>8.0000000000000002E-3</v>
      </c>
    </row>
    <row r="31" spans="1:14" x14ac:dyDescent="0.3">
      <c r="J31">
        <f t="array" ref="J31:K32">MINVERSE(J27:K28)</f>
        <v>1200</v>
      </c>
      <c r="K31">
        <v>400</v>
      </c>
      <c r="M31">
        <f t="array" ref="M31:M32">MMULT(J31:K32,M27:M28)</f>
        <v>0.80000000000000027</v>
      </c>
    </row>
    <row r="32" spans="1:14" x14ac:dyDescent="0.3">
      <c r="J32">
        <v>400</v>
      </c>
      <c r="K32">
        <v>800</v>
      </c>
      <c r="M32">
        <v>5.6000000000000005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M18"/>
  <sheetViews>
    <sheetView workbookViewId="0">
      <selection activeCell="L22" sqref="L22"/>
    </sheetView>
  </sheetViews>
  <sheetFormatPr defaultRowHeight="14.4" x14ac:dyDescent="0.3"/>
  <sheetData>
    <row r="3" spans="2:13" ht="16.2" x14ac:dyDescent="0.35">
      <c r="B3" s="52" t="s">
        <v>151</v>
      </c>
      <c r="C3" s="53">
        <v>1000000</v>
      </c>
      <c r="E3" s="52" t="s">
        <v>166</v>
      </c>
      <c r="F3">
        <v>1000</v>
      </c>
      <c r="G3" s="52"/>
    </row>
    <row r="4" spans="2:13" ht="16.2" x14ac:dyDescent="0.35">
      <c r="B4" s="52" t="s">
        <v>154</v>
      </c>
      <c r="C4">
        <v>20</v>
      </c>
      <c r="E4" s="52" t="s">
        <v>167</v>
      </c>
      <c r="F4">
        <v>5000</v>
      </c>
      <c r="G4" s="52"/>
    </row>
    <row r="5" spans="2:13" ht="16.2" x14ac:dyDescent="0.35">
      <c r="B5" s="52" t="s">
        <v>9</v>
      </c>
      <c r="C5">
        <v>100</v>
      </c>
      <c r="E5" s="52" t="s">
        <v>178</v>
      </c>
      <c r="F5">
        <v>2000</v>
      </c>
    </row>
    <row r="7" spans="2:13" ht="16.2" x14ac:dyDescent="0.35">
      <c r="B7" s="52" t="s">
        <v>177</v>
      </c>
      <c r="C7">
        <v>1</v>
      </c>
      <c r="J7" s="58">
        <f>(C7-C8)*(1+F4/F3+(2*F4)/F5)</f>
        <v>-11</v>
      </c>
    </row>
    <row r="8" spans="2:13" ht="16.2" x14ac:dyDescent="0.35">
      <c r="B8" s="52" t="s">
        <v>174</v>
      </c>
      <c r="C8">
        <v>2</v>
      </c>
    </row>
    <row r="10" spans="2:13" x14ac:dyDescent="0.3">
      <c r="E10" s="39">
        <f>1/C4+1/F4</f>
        <v>5.0200000000000002E-2</v>
      </c>
      <c r="F10" s="40">
        <f>C5/C4-1/F4</f>
        <v>4.9997999999999996</v>
      </c>
      <c r="G10" s="40">
        <v>0</v>
      </c>
      <c r="H10" s="41">
        <v>0</v>
      </c>
      <c r="I10" s="53"/>
      <c r="J10">
        <f>C5*C7/C4</f>
        <v>5</v>
      </c>
    </row>
    <row r="11" spans="2:13" x14ac:dyDescent="0.3">
      <c r="E11" s="42">
        <f>-1/F4</f>
        <v>-2.0000000000000001E-4</v>
      </c>
      <c r="F11" s="63">
        <f>1/C3+1/F4+1/F5+1/F3</f>
        <v>1.701E-3</v>
      </c>
      <c r="G11" s="34">
        <f>-1/F5</f>
        <v>-5.0000000000000001E-4</v>
      </c>
      <c r="H11" s="43">
        <f>-1/F3</f>
        <v>-1E-3</v>
      </c>
      <c r="J11" s="53">
        <f>C7/C3</f>
        <v>9.9999999999999995E-7</v>
      </c>
    </row>
    <row r="12" spans="2:13" x14ac:dyDescent="0.3">
      <c r="E12" s="42">
        <v>0</v>
      </c>
      <c r="F12" s="34">
        <f>-1/F3</f>
        <v>-1E-3</v>
      </c>
      <c r="G12" s="63">
        <f>C5/C4-1/F3</f>
        <v>4.9989999999999997</v>
      </c>
      <c r="H12" s="43">
        <f>1/C4+2/F3</f>
        <v>5.2000000000000005E-2</v>
      </c>
      <c r="I12" s="53"/>
      <c r="J12">
        <f>C5*C8/C4</f>
        <v>10</v>
      </c>
    </row>
    <row r="13" spans="2:13" x14ac:dyDescent="0.3">
      <c r="E13" s="44">
        <v>0</v>
      </c>
      <c r="F13" s="45">
        <f>-1/F5</f>
        <v>-5.0000000000000001E-4</v>
      </c>
      <c r="G13" s="67">
        <f>1/C3+1/F4+1/F5+1/F3</f>
        <v>1.701E-3</v>
      </c>
      <c r="H13" s="46">
        <f>-1/F3</f>
        <v>-1E-3</v>
      </c>
      <c r="J13" s="53">
        <f>C8/C3</f>
        <v>1.9999999999999999E-6</v>
      </c>
    </row>
    <row r="15" spans="2:13" ht="16.2" x14ac:dyDescent="0.35">
      <c r="E15">
        <f t="array" ref="E15:H18">MINVERSE(E10:H13)</f>
        <v>1.9726014029628289</v>
      </c>
      <c r="F15">
        <v>-4504.8770478563301</v>
      </c>
      <c r="G15">
        <v>-1.9489588073424149</v>
      </c>
      <c r="H15">
        <v>4403.5311898745249</v>
      </c>
      <c r="J15" s="58">
        <f t="array" ref="J15:J18">MMULT(E15:H18,J10:J13)</f>
        <v>-9.6222788732781108</v>
      </c>
      <c r="K15" s="66" t="s">
        <v>179</v>
      </c>
      <c r="M15">
        <f>J15</f>
        <v>-9.6222788732781108</v>
      </c>
    </row>
    <row r="16" spans="2:13" ht="16.2" x14ac:dyDescent="0.35">
      <c r="E16">
        <v>0.18020229000585344</v>
      </c>
      <c r="F16">
        <v>45.230774791469216</v>
      </c>
      <c r="G16">
        <v>1.9568329158884203E-2</v>
      </c>
      <c r="H16">
        <v>-44.213221675207237</v>
      </c>
      <c r="J16" s="68">
        <v>1.0966515459495503</v>
      </c>
      <c r="K16" s="66" t="s">
        <v>180</v>
      </c>
      <c r="M16">
        <f>J16</f>
        <v>1.0966515459495503</v>
      </c>
    </row>
    <row r="17" spans="5:13" ht="16.2" x14ac:dyDescent="0.35">
      <c r="E17">
        <v>9.5636515689151349E-4</v>
      </c>
      <c r="F17">
        <v>0.24004765437976991</v>
      </c>
      <c r="G17">
        <v>0.19666590365615047</v>
      </c>
      <c r="H17">
        <v>9.9865793357400552</v>
      </c>
      <c r="J17" s="68">
        <v>1.9714610755522881</v>
      </c>
      <c r="K17" s="66" t="s">
        <v>181</v>
      </c>
      <c r="M17">
        <f>J18</f>
        <v>2.8031295165396668</v>
      </c>
    </row>
    <row r="18" spans="5:13" ht="16.2" x14ac:dyDescent="0.35">
      <c r="E18">
        <v>-8.8474367871054255E-2</v>
      </c>
      <c r="F18">
        <v>-22.207066335634622</v>
      </c>
      <c r="G18">
        <v>0.32474453753966981</v>
      </c>
      <c r="H18">
        <v>-960.90621771230258</v>
      </c>
      <c r="J18" s="68">
        <v>2.8031295165396668</v>
      </c>
      <c r="K18" s="66" t="s">
        <v>182</v>
      </c>
      <c r="M18">
        <f>J17</f>
        <v>1.9714610755522881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4337" r:id="rId4">
          <objectPr defaultSize="0" r:id="rId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10</xdr:col>
                <xdr:colOff>243840</xdr:colOff>
                <xdr:row>4</xdr:row>
                <xdr:rowOff>160020</xdr:rowOff>
              </to>
            </anchor>
          </objectPr>
        </oleObject>
      </mc:Choice>
      <mc:Fallback>
        <oleObject progId="Equation.DSMT4" shapeId="1433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10</vt:i4>
      </vt:variant>
    </vt:vector>
  </HeadingPairs>
  <TitlesOfParts>
    <vt:vector size="22" baseType="lpstr">
      <vt:lpstr>Exmpl1.2.1-exact</vt:lpstr>
      <vt:lpstr>Exmpl1.2.1-lin approx</vt:lpstr>
      <vt:lpstr>P1.1.2</vt:lpstr>
      <vt:lpstr>P1.1.3-1.1.5</vt:lpstr>
      <vt:lpstr>P1.1.6-1.1.9</vt:lpstr>
      <vt:lpstr>DP1.1.10-1.1.11</vt:lpstr>
      <vt:lpstr>P1.1.12-1.1.13</vt:lpstr>
      <vt:lpstr>P1.1.14</vt:lpstr>
      <vt:lpstr>Лист1</vt:lpstr>
      <vt:lpstr>Лист2</vt:lpstr>
      <vt:lpstr>Лист3</vt:lpstr>
      <vt:lpstr>Лист4</vt:lpstr>
      <vt:lpstr>Eta</vt:lpstr>
      <vt:lpstr>Is</vt:lpstr>
      <vt:lpstr>R_</vt:lpstr>
      <vt:lpstr>P1.1.14!R_a</vt:lpstr>
      <vt:lpstr>P1.1.14!R_n</vt:lpstr>
      <vt:lpstr>P1.1.14!V_1</vt:lpstr>
      <vt:lpstr>P1.1.14!V_2</vt:lpstr>
      <vt:lpstr>P1.1.14!V_3</vt:lpstr>
      <vt:lpstr>Vsrc</vt:lpstr>
      <vt:lpstr>Vt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2017-05-26T06:18:09Z</dcterms:modified>
</cp:coreProperties>
</file>