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d.docs.live.net/42bfa40781cf34df/Desktop/"/>
    </mc:Choice>
  </mc:AlternateContent>
  <xr:revisionPtr revIDLastSave="81" documentId="13_ncr:1_{6801F02B-8115-4486-904D-6B879228F764}" xr6:coauthVersionLast="47" xr6:coauthVersionMax="47" xr10:uidLastSave="{4D20BF3A-2460-49B0-9A1E-AE9DC3FB6D2C}"/>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Sheet'!$A$6:$T$26</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H7" i="2"/>
  <c r="G8" i="2"/>
  <c r="H8" i="2"/>
  <c r="G11" i="2"/>
  <c r="H11" i="2"/>
  <c r="H12" i="2"/>
  <c r="G14" i="2"/>
  <c r="H14" i="2"/>
  <c r="H15" i="2"/>
  <c r="G16" i="2"/>
  <c r="H16" i="2"/>
  <c r="G18" i="2"/>
  <c r="H18" i="2"/>
  <c r="G19" i="2"/>
  <c r="G23" i="2"/>
  <c r="H23" i="2"/>
  <c r="C7" i="4"/>
  <c r="C6" i="4"/>
  <c r="C5" i="4"/>
  <c r="C4" i="4"/>
  <c r="K18" i="2"/>
  <c r="N18" i="2" s="1"/>
  <c r="O18" i="2" s="1"/>
  <c r="K8" i="2"/>
  <c r="N8" i="2" s="1"/>
  <c r="O8" i="2" s="1"/>
  <c r="J19" i="2"/>
  <c r="J15" i="2"/>
  <c r="J14" i="2"/>
  <c r="J23" i="2"/>
  <c r="J11" i="2"/>
  <c r="J12" i="2"/>
  <c r="J16" i="2"/>
  <c r="J21" i="2"/>
  <c r="J24" i="2"/>
  <c r="K24" i="2" s="1"/>
  <c r="N24" i="2" s="1"/>
  <c r="O24" i="2" s="1"/>
  <c r="J18" i="2"/>
  <c r="J8" i="2"/>
  <c r="J7" i="2"/>
  <c r="F19" i="2"/>
  <c r="F18" i="2"/>
  <c r="F25" i="2"/>
  <c r="F14" i="2"/>
  <c r="F15" i="2"/>
  <c r="F21" i="2"/>
  <c r="F16" i="2"/>
  <c r="F11" i="2"/>
  <c r="F12" i="2"/>
  <c r="F7" i="2"/>
  <c r="F8" i="2"/>
  <c r="K25" i="2"/>
  <c r="N25" i="2" s="1"/>
  <c r="O25" i="2" s="1"/>
  <c r="K22" i="2"/>
  <c r="N22" i="2" s="1"/>
  <c r="O22" i="2" s="1"/>
  <c r="K21" i="2"/>
  <c r="N21" i="2" s="1"/>
  <c r="O21" i="2" s="1"/>
  <c r="K20" i="2"/>
  <c r="N20" i="2" s="1"/>
  <c r="O20" i="2" s="1"/>
  <c r="K17" i="2"/>
  <c r="N17" i="2" s="1"/>
  <c r="O17" i="2" s="1"/>
  <c r="K13" i="2"/>
  <c r="N13" i="2" s="1"/>
  <c r="O13" i="2" s="1"/>
  <c r="K10" i="2"/>
  <c r="N10" i="2" s="1"/>
  <c r="O10" i="2" s="1"/>
  <c r="K9" i="2"/>
  <c r="N9" i="2" s="1"/>
  <c r="O9" i="2" s="1"/>
  <c r="M26" i="2"/>
  <c r="I26" i="2"/>
  <c r="K19" i="2" l="1"/>
  <c r="N19" i="2" s="1"/>
  <c r="O19" i="2" s="1"/>
  <c r="K15" i="2"/>
  <c r="N15" i="2" s="1"/>
  <c r="O15" i="2" s="1"/>
  <c r="K14" i="2"/>
  <c r="N14" i="2" s="1"/>
  <c r="O14" i="2" s="1"/>
  <c r="K23" i="2"/>
  <c r="N23" i="2" s="1"/>
  <c r="O23" i="2" s="1"/>
  <c r="K11" i="2"/>
  <c r="N11" i="2" s="1"/>
  <c r="O11" i="2" s="1"/>
  <c r="K12" i="2"/>
  <c r="N12" i="2" s="1"/>
  <c r="O12" i="2" s="1"/>
  <c r="K16" i="2"/>
  <c r="N16" i="2" s="1"/>
  <c r="O16" i="2" s="1"/>
  <c r="H26" i="2"/>
  <c r="G26" i="2"/>
  <c r="L25" i="2"/>
  <c r="J26" i="2"/>
  <c r="L9" i="2"/>
  <c r="L13" i="2"/>
  <c r="L17" i="2"/>
  <c r="L21" i="2"/>
  <c r="L10" i="2"/>
  <c r="L18" i="2"/>
  <c r="L22" i="2"/>
  <c r="L15" i="2"/>
  <c r="L8" i="2"/>
  <c r="L20" i="2"/>
  <c r="L24" i="2"/>
  <c r="F5" i="4"/>
  <c r="H5" i="4" s="1"/>
  <c r="F6" i="4"/>
  <c r="H6" i="4" s="1"/>
  <c r="F7" i="4"/>
  <c r="H7" i="4" s="1"/>
  <c r="G8" i="4"/>
  <c r="C8" i="4"/>
  <c r="D8" i="4"/>
  <c r="L19" i="2" l="1"/>
  <c r="L14" i="2"/>
  <c r="L23" i="2"/>
  <c r="L11" i="2"/>
  <c r="L12" i="2"/>
  <c r="L16" i="2"/>
  <c r="F4" i="4"/>
  <c r="F8" i="4" s="1"/>
  <c r="H4" i="4" l="1"/>
  <c r="H8" i="4" s="1"/>
  <c r="B30" i="1"/>
  <c r="C2" i="4" l="1"/>
  <c r="D23" i="1"/>
  <c r="B33" i="2"/>
  <c r="F26" i="2"/>
  <c r="H1" i="3" l="1"/>
  <c r="H2" i="3"/>
  <c r="B2" i="3"/>
  <c r="B2" i="4"/>
  <c r="C5" i="3"/>
  <c r="C30" i="1"/>
  <c r="D30" i="1"/>
  <c r="B5" i="2"/>
  <c r="B3" i="2"/>
  <c r="C19" i="1"/>
  <c r="C17" i="1"/>
  <c r="A5" i="4" l="1"/>
  <c r="A6" i="4" s="1"/>
  <c r="A7" i="4" s="1"/>
  <c r="A8" i="2"/>
  <c r="A9" i="2" s="1"/>
  <c r="A10" i="2" s="1"/>
  <c r="A11" i="2" s="1"/>
  <c r="A12" i="2" s="1"/>
  <c r="A13" i="2" s="1"/>
  <c r="A14" i="2" s="1"/>
  <c r="A15" i="2" s="1"/>
  <c r="A16" i="2" s="1"/>
  <c r="A17" i="2" s="1"/>
  <c r="A18" i="2" s="1"/>
  <c r="A19" i="2" s="1"/>
  <c r="A20" i="2" s="1"/>
  <c r="A21" i="2" s="1"/>
  <c r="A22" i="2" s="1"/>
  <c r="A23" i="2" s="1"/>
  <c r="A24" i="2" s="1"/>
  <c r="A25" i="2" s="1"/>
  <c r="C18" i="1" l="1"/>
  <c r="K7" i="2"/>
  <c r="K26" i="2" s="1"/>
  <c r="C20" i="1"/>
  <c r="L7" i="2" l="1"/>
  <c r="L26" i="2" s="1"/>
  <c r="C21" i="1"/>
  <c r="N7" i="2"/>
  <c r="N26" i="2" s="1"/>
  <c r="O7" i="2" l="1"/>
  <c r="O26" i="2" s="1"/>
</calcChain>
</file>

<file path=xl/sharedStrings.xml><?xml version="1.0" encoding="utf-8"?>
<sst xmlns="http://schemas.openxmlformats.org/spreadsheetml/2006/main" count="138" uniqueCount="101">
  <si>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</si>
  <si>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</si>
  <si>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</si>
  <si>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</si>
  <si>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</si>
  <si>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</si>
  <si>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</si>
  <si>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</si>
  <si>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</si>
  <si>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</si>
  <si>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</si>
  <si>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</si>
  <si>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</si>
  <si>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</si>
  <si>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</si>
  <si>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</si>
  <si>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</si>
  <si>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</si>
  <si>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</si>
  <si>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</si>
  <si>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</si>
  <si>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</si>
  <si>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</si>
  <si>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</si>
  <si>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</si>
  <si>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</si>
  <si>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</si>
  <si>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</si>
  <si>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</si>
  <si>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</si>
  <si>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</si>
  <si>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</si>
  <si>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</si>
  <si>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</si>
  <si>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</si>
  <si>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</si>
  <si>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</si>
  <si>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</si>
  <si>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</si>
  <si>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</si>
  <si>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</si>
  <si>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</si>
  <si>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</si>
  <si>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</si>
  <si>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</si>
  <si>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</si>
  <si>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</si>
  <si>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</si>
  <si>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</si>
  <si>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</si>
  <si>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</si>
  <si>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</si>
  <si>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</si>
  <si>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</si>
  <si>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</si>
  <si>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</si>
  <si>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</si>
  <si>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</si>
  <si>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</si>
  <si>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</si>
  <si>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</si>
  <si>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</si>
  <si>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</si>
  <si>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</si>
  <si>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</si>
  <si>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</si>
  <si>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</si>
  <si>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</si>
  <si>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</si>
  <si>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</si>
  <si>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</si>
  <si>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</si>
  <si>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</si>
  <si>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</si>
  <si>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</si>
  <si>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</si>
  <si>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</si>
  <si>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</si>
  <si>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</si>
  <si>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</si>
  <si>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</si>
  <si>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</si>
  <si>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Cake</t>
  </si>
  <si>
    <t>Popcorn</t>
  </si>
  <si>
    <t>Chips</t>
  </si>
  <si>
    <t>Rate/KG</t>
  </si>
  <si>
    <t>Scrap Amount</t>
  </si>
  <si>
    <t>Pay Amount</t>
  </si>
  <si>
    <t>Balance</t>
  </si>
  <si>
    <t>Stix</t>
  </si>
  <si>
    <t>Puff/Tricon</t>
  </si>
  <si>
    <t>Mini Bites</t>
  </si>
  <si>
    <t>Anju Enterprises</t>
  </si>
  <si>
    <t>C-5 COMMUNITY CENTRE NARAINA VIHAR NEW DELHI-110028</t>
  </si>
  <si>
    <t>RAJEEV KUMAR</t>
  </si>
  <si>
    <t>WONDER TOYS</t>
  </si>
  <si>
    <t>AVADH,RING,STIX,CAKE,WONDER TOYS,POPCORN, MINI BITES</t>
  </si>
  <si>
    <t>NARESH SINGLA</t>
  </si>
  <si>
    <t>N/A</t>
  </si>
  <si>
    <t>10:00AM</t>
  </si>
  <si>
    <t>6:00PM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</si>
</sst>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m/d/yyyy"/>
    <numFmt numFmtId="165" formatCode="_ * #,##0_ ;_ * \-#,##0_ ;_ * &quot;-&quot;??_ ;_ @_ "/>
    <numFmt numFmtId="166" formatCode="_ * #,##0.0_ ;_ * \-#,##0.0_ ;_ * &quot;-&quot;??_ ;_ @_ "/>
    <numFmt numFmtId="167"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5">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7" fontId="25" fillId="7" borderId="1" xfId="0" applyNumberFormat="1" applyFont="1" applyFill="1" applyBorder="1" applyAlignment="1">
      <alignment vertical="top"/>
    </xf>
    <xf numFmtId="17"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166" fontId="28" fillId="0" borderId="1" xfId="3" applyNumberFormat="1" applyFont="1" applyBorder="1">
      <protection locked="0"/>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20"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7"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13" fillId="0" borderId="1" xfId="0" applyNumberFormat="1" applyFont="1" applyBorder="1" applyAlignment="1"/>
    <xf numFmtId="15" fontId="17" fillId="11" borderId="1" xfId="5" applyNumberFormat="1" applyFont="1" applyFill="1" applyBorder="1" applyProtection="1"/>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0" fontId="0" fillId="0" borderId="0" xfId="0" applyAlignment="1"/>
    <xf numFmtId="0" fontId="17" fillId="0" borderId="1" xfId="5" applyFont="1" applyBorder="1" applyAlignment="1" applyProtection="1">
      <alignment horizontal="center"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7" fontId="27" fillId="6" borderId="2" xfId="0" applyNumberFormat="1" applyFont="1" applyFill="1" applyBorder="1" applyAlignment="1">
      <alignment horizontal="center" vertical="top"/>
    </xf>
    <xf numFmtId="17"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17/10/relationships/person" Target="persons/person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5" Type="http://www.wps.cn/officeDocument/2020/cellImage" Target="NUL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4" zoomScaleNormal="100" workbookViewId="0">
      <selection activeCell="C6" sqref="C6:D6"/>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68</v>
      </c>
    </row>
    <row r="2" spans="1:4" s="2" customFormat="1" ht="15.6" x14ac:dyDescent="0.3">
      <c r="B2" s="101" t="s">
        <v>10</v>
      </c>
      <c r="C2" s="101"/>
      <c r="D2" s="101"/>
    </row>
    <row r="3" spans="1:4" x14ac:dyDescent="0.3">
      <c r="B3" s="3" t="s">
        <v>11</v>
      </c>
      <c r="C3" s="102" t="s">
        <v>92</v>
      </c>
      <c r="D3" s="102"/>
    </row>
    <row r="4" spans="1:4" x14ac:dyDescent="0.3">
      <c r="B4" s="4" t="s">
        <v>12</v>
      </c>
      <c r="C4" s="102" t="s">
        <v>93</v>
      </c>
      <c r="D4" s="102"/>
    </row>
    <row r="5" spans="1:4" x14ac:dyDescent="0.3">
      <c r="B5" s="5" t="s">
        <v>13</v>
      </c>
      <c r="C5" s="95" t="s">
        <v>94</v>
      </c>
      <c r="D5" s="88"/>
    </row>
    <row r="6" spans="1:4" x14ac:dyDescent="0.3">
      <c r="B6" s="6" t="s">
        <v>14</v>
      </c>
      <c r="C6" s="95" t="s">
        <v>97</v>
      </c>
      <c r="D6" s="88"/>
    </row>
    <row r="7" spans="1:4" x14ac:dyDescent="0.3">
      <c r="B7" s="6" t="s">
        <v>15</v>
      </c>
      <c r="C7" s="88">
        <v>9211680298</v>
      </c>
      <c r="D7" s="88"/>
    </row>
    <row r="8" spans="1:4" x14ac:dyDescent="0.3">
      <c r="B8" s="6" t="s">
        <v>48</v>
      </c>
      <c r="C8" s="95" t="s">
        <v>98</v>
      </c>
      <c r="D8" s="88"/>
    </row>
    <row r="9" spans="1:4" x14ac:dyDescent="0.3">
      <c r="B9" s="6" t="s">
        <v>27</v>
      </c>
      <c r="C9" s="95" t="s">
        <v>98</v>
      </c>
      <c r="D9" s="88"/>
    </row>
    <row r="10" spans="1:4" x14ac:dyDescent="0.3">
      <c r="B10" s="7" t="s">
        <v>16</v>
      </c>
      <c r="C10" s="92">
        <v>45400</v>
      </c>
      <c r="D10" s="92"/>
    </row>
    <row r="11" spans="1:4" x14ac:dyDescent="0.3">
      <c r="B11" s="7" t="s">
        <v>17</v>
      </c>
      <c r="C11" s="93" t="s">
        <v>99</v>
      </c>
      <c r="D11" s="92"/>
    </row>
    <row r="12" spans="1:4" x14ac:dyDescent="0.3">
      <c r="B12" s="7" t="s">
        <v>18</v>
      </c>
      <c r="C12" s="92">
        <v>45400</v>
      </c>
      <c r="D12" s="92"/>
    </row>
    <row r="13" spans="1:4" x14ac:dyDescent="0.3">
      <c r="B13" s="7" t="s">
        <v>19</v>
      </c>
      <c r="C13" s="93" t="s">
        <v>100</v>
      </c>
      <c r="D13" s="92"/>
    </row>
    <row r="14" spans="1:4" x14ac:dyDescent="0.3">
      <c r="B14" s="89" t="s">
        <v>20</v>
      </c>
      <c r="C14" s="89"/>
      <c r="D14" s="89"/>
    </row>
    <row r="15" spans="1:4" x14ac:dyDescent="0.3">
      <c r="B15" s="89"/>
      <c r="C15" s="89"/>
      <c r="D15" s="89"/>
    </row>
    <row r="16" spans="1:4" x14ac:dyDescent="0.3">
      <c r="B16" s="8"/>
      <c r="C16" s="99" t="s">
        <v>21</v>
      </c>
      <c r="D16" s="100"/>
    </row>
    <row r="17" spans="2:4" x14ac:dyDescent="0.3">
      <c r="B17" s="9" t="s">
        <v>22</v>
      </c>
      <c r="C17" s="90">
        <f>'Distributor Claim Sheet'!G26</f>
        <v>1109</v>
      </c>
      <c r="D17" s="91"/>
    </row>
    <row r="18" spans="2:4" x14ac:dyDescent="0.3">
      <c r="B18" s="9" t="s">
        <v>55</v>
      </c>
      <c r="C18" s="85">
        <f>'Distributor Claim Sheet'!H26</f>
        <v>1764</v>
      </c>
      <c r="D18" s="86"/>
    </row>
    <row r="19" spans="2:4" x14ac:dyDescent="0.3">
      <c r="B19" s="9" t="s">
        <v>63</v>
      </c>
      <c r="C19" s="85">
        <f>'Distributor Claim Sheet'!I26</f>
        <v>0</v>
      </c>
      <c r="D19" s="86"/>
    </row>
    <row r="20" spans="2:4" x14ac:dyDescent="0.3">
      <c r="B20" s="9" t="s">
        <v>64</v>
      </c>
      <c r="C20" s="85">
        <f>'Distributor Claim Sheet'!J26</f>
        <v>9337</v>
      </c>
      <c r="D20" s="86"/>
    </row>
    <row r="21" spans="2:4" x14ac:dyDescent="0.3">
      <c r="B21" s="10" t="s">
        <v>67</v>
      </c>
      <c r="C21" s="96">
        <f>SUM(C17:C20)</f>
        <v>12210</v>
      </c>
      <c r="D21" s="97"/>
    </row>
    <row r="22" spans="2:4" x14ac:dyDescent="0.3">
      <c r="B22" s="98" t="s">
        <v>23</v>
      </c>
      <c r="C22" s="98"/>
      <c r="D22" s="98"/>
    </row>
    <row r="23" spans="2:4" x14ac:dyDescent="0.3">
      <c r="B23" s="94" t="s">
        <v>62</v>
      </c>
      <c r="C23" s="94"/>
      <c r="D23" s="73">
        <f>'Scrap stock detail'!D8</f>
        <v>11</v>
      </c>
    </row>
    <row r="24" spans="2:4" s="2" customFormat="1" x14ac:dyDescent="0.3">
      <c r="B24" s="87" t="s">
        <v>29</v>
      </c>
      <c r="C24" s="87"/>
      <c r="D24" s="87"/>
    </row>
    <row r="25" spans="2:4" s="2" customFormat="1" x14ac:dyDescent="0.3">
      <c r="B25" s="87"/>
      <c r="C25" s="87"/>
      <c r="D25" s="87"/>
    </row>
    <row r="26" spans="2:4" s="2" customFormat="1" x14ac:dyDescent="0.3">
      <c r="B26" s="87"/>
      <c r="C26" s="87"/>
      <c r="D26" s="87"/>
    </row>
    <row r="27" spans="2:4" s="2" customFormat="1" x14ac:dyDescent="0.3">
      <c r="B27" s="87"/>
      <c r="C27" s="87"/>
      <c r="D27" s="87"/>
    </row>
    <row r="28" spans="2:4" x14ac:dyDescent="0.3">
      <c r="B28" s="87"/>
      <c r="C28" s="87"/>
      <c r="D28" s="87"/>
    </row>
    <row r="29" spans="2:4" s="2" customFormat="1" x14ac:dyDescent="0.3">
      <c r="B29" s="13" t="s">
        <v>76</v>
      </c>
      <c r="C29" s="13" t="s">
        <v>75</v>
      </c>
      <c r="D29" s="13" t="s">
        <v>74</v>
      </c>
    </row>
    <row r="30" spans="2:4" s="2" customFormat="1" x14ac:dyDescent="0.3">
      <c r="B30" s="14" t="str">
        <f>C3</f>
        <v>Anju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33"/>
  <sheetViews>
    <sheetView showGridLines="0" tabSelected="1" topLeftCell="G1" zoomScale="76" zoomScaleNormal="100" workbookViewId="0">
      <selection activeCell="Q27" sqref="Q27"/>
    </sheetView>
  </sheetViews>
  <sheetFormatPr defaultColWidth="16" defaultRowHeight="13.8" x14ac:dyDescent="0.3"/>
  <cols>
    <col min="1" max="1" width="16.6640625" style="26" bestFit="1" customWidth="1"/>
    <col min="2" max="2" width="13.10937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8.88671875" style="26" bestFit="1" customWidth="1"/>
    <col min="8" max="8" width="9.5546875" style="26" bestFit="1" customWidth="1"/>
    <col min="9" max="9" width="7.5546875" style="26" bestFit="1" customWidth="1"/>
    <col min="10" max="10" width="8.88671875" style="26" bestFit="1" customWidth="1"/>
    <col min="11" max="11" width="11.33203125" style="26" bestFit="1" customWidth="1"/>
    <col min="12" max="12" width="11" style="26" bestFit="1" customWidth="1"/>
    <col min="13" max="13" width="5.6640625" style="26" bestFit="1" customWidth="1"/>
    <col min="14" max="14" width="11.33203125" style="26" bestFit="1" customWidth="1"/>
    <col min="15" max="15" width="11" style="26" bestFit="1" customWidth="1"/>
    <col min="16" max="19" width="16" style="26"/>
    <col min="20" max="20" width="1.5546875" style="26" bestFit="1" customWidth="1"/>
    <col min="21" max="16384" width="16" style="26"/>
  </cols>
  <sheetData>
    <row r="1" spans="1:20" x14ac:dyDescent="0.3">
      <c r="B1" s="103"/>
      <c r="C1" s="103"/>
      <c r="D1" s="103"/>
      <c r="E1" s="103"/>
    </row>
    <row r="2" spans="1:20" x14ac:dyDescent="0.3">
      <c r="A2" s="118" t="s">
        <v>49</v>
      </c>
      <c r="B2" s="119"/>
      <c r="C2" s="119"/>
      <c r="D2" s="119"/>
      <c r="E2" s="119"/>
      <c r="F2" s="119"/>
      <c r="G2" s="119"/>
      <c r="H2" s="119"/>
      <c r="I2" s="119"/>
      <c r="J2" s="119"/>
      <c r="K2" s="119"/>
      <c r="L2" s="119"/>
      <c r="M2" s="120"/>
    </row>
    <row r="3" spans="1:20" x14ac:dyDescent="0.3">
      <c r="A3" s="58" t="s">
        <v>70</v>
      </c>
      <c r="B3" s="105" t="str">
        <f>Declaration!C3</f>
        <v>Anju Enterprises</v>
      </c>
      <c r="C3" s="106"/>
      <c r="D3" s="107"/>
      <c r="E3" s="114"/>
      <c r="F3" s="114"/>
      <c r="G3" s="114"/>
      <c r="H3" s="114"/>
      <c r="I3" s="114"/>
      <c r="J3" s="114"/>
      <c r="K3" s="114"/>
      <c r="L3" s="114"/>
      <c r="M3" s="115"/>
    </row>
    <row r="4" spans="1:20" x14ac:dyDescent="0.3">
      <c r="A4" s="59" t="s">
        <v>71</v>
      </c>
      <c r="B4" s="108"/>
      <c r="C4" s="109"/>
      <c r="D4" s="110"/>
      <c r="E4" s="116"/>
      <c r="F4" s="116"/>
      <c r="G4" s="116"/>
      <c r="H4" s="116"/>
      <c r="I4" s="116"/>
      <c r="J4" s="116"/>
      <c r="K4" s="116"/>
      <c r="L4" s="116"/>
      <c r="M4" s="117"/>
    </row>
    <row r="5" spans="1:20" x14ac:dyDescent="0.3">
      <c r="A5" s="59" t="s">
        <v>72</v>
      </c>
      <c r="B5" s="122" t="str">
        <f>Declaration!C4</f>
        <v>C-5 COMMUNITY CENTRE NARAINA VIHAR NEW DELHI-110028</v>
      </c>
      <c r="C5" s="123"/>
      <c r="D5" s="123"/>
      <c r="E5" s="124"/>
      <c r="F5" s="27" t="s">
        <v>56</v>
      </c>
      <c r="G5" s="111" t="s">
        <v>57</v>
      </c>
      <c r="H5" s="112"/>
      <c r="I5" s="112"/>
      <c r="J5" s="112"/>
      <c r="K5" s="112"/>
      <c r="L5" s="28"/>
      <c r="M5" s="29"/>
    </row>
    <row r="6" spans="1:20" s="36" customFormat="1" ht="41.4"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20" ht="14.4" x14ac:dyDescent="0.3">
      <c r="A7" s="37">
        <v>1</v>
      </c>
      <c r="B7" s="62" t="s">
        <v>77</v>
      </c>
      <c r="C7" s="38">
        <v>14</v>
      </c>
      <c r="D7" s="39">
        <v>5</v>
      </c>
      <c r="E7" s="40" t="s">
        <v>30</v>
      </c>
      <c r="F7" s="51">
        <f>2931</f>
        <v>2931</v>
      </c>
      <c r="G7" s="51">
        <f>40+50+40+36+18+60+30+25</f>
        <v>299</v>
      </c>
      <c r="H7" s="51">
        <f>60+50+80+64+50+50+100+60+40</f>
        <v>554</v>
      </c>
      <c r="I7" s="51"/>
      <c r="J7" s="51">
        <f>200+200+200+300+500+400+450+60+400+40+32+75+200+300</f>
        <v>3357</v>
      </c>
      <c r="K7" s="63">
        <f>SUM(G7:J7)</f>
        <v>4210</v>
      </c>
      <c r="L7" s="63">
        <f>K7-F7</f>
        <v>1279</v>
      </c>
      <c r="M7" s="41"/>
      <c r="N7" s="64">
        <f>K7*C7</f>
        <v>58940</v>
      </c>
      <c r="O7" s="65">
        <f>N7/1000</f>
        <v>58.94</v>
      </c>
      <c r="P7" s="83"/>
      <c r="Q7" s="42"/>
    </row>
    <row r="8" spans="1:20" ht="14.4" x14ac:dyDescent="0.3">
      <c r="A8" s="39">
        <f>1+A7</f>
        <v>2</v>
      </c>
      <c r="B8" s="62" t="s">
        <v>77</v>
      </c>
      <c r="C8" s="38">
        <v>32.5</v>
      </c>
      <c r="D8" s="43">
        <v>10</v>
      </c>
      <c r="E8" s="40" t="s">
        <v>30</v>
      </c>
      <c r="F8" s="51">
        <f>433</f>
        <v>433</v>
      </c>
      <c r="G8" s="51">
        <f>40+30</f>
        <v>70</v>
      </c>
      <c r="H8" s="51">
        <f>55+40+20</f>
        <v>115</v>
      </c>
      <c r="I8" s="51"/>
      <c r="J8" s="51">
        <f>100+100+30</f>
        <v>230</v>
      </c>
      <c r="K8" s="63">
        <f t="shared" ref="K8:K25" si="0">SUM(G8:J8)</f>
        <v>415</v>
      </c>
      <c r="L8" s="63">
        <f t="shared" ref="L8:L25" si="1">K8-F8</f>
        <v>-18</v>
      </c>
      <c r="M8" s="41"/>
      <c r="N8" s="64">
        <f t="shared" ref="N8:N25" si="2">K8*C8</f>
        <v>13487.5</v>
      </c>
      <c r="O8" s="65">
        <f t="shared" ref="O8:O25" si="3">N8/1000</f>
        <v>13.487500000000001</v>
      </c>
      <c r="P8" s="83"/>
      <c r="Q8" s="42"/>
    </row>
    <row r="9" spans="1:20" x14ac:dyDescent="0.3">
      <c r="A9" s="39">
        <f t="shared" ref="A9:A25" si="4">1+A8</f>
        <v>3</v>
      </c>
      <c r="B9" s="62" t="s">
        <v>77</v>
      </c>
      <c r="C9" s="38">
        <v>75</v>
      </c>
      <c r="D9" s="43">
        <v>20</v>
      </c>
      <c r="E9" s="40" t="s">
        <v>30</v>
      </c>
      <c r="F9" s="51"/>
      <c r="G9" s="51"/>
      <c r="H9" s="51"/>
      <c r="I9" s="51"/>
      <c r="J9" s="51"/>
      <c r="K9" s="63">
        <f t="shared" si="0"/>
        <v>0</v>
      </c>
      <c r="L9" s="63">
        <f t="shared" si="1"/>
        <v>0</v>
      </c>
      <c r="M9" s="41"/>
      <c r="N9" s="64">
        <f t="shared" si="2"/>
        <v>0</v>
      </c>
      <c r="O9" s="65">
        <f t="shared" si="3"/>
        <v>0</v>
      </c>
      <c r="P9" s="42"/>
      <c r="Q9" s="42"/>
    </row>
    <row r="10" spans="1:20" x14ac:dyDescent="0.3">
      <c r="A10" s="39">
        <f t="shared" si="4"/>
        <v>4</v>
      </c>
      <c r="B10" s="62" t="s">
        <v>77</v>
      </c>
      <c r="C10" s="38">
        <v>62.5</v>
      </c>
      <c r="D10" s="43">
        <v>30</v>
      </c>
      <c r="E10" s="40" t="s">
        <v>30</v>
      </c>
      <c r="F10" s="51"/>
      <c r="G10" s="51"/>
      <c r="H10" s="51"/>
      <c r="I10" s="51"/>
      <c r="J10" s="51"/>
      <c r="K10" s="63">
        <f t="shared" si="0"/>
        <v>0</v>
      </c>
      <c r="L10" s="63">
        <f t="shared" si="1"/>
        <v>0</v>
      </c>
      <c r="M10" s="41"/>
      <c r="N10" s="64">
        <f t="shared" si="2"/>
        <v>0</v>
      </c>
      <c r="O10" s="65">
        <f t="shared" si="3"/>
        <v>0</v>
      </c>
      <c r="P10" s="42"/>
      <c r="Q10" s="42"/>
    </row>
    <row r="11" spans="1:20" ht="14.4" x14ac:dyDescent="0.3">
      <c r="A11" s="39">
        <f t="shared" si="4"/>
        <v>5</v>
      </c>
      <c r="B11" s="62" t="s">
        <v>78</v>
      </c>
      <c r="C11" s="38">
        <v>20</v>
      </c>
      <c r="D11" s="43">
        <v>5</v>
      </c>
      <c r="E11" s="40" t="s">
        <v>30</v>
      </c>
      <c r="F11" s="51">
        <f>1402</f>
        <v>1402</v>
      </c>
      <c r="G11" s="51">
        <f>50+40+90+40</f>
        <v>220</v>
      </c>
      <c r="H11" s="51">
        <f>100+60+40+50</f>
        <v>250</v>
      </c>
      <c r="I11" s="51"/>
      <c r="J11" s="51">
        <f>500+500+200+100+80</f>
        <v>1380</v>
      </c>
      <c r="K11" s="63">
        <f t="shared" si="0"/>
        <v>1850</v>
      </c>
      <c r="L11" s="63">
        <f t="shared" si="1"/>
        <v>448</v>
      </c>
      <c r="M11" s="41"/>
      <c r="N11" s="64">
        <f t="shared" si="2"/>
        <v>37000</v>
      </c>
      <c r="O11" s="65">
        <f t="shared" si="3"/>
        <v>37</v>
      </c>
      <c r="P11" s="83"/>
      <c r="Q11" s="42"/>
      <c r="T11" s="26" t="s">
        <v>65</v>
      </c>
    </row>
    <row r="12" spans="1:20" ht="14.4" x14ac:dyDescent="0.3">
      <c r="A12" s="39">
        <f t="shared" si="4"/>
        <v>6</v>
      </c>
      <c r="B12" s="62" t="s">
        <v>78</v>
      </c>
      <c r="C12" s="38">
        <v>42</v>
      </c>
      <c r="D12" s="43">
        <v>10</v>
      </c>
      <c r="E12" s="40" t="s">
        <v>30</v>
      </c>
      <c r="F12" s="51">
        <f>315</f>
        <v>315</v>
      </c>
      <c r="G12" s="51">
        <v>20</v>
      </c>
      <c r="H12" s="51">
        <f>25+30</f>
        <v>55</v>
      </c>
      <c r="I12" s="51"/>
      <c r="J12" s="51">
        <f>260+10</f>
        <v>270</v>
      </c>
      <c r="K12" s="63">
        <f t="shared" si="0"/>
        <v>345</v>
      </c>
      <c r="L12" s="63">
        <f t="shared" si="1"/>
        <v>30</v>
      </c>
      <c r="M12" s="41"/>
      <c r="N12" s="64">
        <f t="shared" si="2"/>
        <v>14490</v>
      </c>
      <c r="O12" s="65">
        <f t="shared" si="3"/>
        <v>14.49</v>
      </c>
      <c r="P12" s="83"/>
      <c r="Q12" s="42"/>
    </row>
    <row r="13" spans="1:20" x14ac:dyDescent="0.3">
      <c r="A13" s="39">
        <f t="shared" si="4"/>
        <v>7</v>
      </c>
      <c r="B13" s="62" t="s">
        <v>78</v>
      </c>
      <c r="C13" s="38">
        <v>85</v>
      </c>
      <c r="D13" s="43">
        <v>20</v>
      </c>
      <c r="E13" s="40" t="s">
        <v>30</v>
      </c>
      <c r="F13" s="51"/>
      <c r="G13" s="51"/>
      <c r="H13" s="51"/>
      <c r="I13" s="51"/>
      <c r="J13" s="51"/>
      <c r="K13" s="63">
        <f t="shared" si="0"/>
        <v>0</v>
      </c>
      <c r="L13" s="63">
        <f t="shared" si="1"/>
        <v>0</v>
      </c>
      <c r="M13" s="41"/>
      <c r="N13" s="64">
        <f t="shared" si="2"/>
        <v>0</v>
      </c>
      <c r="O13" s="65">
        <f t="shared" si="3"/>
        <v>0</v>
      </c>
      <c r="P13" s="42"/>
      <c r="Q13" s="42"/>
    </row>
    <row r="14" spans="1:20" ht="14.4" x14ac:dyDescent="0.3">
      <c r="A14" s="39">
        <f t="shared" si="4"/>
        <v>8</v>
      </c>
      <c r="B14" s="62" t="s">
        <v>79</v>
      </c>
      <c r="C14" s="38">
        <v>20</v>
      </c>
      <c r="D14" s="43">
        <v>5</v>
      </c>
      <c r="E14" s="40" t="s">
        <v>30</v>
      </c>
      <c r="F14" s="51">
        <f>637</f>
        <v>637</v>
      </c>
      <c r="G14" s="51">
        <f>40+40</f>
        <v>80</v>
      </c>
      <c r="H14" s="51">
        <f>50+60+20</f>
        <v>130</v>
      </c>
      <c r="I14" s="51"/>
      <c r="J14" s="51">
        <f>120+300+100+60</f>
        <v>580</v>
      </c>
      <c r="K14" s="63">
        <f t="shared" si="0"/>
        <v>790</v>
      </c>
      <c r="L14" s="63">
        <f t="shared" si="1"/>
        <v>153</v>
      </c>
      <c r="M14" s="41"/>
      <c r="N14" s="64">
        <f t="shared" si="2"/>
        <v>15800</v>
      </c>
      <c r="O14" s="65">
        <f t="shared" si="3"/>
        <v>15.8</v>
      </c>
      <c r="P14" s="83"/>
      <c r="Q14" s="42"/>
    </row>
    <row r="15" spans="1:20" ht="14.4" x14ac:dyDescent="0.3">
      <c r="A15" s="39">
        <f t="shared" si="4"/>
        <v>9</v>
      </c>
      <c r="B15" s="62" t="s">
        <v>79</v>
      </c>
      <c r="C15" s="38">
        <v>34</v>
      </c>
      <c r="D15" s="43">
        <v>10</v>
      </c>
      <c r="E15" s="40" t="s">
        <v>30</v>
      </c>
      <c r="F15" s="51">
        <f>42</f>
        <v>42</v>
      </c>
      <c r="G15" s="51"/>
      <c r="H15" s="51">
        <f>10+5</f>
        <v>15</v>
      </c>
      <c r="I15" s="51"/>
      <c r="J15" s="51">
        <f>40+35</f>
        <v>75</v>
      </c>
      <c r="K15" s="63">
        <f t="shared" si="0"/>
        <v>90</v>
      </c>
      <c r="L15" s="63">
        <f t="shared" si="1"/>
        <v>48</v>
      </c>
      <c r="M15" s="41"/>
      <c r="N15" s="64">
        <f t="shared" si="2"/>
        <v>3060</v>
      </c>
      <c r="O15" s="65">
        <f t="shared" si="3"/>
        <v>3.06</v>
      </c>
      <c r="P15" s="83"/>
      <c r="Q15" s="42"/>
    </row>
    <row r="16" spans="1:20" ht="14.4" x14ac:dyDescent="0.3">
      <c r="A16" s="39">
        <f t="shared" si="4"/>
        <v>10</v>
      </c>
      <c r="B16" s="62" t="s">
        <v>80</v>
      </c>
      <c r="C16" s="38">
        <v>12</v>
      </c>
      <c r="D16" s="43">
        <v>5</v>
      </c>
      <c r="E16" s="40" t="s">
        <v>30</v>
      </c>
      <c r="F16" s="51">
        <f>1353</f>
        <v>1353</v>
      </c>
      <c r="G16" s="51">
        <f>40+50+50</f>
        <v>140</v>
      </c>
      <c r="H16" s="51">
        <f>50+100+50</f>
        <v>200</v>
      </c>
      <c r="I16" s="51"/>
      <c r="J16" s="51">
        <f>500+500+200+150</f>
        <v>1350</v>
      </c>
      <c r="K16" s="63">
        <f t="shared" si="0"/>
        <v>1690</v>
      </c>
      <c r="L16" s="63">
        <f t="shared" si="1"/>
        <v>337</v>
      </c>
      <c r="M16" s="41"/>
      <c r="N16" s="64">
        <f t="shared" si="2"/>
        <v>20280</v>
      </c>
      <c r="O16" s="65">
        <f t="shared" si="3"/>
        <v>20.28</v>
      </c>
      <c r="P16" s="83"/>
      <c r="Q16" s="42"/>
    </row>
    <row r="17" spans="1:17" ht="14.4" x14ac:dyDescent="0.3">
      <c r="A17" s="39">
        <f t="shared" si="4"/>
        <v>11</v>
      </c>
      <c r="B17" s="62" t="s">
        <v>80</v>
      </c>
      <c r="C17" s="38">
        <v>45</v>
      </c>
      <c r="D17" s="43">
        <v>10</v>
      </c>
      <c r="E17" s="40"/>
      <c r="F17" s="51"/>
      <c r="G17" s="51"/>
      <c r="H17" s="51"/>
      <c r="I17" s="51"/>
      <c r="J17" s="51"/>
      <c r="K17" s="63">
        <f t="shared" si="0"/>
        <v>0</v>
      </c>
      <c r="L17" s="63">
        <f t="shared" si="1"/>
        <v>0</v>
      </c>
      <c r="M17" s="41"/>
      <c r="N17" s="64">
        <f t="shared" si="2"/>
        <v>0</v>
      </c>
      <c r="O17" s="65">
        <f t="shared" si="3"/>
        <v>0</v>
      </c>
      <c r="P17" s="83"/>
      <c r="Q17" s="42"/>
    </row>
    <row r="18" spans="1:17" ht="14.4" x14ac:dyDescent="0.3">
      <c r="A18" s="39">
        <f t="shared" si="4"/>
        <v>12</v>
      </c>
      <c r="B18" s="62" t="s">
        <v>81</v>
      </c>
      <c r="C18" s="38">
        <v>20</v>
      </c>
      <c r="D18" s="43">
        <v>5</v>
      </c>
      <c r="E18" s="40" t="s">
        <v>30</v>
      </c>
      <c r="F18" s="51">
        <f>1321</f>
        <v>1321</v>
      </c>
      <c r="G18" s="51">
        <f>60+40+40</f>
        <v>140</v>
      </c>
      <c r="H18" s="51">
        <f>100+15+50</f>
        <v>165</v>
      </c>
      <c r="I18" s="51"/>
      <c r="J18" s="51">
        <f>500+150+100</f>
        <v>750</v>
      </c>
      <c r="K18" s="63">
        <f t="shared" si="0"/>
        <v>1055</v>
      </c>
      <c r="L18" s="63">
        <f t="shared" si="1"/>
        <v>-266</v>
      </c>
      <c r="M18" s="41"/>
      <c r="N18" s="64">
        <f t="shared" si="2"/>
        <v>21100</v>
      </c>
      <c r="O18" s="65">
        <f t="shared" si="3"/>
        <v>21.1</v>
      </c>
      <c r="P18" s="83"/>
      <c r="Q18" s="42"/>
    </row>
    <row r="19" spans="1:17" ht="14.4" x14ac:dyDescent="0.3">
      <c r="A19" s="39">
        <f t="shared" si="4"/>
        <v>13</v>
      </c>
      <c r="B19" s="62" t="s">
        <v>82</v>
      </c>
      <c r="C19" s="38">
        <v>14</v>
      </c>
      <c r="D19" s="43">
        <v>5</v>
      </c>
      <c r="E19" s="40" t="s">
        <v>30</v>
      </c>
      <c r="F19" s="51">
        <f>720</f>
        <v>720</v>
      </c>
      <c r="G19" s="51">
        <f>60+40</f>
        <v>100</v>
      </c>
      <c r="H19" s="51">
        <v>50</v>
      </c>
      <c r="I19" s="51"/>
      <c r="J19" s="51">
        <f>200+120</f>
        <v>320</v>
      </c>
      <c r="K19" s="63">
        <f t="shared" si="0"/>
        <v>470</v>
      </c>
      <c r="L19" s="63">
        <f t="shared" si="1"/>
        <v>-250</v>
      </c>
      <c r="M19" s="41"/>
      <c r="N19" s="64">
        <f t="shared" si="2"/>
        <v>6580</v>
      </c>
      <c r="O19" s="65">
        <f t="shared" si="3"/>
        <v>6.58</v>
      </c>
      <c r="P19" s="83"/>
      <c r="Q19" s="42"/>
    </row>
    <row r="20" spans="1:17" x14ac:dyDescent="0.3">
      <c r="A20" s="39">
        <f t="shared" si="4"/>
        <v>14</v>
      </c>
      <c r="B20" s="62" t="s">
        <v>82</v>
      </c>
      <c r="C20" s="38">
        <v>36</v>
      </c>
      <c r="D20" s="43">
        <v>10</v>
      </c>
      <c r="E20" s="40" t="s">
        <v>30</v>
      </c>
      <c r="F20" s="51"/>
      <c r="G20" s="51"/>
      <c r="H20" s="51"/>
      <c r="I20" s="51"/>
      <c r="J20" s="51"/>
      <c r="K20" s="63">
        <f t="shared" si="0"/>
        <v>0</v>
      </c>
      <c r="L20" s="63">
        <f t="shared" si="1"/>
        <v>0</v>
      </c>
      <c r="M20" s="41"/>
      <c r="N20" s="64">
        <f t="shared" si="2"/>
        <v>0</v>
      </c>
      <c r="O20" s="65">
        <f t="shared" si="3"/>
        <v>0</v>
      </c>
      <c r="P20" s="42"/>
      <c r="Q20" s="42"/>
    </row>
    <row r="21" spans="1:17" ht="14.4" x14ac:dyDescent="0.3">
      <c r="A21" s="39">
        <f t="shared" si="4"/>
        <v>15</v>
      </c>
      <c r="B21" s="62" t="s">
        <v>89</v>
      </c>
      <c r="C21" s="38">
        <v>18</v>
      </c>
      <c r="D21" s="43">
        <v>5</v>
      </c>
      <c r="E21" s="40" t="s">
        <v>30</v>
      </c>
      <c r="F21" s="51">
        <f>239</f>
        <v>239</v>
      </c>
      <c r="G21" s="51"/>
      <c r="H21" s="51">
        <v>40</v>
      </c>
      <c r="I21" s="51"/>
      <c r="J21" s="51">
        <f>180+20</f>
        <v>200</v>
      </c>
      <c r="K21" s="63">
        <f t="shared" si="0"/>
        <v>240</v>
      </c>
      <c r="L21" s="63">
        <f t="shared" si="1"/>
        <v>1</v>
      </c>
      <c r="M21" s="41"/>
      <c r="N21" s="64">
        <f t="shared" si="2"/>
        <v>4320</v>
      </c>
      <c r="O21" s="65">
        <f t="shared" si="3"/>
        <v>4.32</v>
      </c>
      <c r="P21" s="83"/>
      <c r="Q21" s="42"/>
    </row>
    <row r="22" spans="1:17" x14ac:dyDescent="0.3">
      <c r="A22" s="39">
        <f t="shared" si="4"/>
        <v>16</v>
      </c>
      <c r="B22" s="62" t="s">
        <v>90</v>
      </c>
      <c r="C22" s="38">
        <v>17</v>
      </c>
      <c r="D22" s="43">
        <v>5</v>
      </c>
      <c r="E22" s="40" t="s">
        <v>30</v>
      </c>
      <c r="F22" s="51"/>
      <c r="G22" s="51"/>
      <c r="H22" s="51"/>
      <c r="I22" s="51"/>
      <c r="J22" s="51"/>
      <c r="K22" s="63">
        <f t="shared" si="0"/>
        <v>0</v>
      </c>
      <c r="L22" s="63">
        <f t="shared" si="1"/>
        <v>0</v>
      </c>
      <c r="M22" s="41"/>
      <c r="N22" s="64">
        <f t="shared" si="2"/>
        <v>0</v>
      </c>
      <c r="O22" s="65">
        <f t="shared" si="3"/>
        <v>0</v>
      </c>
      <c r="P22" s="42"/>
      <c r="Q22" s="42"/>
    </row>
    <row r="23" spans="1:17" ht="14.4" x14ac:dyDescent="0.3">
      <c r="A23" s="39">
        <f t="shared" si="4"/>
        <v>17</v>
      </c>
      <c r="B23" s="62" t="s">
        <v>91</v>
      </c>
      <c r="C23" s="38">
        <v>25</v>
      </c>
      <c r="D23" s="43">
        <v>5</v>
      </c>
      <c r="E23" s="40"/>
      <c r="F23" s="51"/>
      <c r="G23" s="51">
        <f>40</f>
        <v>40</v>
      </c>
      <c r="H23" s="51">
        <f>50+60</f>
        <v>110</v>
      </c>
      <c r="I23" s="51"/>
      <c r="J23" s="51">
        <f>200+150+20+100</f>
        <v>470</v>
      </c>
      <c r="K23" s="63">
        <f t="shared" si="0"/>
        <v>620</v>
      </c>
      <c r="L23" s="63">
        <f t="shared" si="1"/>
        <v>620</v>
      </c>
      <c r="M23" s="41"/>
      <c r="N23" s="64">
        <f t="shared" si="2"/>
        <v>15500</v>
      </c>
      <c r="O23" s="65">
        <f t="shared" si="3"/>
        <v>15.5</v>
      </c>
      <c r="P23" s="83"/>
      <c r="Q23" s="42"/>
    </row>
    <row r="24" spans="1:17" ht="14.4" x14ac:dyDescent="0.3">
      <c r="A24" s="39">
        <f t="shared" si="4"/>
        <v>18</v>
      </c>
      <c r="B24" s="62" t="s">
        <v>95</v>
      </c>
      <c r="C24" s="38">
        <v>12</v>
      </c>
      <c r="D24" s="43">
        <v>5</v>
      </c>
      <c r="E24" s="40" t="s">
        <v>30</v>
      </c>
      <c r="F24" s="51"/>
      <c r="G24" s="51"/>
      <c r="H24" s="51">
        <v>20</v>
      </c>
      <c r="I24" s="51"/>
      <c r="J24" s="51">
        <f>125+20</f>
        <v>145</v>
      </c>
      <c r="K24" s="63">
        <f t="shared" si="0"/>
        <v>165</v>
      </c>
      <c r="L24" s="63">
        <f t="shared" si="1"/>
        <v>165</v>
      </c>
      <c r="M24" s="41"/>
      <c r="N24" s="64">
        <f t="shared" si="2"/>
        <v>1980</v>
      </c>
      <c r="O24" s="65">
        <f t="shared" si="3"/>
        <v>1.98</v>
      </c>
      <c r="P24" s="83"/>
      <c r="Q24" s="42"/>
    </row>
    <row r="25" spans="1:17" ht="14.4" x14ac:dyDescent="0.3">
      <c r="A25" s="39">
        <f t="shared" si="4"/>
        <v>19</v>
      </c>
      <c r="B25" s="62" t="s">
        <v>83</v>
      </c>
      <c r="C25" s="38">
        <v>13</v>
      </c>
      <c r="D25" s="43">
        <v>5</v>
      </c>
      <c r="E25" s="40" t="s">
        <v>30</v>
      </c>
      <c r="F25" s="51">
        <f>220</f>
        <v>220</v>
      </c>
      <c r="G25" s="51"/>
      <c r="H25" s="51">
        <v>60</v>
      </c>
      <c r="I25" s="51"/>
      <c r="J25" s="51">
        <v>210</v>
      </c>
      <c r="K25" s="63">
        <f t="shared" si="0"/>
        <v>270</v>
      </c>
      <c r="L25" s="63">
        <f t="shared" si="1"/>
        <v>50</v>
      </c>
      <c r="M25" s="41"/>
      <c r="N25" s="64">
        <f t="shared" si="2"/>
        <v>3510</v>
      </c>
      <c r="O25" s="65">
        <f t="shared" si="3"/>
        <v>3.51</v>
      </c>
      <c r="P25" s="83"/>
      <c r="Q25" s="42"/>
    </row>
    <row r="26" spans="1:17" ht="14.4" x14ac:dyDescent="0.3">
      <c r="A26" s="121" t="s">
        <v>8</v>
      </c>
      <c r="B26" s="121"/>
      <c r="C26" s="121"/>
      <c r="D26" s="121"/>
      <c r="E26" s="121"/>
      <c r="F26" s="46">
        <f>SUM(F7:F25)</f>
        <v>9613</v>
      </c>
      <c r="G26" s="46">
        <f t="shared" ref="G26:O26" si="5">SUM(G7:G25)</f>
        <v>1109</v>
      </c>
      <c r="H26" s="46">
        <f t="shared" si="5"/>
        <v>1764</v>
      </c>
      <c r="I26" s="46">
        <f t="shared" si="5"/>
        <v>0</v>
      </c>
      <c r="J26" s="46">
        <f t="shared" si="5"/>
        <v>9337</v>
      </c>
      <c r="K26" s="46">
        <f t="shared" si="5"/>
        <v>12210</v>
      </c>
      <c r="L26" s="46">
        <f t="shared" si="5"/>
        <v>2597</v>
      </c>
      <c r="M26" s="46">
        <f t="shared" si="5"/>
        <v>0</v>
      </c>
      <c r="N26" s="46">
        <f t="shared" si="5"/>
        <v>216047.5</v>
      </c>
      <c r="O26" s="46">
        <f t="shared" si="5"/>
        <v>216.04749999999999</v>
      </c>
      <c r="P26" s="83"/>
      <c r="Q26" s="42"/>
    </row>
    <row r="27" spans="1:17" ht="14.4" x14ac:dyDescent="0.3">
      <c r="A27" s="49"/>
      <c r="B27" s="49"/>
      <c r="C27" s="49"/>
      <c r="D27" s="50"/>
      <c r="P27" s="83"/>
      <c r="Q27" s="42"/>
    </row>
    <row r="28" spans="1:17" x14ac:dyDescent="0.3">
      <c r="A28" s="113" t="s">
        <v>4</v>
      </c>
      <c r="B28" s="113"/>
      <c r="C28" s="113"/>
      <c r="D28" s="113"/>
      <c r="E28" s="47"/>
      <c r="F28" s="47"/>
      <c r="G28" s="47"/>
      <c r="H28" s="47"/>
      <c r="I28" s="47"/>
      <c r="J28" s="47"/>
      <c r="K28" s="47"/>
      <c r="L28" s="47"/>
      <c r="Q28" s="42"/>
    </row>
    <row r="29" spans="1:17" x14ac:dyDescent="0.3">
      <c r="A29" s="104" t="s">
        <v>6</v>
      </c>
      <c r="B29" s="104"/>
      <c r="C29" s="104"/>
      <c r="D29" s="104"/>
      <c r="E29" s="104"/>
      <c r="F29" s="104"/>
      <c r="G29" s="104"/>
      <c r="H29" s="104"/>
      <c r="I29" s="104"/>
      <c r="J29" s="104"/>
      <c r="K29" s="104"/>
      <c r="L29" s="104"/>
    </row>
    <row r="30" spans="1:17" x14ac:dyDescent="0.3">
      <c r="A30" s="104" t="s">
        <v>7</v>
      </c>
      <c r="B30" s="104"/>
      <c r="C30" s="104"/>
      <c r="D30" s="104"/>
      <c r="E30" s="104"/>
      <c r="F30" s="104"/>
      <c r="G30" s="104"/>
      <c r="H30" s="104"/>
      <c r="I30" s="104"/>
      <c r="J30" s="104"/>
      <c r="K30" s="104"/>
      <c r="L30" s="104"/>
    </row>
    <row r="31" spans="1:17" x14ac:dyDescent="0.3">
      <c r="A31" s="47"/>
      <c r="B31" s="47"/>
      <c r="C31" s="47"/>
      <c r="D31" s="47"/>
      <c r="E31" s="47"/>
      <c r="F31" s="47"/>
      <c r="G31" s="47"/>
      <c r="H31" s="47"/>
      <c r="I31" s="47"/>
      <c r="J31" s="47"/>
      <c r="K31" s="47"/>
      <c r="L31" s="47"/>
    </row>
    <row r="32" spans="1:17" x14ac:dyDescent="0.3">
      <c r="A32" s="44" t="s">
        <v>9</v>
      </c>
      <c r="B32" s="44"/>
      <c r="C32" s="44"/>
      <c r="D32" s="45" t="s">
        <v>5</v>
      </c>
      <c r="E32" s="48"/>
      <c r="F32" s="48"/>
      <c r="G32" s="48"/>
      <c r="H32" s="48"/>
      <c r="I32" s="48"/>
      <c r="J32" s="48"/>
      <c r="K32" s="48"/>
      <c r="L32" s="48"/>
    </row>
    <row r="33" spans="1:12" x14ac:dyDescent="0.3">
      <c r="A33" s="44" t="s">
        <v>3</v>
      </c>
      <c r="B33" s="71">
        <f>Declaration!C12</f>
        <v>45400</v>
      </c>
      <c r="C33" s="45"/>
      <c r="D33" s="45" t="s">
        <v>3</v>
      </c>
      <c r="E33" s="48"/>
      <c r="F33" s="48"/>
      <c r="G33" s="48"/>
      <c r="H33" s="48"/>
      <c r="I33" s="48"/>
      <c r="J33" s="48"/>
      <c r="K33" s="48"/>
      <c r="L33" s="48"/>
    </row>
  </sheetData>
  <mergeCells count="12">
    <mergeCell ref="B1:C1"/>
    <mergeCell ref="A30:L30"/>
    <mergeCell ref="B3:D3"/>
    <mergeCell ref="B4:D4"/>
    <mergeCell ref="G5:K5"/>
    <mergeCell ref="A28:D28"/>
    <mergeCell ref="A29:L29"/>
    <mergeCell ref="D1:E1"/>
    <mergeCell ref="E3:M4"/>
    <mergeCell ref="A2:M2"/>
    <mergeCell ref="A26:E2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H4" sqref="H4"/>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7.5546875" bestFit="1" customWidth="1"/>
    <col min="6" max="6" width="8.88671875" bestFit="1" customWidth="1"/>
    <col min="7" max="7" width="16.6640625" bestFit="1" customWidth="1"/>
    <col min="8" max="8" width="19.5546875" bestFit="1" customWidth="1"/>
  </cols>
  <sheetData>
    <row r="1" spans="1:8" x14ac:dyDescent="0.3">
      <c r="A1" s="17" t="s">
        <v>32</v>
      </c>
      <c r="B1" s="18"/>
      <c r="C1" s="18"/>
      <c r="D1" s="19"/>
      <c r="E1" s="12"/>
      <c r="F1" s="12"/>
      <c r="G1" s="7" t="s">
        <v>16</v>
      </c>
      <c r="H1" s="74">
        <f>Declaration!C10</f>
        <v>45400</v>
      </c>
    </row>
    <row r="2" spans="1:8" x14ac:dyDescent="0.3">
      <c r="A2" s="3" t="s">
        <v>11</v>
      </c>
      <c r="B2" s="102" t="str">
        <f>Declaration!C3</f>
        <v>Anju Enterprises</v>
      </c>
      <c r="C2" s="102"/>
      <c r="D2" s="19"/>
      <c r="E2" s="12"/>
      <c r="F2" s="12"/>
      <c r="G2" s="7" t="s">
        <v>18</v>
      </c>
      <c r="H2" s="75">
        <f>Declaration!C12</f>
        <v>45400</v>
      </c>
    </row>
    <row r="3" spans="1:8" x14ac:dyDescent="0.3">
      <c r="A3" s="66" t="s">
        <v>33</v>
      </c>
      <c r="B3" s="66" t="s">
        <v>41</v>
      </c>
      <c r="C3" s="66" t="s">
        <v>39</v>
      </c>
      <c r="D3" s="20" t="s">
        <v>34</v>
      </c>
      <c r="E3" s="21" t="s">
        <v>35</v>
      </c>
      <c r="F3" s="20" t="s">
        <v>36</v>
      </c>
      <c r="G3" s="21" t="s">
        <v>37</v>
      </c>
      <c r="H3" s="22" t="s">
        <v>38</v>
      </c>
    </row>
    <row r="4" spans="1:8" x14ac:dyDescent="0.3">
      <c r="A4" s="67">
        <v>1</v>
      </c>
      <c r="B4" s="68" t="s">
        <v>94</v>
      </c>
      <c r="C4" s="53">
        <v>1</v>
      </c>
      <c r="D4" s="70">
        <v>45400</v>
      </c>
      <c r="E4" s="61" t="s">
        <v>99</v>
      </c>
      <c r="F4" s="61" t="s">
        <v>100</v>
      </c>
      <c r="G4" s="84" t="s">
        <v>97</v>
      </c>
      <c r="H4" s="69"/>
    </row>
    <row r="5" spans="1:8" x14ac:dyDescent="0.3">
      <c r="B5" s="52" t="s">
        <v>69</v>
      </c>
      <c r="C5" s="54">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zoomScale="96" zoomScaleNormal="96" workbookViewId="0">
      <selection activeCell="D8" sqref="D8"/>
    </sheetView>
  </sheetViews>
  <sheetFormatPr defaultColWidth="10" defaultRowHeight="14.4" x14ac:dyDescent="0.3"/>
  <cols>
    <col min="1" max="1" width="5.88671875" bestFit="1" customWidth="1"/>
    <col min="2" max="2" width="54.44140625" bestFit="1" customWidth="1"/>
    <col min="3" max="3" width="16.109375" bestFit="1" customWidth="1"/>
    <col min="4" max="4" width="17.6640625" bestFit="1" customWidth="1"/>
    <col min="5" max="5" width="8.44140625" bestFit="1" customWidth="1"/>
    <col min="6" max="6" width="13.6640625" bestFit="1" customWidth="1"/>
    <col min="7" max="7" width="11.6640625" bestFit="1" customWidth="1"/>
    <col min="8" max="8" width="9.44140625" bestFit="1" customWidth="1"/>
    <col min="9" max="9" width="8.109375" bestFit="1" customWidth="1"/>
    <col min="10" max="10" width="20.109375" customWidth="1"/>
  </cols>
  <sheetData>
    <row r="2" spans="1:11" x14ac:dyDescent="0.3">
      <c r="B2" s="76">
        <f>Declaration!C10</f>
        <v>45400</v>
      </c>
      <c r="C2" s="77" t="str">
        <f>Declaration!C3</f>
        <v>Anju Enterprises</v>
      </c>
    </row>
    <row r="3" spans="1:11" x14ac:dyDescent="0.3">
      <c r="A3" s="56" t="s">
        <v>40</v>
      </c>
      <c r="B3" s="60" t="s">
        <v>73</v>
      </c>
      <c r="C3" s="57" t="s">
        <v>52</v>
      </c>
      <c r="D3" s="56" t="s">
        <v>42</v>
      </c>
      <c r="E3" s="79" t="s">
        <v>85</v>
      </c>
      <c r="F3" s="79" t="s">
        <v>86</v>
      </c>
      <c r="G3" s="79" t="s">
        <v>87</v>
      </c>
      <c r="H3" s="79" t="s">
        <v>88</v>
      </c>
      <c r="I3" s="56" t="s">
        <v>43</v>
      </c>
    </row>
    <row r="4" spans="1:11" x14ac:dyDescent="0.3">
      <c r="A4" s="24">
        <v>1</v>
      </c>
      <c r="B4" s="24" t="s">
        <v>84</v>
      </c>
      <c r="C4" s="25">
        <f>17.37+16.87+16.81</f>
        <v>51.05</v>
      </c>
      <c r="D4" s="24">
        <v>3</v>
      </c>
      <c r="E4" s="80">
        <v>20</v>
      </c>
      <c r="F4" s="80">
        <f t="shared" ref="F4:F7" si="0">C4*E4</f>
        <v>1021</v>
      </c>
      <c r="G4" s="80">
        <v>0</v>
      </c>
      <c r="H4" s="81">
        <f t="shared" ref="H4:H7" si="1">F4-G4</f>
        <v>1021</v>
      </c>
      <c r="I4" s="24"/>
    </row>
    <row r="5" spans="1:11" x14ac:dyDescent="0.3">
      <c r="A5" s="24">
        <f>A4+1</f>
        <v>2</v>
      </c>
      <c r="B5" s="24" t="s">
        <v>78</v>
      </c>
      <c r="C5" s="25">
        <f>17.07+19.64</f>
        <v>36.71</v>
      </c>
      <c r="D5" s="24">
        <v>2</v>
      </c>
      <c r="E5" s="80">
        <v>20</v>
      </c>
      <c r="F5" s="80">
        <f t="shared" si="0"/>
        <v>734.2</v>
      </c>
      <c r="G5" s="80">
        <v>0</v>
      </c>
      <c r="H5" s="81">
        <f t="shared" si="1"/>
        <v>734.2</v>
      </c>
      <c r="I5" s="24"/>
    </row>
    <row r="6" spans="1:11" x14ac:dyDescent="0.3">
      <c r="A6" s="24">
        <f t="shared" ref="A6:A7" si="2">A5+1</f>
        <v>3</v>
      </c>
      <c r="B6" s="24" t="s">
        <v>79</v>
      </c>
      <c r="C6" s="25">
        <f>5+7.4</f>
        <v>12.4</v>
      </c>
      <c r="D6" s="24">
        <v>2</v>
      </c>
      <c r="E6" s="80">
        <v>20</v>
      </c>
      <c r="F6" s="80">
        <f t="shared" si="0"/>
        <v>248</v>
      </c>
      <c r="G6" s="80">
        <v>0</v>
      </c>
      <c r="H6" s="81">
        <f t="shared" si="1"/>
        <v>248</v>
      </c>
      <c r="I6" s="24"/>
    </row>
    <row r="7" spans="1:11" x14ac:dyDescent="0.3">
      <c r="A7" s="24">
        <f t="shared" si="2"/>
        <v>4</v>
      </c>
      <c r="B7" s="24" t="s">
        <v>96</v>
      </c>
      <c r="C7" s="25">
        <f>8.78+24.9+9.39+3.66</f>
        <v>46.730000000000004</v>
      </c>
      <c r="D7" s="24">
        <v>4</v>
      </c>
      <c r="E7" s="80">
        <v>10</v>
      </c>
      <c r="F7" s="80">
        <f t="shared" si="0"/>
        <v>467.30000000000007</v>
      </c>
      <c r="G7" s="80">
        <v>0</v>
      </c>
      <c r="H7" s="81">
        <f t="shared" si="1"/>
        <v>467.30000000000007</v>
      </c>
      <c r="I7" s="24"/>
    </row>
    <row r="8" spans="1:11" x14ac:dyDescent="0.3">
      <c r="A8" s="11"/>
      <c r="B8" s="11" t="s">
        <v>44</v>
      </c>
      <c r="C8" s="55">
        <f>SUM(C4:C7)</f>
        <v>146.88999999999999</v>
      </c>
      <c r="D8" s="72">
        <f>SUM(D4:D7)</f>
        <v>11</v>
      </c>
      <c r="E8" s="82"/>
      <c r="F8" s="82">
        <f>SUM(F4:F7)</f>
        <v>2470.5</v>
      </c>
      <c r="G8" s="82">
        <f>SUM(G4:G7)</f>
        <v>0</v>
      </c>
      <c r="H8" s="82">
        <f>SUM(H4:H7)</f>
        <v>2470.5</v>
      </c>
      <c r="I8" s="24"/>
    </row>
    <row r="10" spans="1:11" ht="28.8" x14ac:dyDescent="0.3">
      <c r="B10" s="78" t="s">
        <v>53</v>
      </c>
      <c r="K10" s="23"/>
    </row>
    <row r="13" spans="1:11" x14ac:dyDescent="0.3">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2024-04-18T12:12:19Z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