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Users\BDS\OneDrive\Desktop\YELLOW DAIMOND'S\"/>
    </mc:Choice>
  </mc:AlternateContent>
  <xr:revisionPtr revIDLastSave="0" documentId="13_ncr:1_{6BC18262-942F-45C9-9C35-2E050E9F122C}" xr6:coauthVersionLast="47" xr6:coauthVersionMax="47" xr10:uidLastSave="{00000000-0000-0000-0000-000000000000}"/>
  <bookViews>
    <workbookView xWindow="-108" yWindow="-108" windowWidth="23256" windowHeight="13176" activeTab="3" xr2:uid="{00000000-000D-0000-FFFF-FFFF00000000}"/>
  </bookViews>
  <sheets>
    <sheet name="Declaration" sheetId="1" r:id="rId1"/>
    <sheet name="Distributor Claim Sheet" sheetId="2" r:id="rId2"/>
    <sheet name="Mandays" sheetId="3" r:id="rId3"/>
    <sheet name="Scrap stock detail" sheetId="4" r:id="rId4"/>
    <sheet name="Sheet1" sheetId="5" r:id="rId5"/>
  </sheets>
  <definedNames>
    <definedName name="_xlnm._FilterDatabase" localSheetId="0" hidden="1">Declaration!$B$2:$E$29</definedName>
    <definedName name="_xlnm._FilterDatabase" localSheetId="1" hidden="1">'Distributor Claim Sheet'!$A$2:$O$28</definedName>
    <definedName name="_xlnm._FilterDatabase" localSheetId="3" hidden="1">'Scrap stock detail'!$A$3:$I$9</definedName>
    <definedName name="BS">#REF!</definedName>
    <definedName name="da">#REF!</definedName>
    <definedName name="DB_DSM" localSheetId="1">#REF!</definedName>
    <definedName name="DB_DSM">#REF!</definedName>
    <definedName name="DB_DSM1" localSheetId="1">#REF!</definedName>
    <definedName name="DB_DSM1">#REF!</definedName>
    <definedName name="dfdg">#REF!</definedName>
    <definedName name="dsds">#REF!</definedName>
    <definedName name="dsgdg">#REF!</definedName>
    <definedName name="Harsh" localSheetId="1">#REF!</definedName>
    <definedName name="Harsh">#REF!</definedName>
    <definedName name="hs" localSheetId="1">#REF!</definedName>
    <definedName name="hs">#REF!</definedName>
    <definedName name="Kashik" localSheetId="1">#REF!</definedName>
    <definedName name="Kashik">#REF!</definedName>
    <definedName name="_xlnm.Print_Area" localSheetId="0">Declaration!$A$1:$D$34</definedName>
    <definedName name="_xlnm.Print_Area" localSheetId="1">'Distributor Claim Sheet'!$A$1:$P$35</definedName>
    <definedName name="Rahul" localSheetId="1">#REF!</definedName>
    <definedName name="Rahul">#REF!</definedName>
    <definedName name="slnwkfmmfwe\" localSheetId="1">#REF!</definedName>
    <definedName name="slnwkfmmfwe\">#REF!</definedName>
    <definedName name="unnamed" localSheetId="1">#REF!</definedName>
    <definedName name="unnamed">#REF!</definedName>
    <definedName name="unnamed_0" localSheetId="1">#REF!</definedName>
    <definedName name="unnamed_0">#REF!</definedName>
    <definedName name="unnamed_1" localSheetId="1">#REF!</definedName>
    <definedName name="unnamed_1">#REF!</definedName>
    <definedName name="unnamed_2" localSheetId="1">#REF!</definedName>
    <definedName name="unnamed_2">#REF!</definedName>
    <definedName name="unnamed_3" localSheetId="1">#REF!</definedName>
    <definedName name="unnamed_3">#REF!</definedName>
    <definedName name="unnamed_4" localSheetId="1">#REF!</definedName>
    <definedName name="unnamed_4">#REF!</definedName>
    <definedName name="unnamed_5" localSheetId="1">#REF!</definedName>
    <definedName name="unnamed_5">#REF!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4" l="1"/>
  <c r="G9" i="5"/>
  <c r="D9" i="5"/>
  <c r="C7" i="5"/>
  <c r="F7" i="5" s="1"/>
  <c r="H7" i="5" s="1"/>
  <c r="F6" i="5"/>
  <c r="H6" i="5" s="1"/>
  <c r="C5" i="5"/>
  <c r="F5" i="5" s="1"/>
  <c r="H5" i="5" s="1"/>
  <c r="A5" i="5"/>
  <c r="A6" i="5" s="1"/>
  <c r="A7" i="5" s="1"/>
  <c r="C4" i="5"/>
  <c r="F4" i="5" s="1"/>
  <c r="C2" i="5"/>
  <c r="B2" i="5"/>
  <c r="G7" i="2"/>
  <c r="H7" i="2"/>
  <c r="G8" i="2"/>
  <c r="K8" i="2" s="1"/>
  <c r="L8" i="2" s="1"/>
  <c r="H8" i="2"/>
  <c r="G9" i="2"/>
  <c r="H9" i="2"/>
  <c r="G10" i="2"/>
  <c r="H10" i="2"/>
  <c r="G11" i="2"/>
  <c r="K11" i="2" s="1"/>
  <c r="L11" i="2" s="1"/>
  <c r="H11" i="2"/>
  <c r="H12" i="2"/>
  <c r="K12" i="2" s="1"/>
  <c r="L12" i="2" s="1"/>
  <c r="G13" i="2"/>
  <c r="H13" i="2"/>
  <c r="G14" i="2"/>
  <c r="H14" i="2"/>
  <c r="H15" i="2"/>
  <c r="G16" i="2"/>
  <c r="H16" i="2"/>
  <c r="G17" i="2"/>
  <c r="K17" i="2" s="1"/>
  <c r="L17" i="2" s="1"/>
  <c r="H17" i="2"/>
  <c r="G18" i="2"/>
  <c r="H18" i="2"/>
  <c r="H19" i="2"/>
  <c r="H20" i="2"/>
  <c r="G23" i="2"/>
  <c r="H23" i="2"/>
  <c r="G24" i="2"/>
  <c r="K24" i="2" s="1"/>
  <c r="L24" i="2" s="1"/>
  <c r="H24" i="2"/>
  <c r="G25" i="2"/>
  <c r="H25" i="2"/>
  <c r="K25" i="2" s="1"/>
  <c r="L25" i="2" s="1"/>
  <c r="G26" i="2"/>
  <c r="H26" i="2"/>
  <c r="C7" i="4"/>
  <c r="F7" i="4" s="1"/>
  <c r="H7" i="4" s="1"/>
  <c r="J10" i="2"/>
  <c r="J7" i="2"/>
  <c r="J16" i="2"/>
  <c r="K9" i="2"/>
  <c r="L9" i="2" s="1"/>
  <c r="K18" i="2"/>
  <c r="L18" i="2" s="1"/>
  <c r="K20" i="2"/>
  <c r="L20" i="2" s="1"/>
  <c r="C10" i="3"/>
  <c r="A10" i="2"/>
  <c r="A11" i="2"/>
  <c r="A12" i="2" s="1"/>
  <c r="A13" i="2" s="1"/>
  <c r="A14" i="2" s="1"/>
  <c r="A15" i="2" s="1"/>
  <c r="A16" i="2" s="1"/>
  <c r="A17" i="2" s="1"/>
  <c r="A18" i="2" s="1"/>
  <c r="A19" i="2" s="1"/>
  <c r="A20" i="2" s="1"/>
  <c r="A21" i="2" s="1"/>
  <c r="A22" i="2" s="1"/>
  <c r="A23" i="2" s="1"/>
  <c r="A24" i="2" s="1"/>
  <c r="A25" i="2" s="1"/>
  <c r="A26" i="2" s="1"/>
  <c r="A27" i="2" s="1"/>
  <c r="C5" i="4"/>
  <c r="C4" i="4"/>
  <c r="A6" i="3"/>
  <c r="A7" i="3" s="1"/>
  <c r="A8" i="3" s="1"/>
  <c r="A9" i="3" s="1"/>
  <c r="J17" i="2"/>
  <c r="K21" i="2"/>
  <c r="L21" i="2" s="1"/>
  <c r="K26" i="2"/>
  <c r="L26" i="2" s="1"/>
  <c r="K27" i="2"/>
  <c r="L27" i="2" s="1"/>
  <c r="J20" i="2"/>
  <c r="J18" i="2"/>
  <c r="M28" i="2"/>
  <c r="I28" i="2"/>
  <c r="J25" i="2"/>
  <c r="J24" i="2"/>
  <c r="K14" i="2"/>
  <c r="L14" i="2" s="1"/>
  <c r="J14" i="2"/>
  <c r="J13" i="2"/>
  <c r="J12" i="2"/>
  <c r="J11" i="2"/>
  <c r="K15" i="2"/>
  <c r="L15" i="2" s="1"/>
  <c r="J15" i="2"/>
  <c r="J26" i="2"/>
  <c r="J21" i="2"/>
  <c r="K19" i="2"/>
  <c r="L19" i="2" s="1"/>
  <c r="J19" i="2"/>
  <c r="J27" i="2"/>
  <c r="J22" i="2"/>
  <c r="K23" i="2"/>
  <c r="L23" i="2" s="1"/>
  <c r="J23" i="2"/>
  <c r="A5" i="3"/>
  <c r="J9" i="2"/>
  <c r="J8" i="2"/>
  <c r="F6" i="4"/>
  <c r="H6" i="4" s="1"/>
  <c r="G9" i="4"/>
  <c r="D9" i="4"/>
  <c r="H4" i="5" l="1"/>
  <c r="H9" i="5" s="1"/>
  <c r="F9" i="5"/>
  <c r="C9" i="5"/>
  <c r="K16" i="2"/>
  <c r="L16" i="2" s="1"/>
  <c r="N21" i="2"/>
  <c r="O21" i="2" s="1"/>
  <c r="K22" i="2"/>
  <c r="L22" i="2" s="1"/>
  <c r="K13" i="2"/>
  <c r="L13" i="2" s="1"/>
  <c r="F5" i="4"/>
  <c r="H5" i="4" s="1"/>
  <c r="K10" i="2"/>
  <c r="L10" i="2" s="1"/>
  <c r="N27" i="2"/>
  <c r="O27" i="2" s="1"/>
  <c r="N20" i="2"/>
  <c r="O20" i="2" s="1"/>
  <c r="N23" i="2"/>
  <c r="O23" i="2" s="1"/>
  <c r="N26" i="2"/>
  <c r="O26" i="2" s="1"/>
  <c r="N14" i="2"/>
  <c r="O14" i="2" s="1"/>
  <c r="N8" i="2"/>
  <c r="O8" i="2" s="1"/>
  <c r="H28" i="2"/>
  <c r="N24" i="2"/>
  <c r="O24" i="2" s="1"/>
  <c r="N25" i="2"/>
  <c r="O25" i="2" s="1"/>
  <c r="G28" i="2"/>
  <c r="N19" i="2"/>
  <c r="O19" i="2" s="1"/>
  <c r="N17" i="2"/>
  <c r="O17" i="2" s="1"/>
  <c r="N9" i="2"/>
  <c r="O9" i="2" s="1"/>
  <c r="N11" i="2"/>
  <c r="O11" i="2" s="1"/>
  <c r="N18" i="2"/>
  <c r="O18" i="2" s="1"/>
  <c r="J28" i="2"/>
  <c r="N15" i="2"/>
  <c r="O15" i="2" s="1"/>
  <c r="N12" i="2"/>
  <c r="O12" i="2" s="1"/>
  <c r="F4" i="4"/>
  <c r="H4" i="4" s="1"/>
  <c r="H9" i="4" l="1"/>
  <c r="N16" i="2"/>
  <c r="O16" i="2" s="1"/>
  <c r="N22" i="2"/>
  <c r="O22" i="2" s="1"/>
  <c r="N13" i="2"/>
  <c r="O13" i="2" s="1"/>
  <c r="F9" i="4"/>
  <c r="N10" i="2"/>
  <c r="O10" i="2" s="1"/>
  <c r="B30" i="1"/>
  <c r="C2" i="4" l="1"/>
  <c r="D23" i="1"/>
  <c r="B35" i="2"/>
  <c r="F28" i="2"/>
  <c r="H1" i="3" l="1"/>
  <c r="H2" i="3"/>
  <c r="B2" i="3"/>
  <c r="B2" i="4"/>
  <c r="C30" i="1"/>
  <c r="D30" i="1"/>
  <c r="B5" i="2"/>
  <c r="B3" i="2"/>
  <c r="C19" i="1"/>
  <c r="C17" i="1"/>
  <c r="A5" i="4" l="1"/>
  <c r="A6" i="4" s="1"/>
  <c r="A7" i="4" s="1"/>
  <c r="A8" i="2"/>
  <c r="A9" i="2" s="1"/>
  <c r="C18" i="1" l="1"/>
  <c r="K7" i="2"/>
  <c r="K28" i="2" s="1"/>
  <c r="C20" i="1"/>
  <c r="L7" i="2" l="1"/>
  <c r="L28" i="2" s="1"/>
  <c r="C21" i="1"/>
  <c r="N7" i="2"/>
  <c r="N28" i="2" s="1"/>
  <c r="O7" i="2" l="1"/>
  <c r="O28" i="2" s="1"/>
</calcChain>
</file>

<file path=xl/sharedStrings.xml><?xml version="1.0" encoding="utf-8"?>
<sst xmlns="http://schemas.openxmlformats.org/spreadsheetml/2006/main" count="181" uniqueCount="110">
  <si>
    <t>Product Name/ description</t>
  </si>
  <si>
    <t>UOM</t>
  </si>
  <si>
    <t>MRP</t>
  </si>
  <si>
    <t>Date:</t>
  </si>
  <si>
    <t>Disclaimer:-</t>
  </si>
  <si>
    <t>SO/TM</t>
  </si>
  <si>
    <t>1. ASM will be accountable to tear &amp; loose the items from the packets.</t>
  </si>
  <si>
    <t>4.All the required documents as per Checklists are attached with claim summary.</t>
  </si>
  <si>
    <t>Total Customer Sale for mentioned Damage Period: INR</t>
  </si>
  <si>
    <t>DB/SS/SD</t>
  </si>
  <si>
    <t>SUMMARY - PHYSICAL  VERIFICATION  OF DAMAGED/EXPIRY STOCK</t>
  </si>
  <si>
    <t>Auditee Name (Distributor)</t>
  </si>
  <si>
    <t>ADDRESS</t>
  </si>
  <si>
    <t>NAME OF THE AUDITOR</t>
  </si>
  <si>
    <t>Key person Name (Auditee)</t>
  </si>
  <si>
    <t>Contact Number of Key person</t>
  </si>
  <si>
    <t>Start date</t>
  </si>
  <si>
    <t>Start time</t>
  </si>
  <si>
    <t>Completion date</t>
  </si>
  <si>
    <t>Completion time</t>
  </si>
  <si>
    <t>Summary and Confirmation as on Audit Date</t>
  </si>
  <si>
    <t>VALUE IN QUANTITY (pieces)</t>
  </si>
  <si>
    <t>DAMAGED STOCK</t>
  </si>
  <si>
    <t>CARTONS DETAIL   - STOCK PACKED AND SEALED IN AFTER VERIFICATION</t>
  </si>
  <si>
    <t xml:space="preserve">Signature </t>
  </si>
  <si>
    <t>Signature</t>
  </si>
  <si>
    <t>Seal/Stamp</t>
  </si>
  <si>
    <t>CONTACT NUMBER OF SO</t>
  </si>
  <si>
    <t>Book Qty</t>
  </si>
  <si>
    <t xml:space="preserve">This is to certify and confirm that Auditors have carried out a 100%  physical verification and packing of  all the damaged and expired stocks in the premises on the date as mentioned above and in relevant annexures.. We have produced and shown all the stocks to auditors and no stock has been left for verification and packing. All the stock verified have been packed in presence of me and auditors. The same has been reported in the respective  Stock Annexures. This is also to declare that we have produced the end claim up to till audit date. No stock is pending to claim on the date of sign-off.                                                                                                                                                                                                  We agree and confirm the report.                                                                                                         </t>
  </si>
  <si>
    <t>Pcs</t>
  </si>
  <si>
    <t>Scrapper sign</t>
  </si>
  <si>
    <t>Attendance Sheet</t>
  </si>
  <si>
    <t>Sl No.</t>
  </si>
  <si>
    <t>Date wise Entry</t>
  </si>
  <si>
    <t>In Timing</t>
  </si>
  <si>
    <t>Out Timing</t>
  </si>
  <si>
    <t xml:space="preserve">Name of DB  Incharge </t>
  </si>
  <si>
    <t xml:space="preserve">Sign off from DB Incharge </t>
  </si>
  <si>
    <t xml:space="preserve">Manday's </t>
  </si>
  <si>
    <t xml:space="preserve">S.no. </t>
  </si>
  <si>
    <t xml:space="preserve">Name Of Auditor </t>
  </si>
  <si>
    <t xml:space="preserve">Material Bags Qty. </t>
  </si>
  <si>
    <t xml:space="preserve">Remark </t>
  </si>
  <si>
    <t xml:space="preserve">Total  </t>
  </si>
  <si>
    <t>Weight (  GRM)</t>
  </si>
  <si>
    <t>Weight Per Pcs. (Gram)</t>
  </si>
  <si>
    <t>Total Weight Qty. (Kg)</t>
  </si>
  <si>
    <t>SO/ASM PRESENT DURING AUDIT (NAME)</t>
  </si>
  <si>
    <t>Customer Claim Sheet : For Damage /Expiry Stock</t>
  </si>
  <si>
    <t>Godown Expire</t>
  </si>
  <si>
    <t>Market Expire</t>
  </si>
  <si>
    <t>Actual weight KG</t>
  </si>
  <si>
    <t>Note:-  All  Wrapper bags  Handover to Db's for Submitted Back to Yellow Daimond</t>
  </si>
  <si>
    <t>Empty Packet/Rat Bitten</t>
  </si>
  <si>
    <t>EMPTY PACKET/RAT BITTEN STOCK</t>
  </si>
  <si>
    <t>BOOK QTY.</t>
  </si>
  <si>
    <t>PHYSICAL QTY.</t>
  </si>
  <si>
    <t>Damage Stock</t>
  </si>
  <si>
    <t>Short/Excess Qty.</t>
  </si>
  <si>
    <t>Total Physical Qty</t>
  </si>
  <si>
    <t>Expiry Date</t>
  </si>
  <si>
    <t>TOTAL NUMBER OF SEALED BAGS/CARTONS FOR SCRAPPER HANDED OVER TO DISTRIBUTOR</t>
  </si>
  <si>
    <t>GODOWN EXPIRY</t>
  </si>
  <si>
    <t>MARKET EXPIRY</t>
  </si>
  <si>
    <t>S.No</t>
  </si>
  <si>
    <t>TOTAL QUANTITY</t>
  </si>
  <si>
    <t xml:space="preserve"> </t>
  </si>
  <si>
    <t>Total Staff For Audit</t>
  </si>
  <si>
    <t>Customer Name:-</t>
  </si>
  <si>
    <t>Customer Code:-</t>
  </si>
  <si>
    <t>Customer Address:-</t>
  </si>
  <si>
    <t>Product Name</t>
  </si>
  <si>
    <t>Auditor:</t>
  </si>
  <si>
    <t xml:space="preserve">SO: </t>
  </si>
  <si>
    <t xml:space="preserve">Name of Distributor: </t>
  </si>
  <si>
    <t xml:space="preserve">Chips </t>
  </si>
  <si>
    <t>Chulbule</t>
  </si>
  <si>
    <t>Namkeen</t>
  </si>
  <si>
    <t>Ring</t>
  </si>
  <si>
    <t>Avadh</t>
  </si>
  <si>
    <t>Puff</t>
  </si>
  <si>
    <t>Popcorn</t>
  </si>
  <si>
    <t>Chips</t>
  </si>
  <si>
    <t>Rate/KG</t>
  </si>
  <si>
    <t>Scrap Amount</t>
  </si>
  <si>
    <t>Pay Amount</t>
  </si>
  <si>
    <t>Balance</t>
  </si>
  <si>
    <t>Wheels</t>
  </si>
  <si>
    <t>BAJRANG TRADING COMPANY</t>
  </si>
  <si>
    <t>Prince</t>
  </si>
  <si>
    <t>12:00PM</t>
  </si>
  <si>
    <t>06:30PM</t>
  </si>
  <si>
    <t>10:00AM</t>
  </si>
  <si>
    <t>Stix</t>
  </si>
  <si>
    <t>Mintoz</t>
  </si>
  <si>
    <t>Mini Bites</t>
  </si>
  <si>
    <t>Pipe</t>
  </si>
  <si>
    <t>Noodles</t>
  </si>
  <si>
    <t>Scoop</t>
  </si>
  <si>
    <t>party toy</t>
  </si>
  <si>
    <t>H1-496(F) PHASE-1, RIICO INDL AREA BHIWADI RAJASTHAN</t>
  </si>
  <si>
    <t>RAJEEV KUMAR</t>
  </si>
  <si>
    <t>N/A</t>
  </si>
  <si>
    <t>05:30PM</t>
  </si>
  <si>
    <t>RAJEEV</t>
  </si>
  <si>
    <t>09:55PM</t>
  </si>
  <si>
    <t>GANSHYAM DAS GUPTA</t>
  </si>
  <si>
    <t>MINI BITES,STIX,MINTOZ,WHEELS,NOODLES</t>
  </si>
  <si>
    <t>Ring,AVADH,SCOOP,PIPE,PARTY TOY,PUFF,POPCORN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</si>
</sst>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 #,##0.00_ ;_ * \-#,##0.00_ ;_ * &quot;-&quot;??_ ;_ @_ "/>
    <numFmt numFmtId="164" formatCode="m/d/yyyy"/>
    <numFmt numFmtId="165" formatCode="_ * #,##0_ ;_ * \-#,##0_ ;_ * &quot;-&quot;??_ ;_ @_ "/>
    <numFmt numFmtId="166" formatCode="mmm\-yy"/>
    <numFmt numFmtId="167" formatCode="_ * #,##0.0_ ;_ * \-#,##0.0_ ;_ * &quot;-&quot;??_ ;_ @_ "/>
    <numFmt numFmtId="168" formatCode="h:mm"/>
    <numFmt numFmtId="169" formatCode="[$-409]d/mmm/yy;@"/>
  </numFmts>
  <fonts count="35" x14ac:knownFonts="1">
    <font>
      <sz val="11"/>
      <name val="Calibri"/>
    </font>
    <font>
      <sz val="11"/>
      <color indexed="8"/>
      <name val="Calibri"/>
      <family val="2"/>
    </font>
    <font>
      <sz val="11"/>
      <name val="Calibri"/>
      <family val="2"/>
    </font>
    <font>
      <b/>
      <sz val="12"/>
      <color rgb="FFFFFFFF"/>
      <name val="Calibri"/>
      <family val="2"/>
    </font>
    <font>
      <b/>
      <sz val="11"/>
      <name val="Calibri"/>
      <family val="2"/>
    </font>
    <font>
      <b/>
      <sz val="10"/>
      <name val="Calibri"/>
      <family val="2"/>
    </font>
    <font>
      <b/>
      <sz val="9"/>
      <color rgb="FF000000"/>
      <name val="Arial"/>
      <family val="2"/>
    </font>
    <font>
      <b/>
      <sz val="11"/>
      <color indexed="8"/>
      <name val="Calibri"/>
      <family val="2"/>
    </font>
    <font>
      <sz val="11"/>
      <name val="Calibri"/>
      <family val="2"/>
    </font>
    <font>
      <sz val="10"/>
      <color rgb="FF000000"/>
      <name val="Arial"/>
      <family val="2"/>
    </font>
    <font>
      <b/>
      <sz val="10"/>
      <color rgb="FF000000"/>
      <name val="Arial"/>
      <family val="2"/>
    </font>
    <font>
      <sz val="8"/>
      <color rgb="FF000000"/>
      <name val="Arial"/>
      <family val="2"/>
    </font>
    <font>
      <b/>
      <sz val="8"/>
      <color rgb="FF000000"/>
      <name val="Arial"/>
      <family val="2"/>
    </font>
    <font>
      <sz val="9"/>
      <color rgb="FF000000"/>
      <name val="Calibri"/>
      <family val="2"/>
    </font>
    <font>
      <sz val="10"/>
      <name val="Arial"/>
      <family val="2"/>
    </font>
    <font>
      <b/>
      <u/>
      <sz val="11"/>
      <color rgb="FF000000"/>
      <name val="Calibri"/>
      <family val="2"/>
    </font>
    <font>
      <sz val="11"/>
      <name val="Calibri"/>
      <family val="2"/>
    </font>
    <font>
      <sz val="9"/>
      <color indexed="8"/>
      <name val="Calibri"/>
      <family val="2"/>
    </font>
    <font>
      <b/>
      <sz val="9"/>
      <color indexed="8"/>
      <name val="Calibri"/>
      <family val="2"/>
    </font>
    <font>
      <b/>
      <sz val="9"/>
      <name val="Calibri"/>
      <family val="2"/>
    </font>
    <font>
      <sz val="10"/>
      <name val="Arial"/>
      <family val="2"/>
    </font>
    <font>
      <sz val="11"/>
      <name val="Calibri"/>
      <family val="2"/>
    </font>
    <font>
      <sz val="11"/>
      <color indexed="8"/>
      <name val="Calibri"/>
      <family val="2"/>
    </font>
    <font>
      <b/>
      <sz val="11"/>
      <name val="Calibri"/>
      <family val="2"/>
    </font>
    <font>
      <sz val="11"/>
      <name val="Calibri"/>
      <family val="2"/>
    </font>
    <font>
      <sz val="10"/>
      <color rgb="FF000000"/>
      <name val="Calibri"/>
      <family val="2"/>
      <scheme val="minor"/>
    </font>
    <font>
      <b/>
      <sz val="10"/>
      <name val="Calibri"/>
      <family val="2"/>
      <scheme val="minor"/>
    </font>
    <font>
      <b/>
      <sz val="10"/>
      <color rgb="FF000000"/>
      <name val="Calibri"/>
      <family val="2"/>
      <scheme val="minor"/>
    </font>
    <font>
      <sz val="10"/>
      <name val="Calibri"/>
      <family val="2"/>
      <scheme val="minor"/>
    </font>
    <font>
      <b/>
      <u/>
      <sz val="10"/>
      <color rgb="FF000000"/>
      <name val="Calibri"/>
      <family val="2"/>
      <scheme val="minor"/>
    </font>
    <font>
      <sz val="9"/>
      <color indexed="8"/>
      <name val="Calibri"/>
      <family val="2"/>
    </font>
    <font>
      <sz val="9"/>
      <color rgb="FF000000"/>
      <name val="Calibri"/>
      <family val="2"/>
    </font>
    <font>
      <sz val="9"/>
      <name val="Calibri"/>
      <family val="2"/>
    </font>
    <font>
      <b/>
      <sz val="10"/>
      <color theme="0"/>
      <name val="Calibri"/>
      <family val="2"/>
      <scheme val="minor"/>
    </font>
    <font>
      <b/>
      <sz val="11"/>
      <color rgb="FFFF0000"/>
      <name val="Calibri"/>
      <family val="2"/>
    </font>
  </fonts>
  <fills count="16">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0F253F"/>
        <bgColor indexed="64"/>
      </patternFill>
    </fill>
    <fill>
      <patternFill patternType="solid">
        <fgColor rgb="FFFFFF00"/>
        <bgColor indexed="64"/>
      </patternFill>
    </fill>
    <fill>
      <patternFill patternType="solid">
        <fgColor rgb="FFFABF8F"/>
        <bgColor indexed="64"/>
      </patternFill>
    </fill>
    <fill>
      <patternFill patternType="solid">
        <fgColor rgb="FFFFC000"/>
        <bgColor indexed="64"/>
      </patternFill>
    </fill>
    <fill>
      <patternFill patternType="solid">
        <fgColor rgb="FFBFBFBF"/>
        <bgColor indexed="64"/>
      </patternFill>
    </fill>
    <fill>
      <patternFill patternType="solid">
        <fgColor rgb="FFDDD9C3"/>
        <bgColor indexed="64"/>
      </patternFill>
    </fill>
    <fill>
      <patternFill patternType="solid">
        <fgColor rgb="FFA5A5A5"/>
        <bgColor indexed="64"/>
      </patternFill>
    </fill>
    <fill>
      <patternFill patternType="solid">
        <fgColor rgb="FFFFFFFF"/>
        <bgColor indexed="41"/>
      </patternFill>
    </fill>
    <fill>
      <patternFill patternType="solid">
        <fgColor rgb="FFF2F2F2"/>
        <bgColor indexed="19"/>
      </patternFill>
    </fill>
    <fill>
      <patternFill patternType="solid">
        <fgColor theme="9" tint="0.39997558519241921"/>
        <bgColor indexed="64"/>
      </patternFill>
    </fill>
    <fill>
      <patternFill patternType="solid">
        <fgColor theme="0" tint="-0.499984740745262"/>
        <bgColor indexed="64"/>
      </patternFill>
    </fill>
    <fill>
      <patternFill patternType="solid">
        <fgColor rgb="FFFFFF99"/>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s>
  <cellStyleXfs count="7">
    <xf numFmtId="0" fontId="0" fillId="0" borderId="0">
      <alignment vertical="center"/>
    </xf>
    <xf numFmtId="0" fontId="1" fillId="0" borderId="0">
      <protection locked="0"/>
    </xf>
    <xf numFmtId="0" fontId="20" fillId="0" borderId="0">
      <protection locked="0"/>
    </xf>
    <xf numFmtId="43" fontId="21" fillId="0" borderId="0">
      <protection locked="0"/>
    </xf>
    <xf numFmtId="0" fontId="14" fillId="0" borderId="0">
      <protection locked="0"/>
    </xf>
    <xf numFmtId="0" fontId="22" fillId="0" borderId="0">
      <protection locked="0"/>
    </xf>
    <xf numFmtId="0" fontId="14" fillId="0" borderId="0">
      <protection locked="0"/>
    </xf>
  </cellStyleXfs>
  <cellXfs count="134">
    <xf numFmtId="0" fontId="0" fillId="0" borderId="0" xfId="0">
      <alignment vertical="center"/>
    </xf>
    <xf numFmtId="0" fontId="1" fillId="2" borderId="0" xfId="1" applyFill="1" applyProtection="1"/>
    <xf numFmtId="0" fontId="2" fillId="3" borderId="0" xfId="0" applyFont="1" applyFill="1" applyAlignment="1"/>
    <xf numFmtId="0" fontId="4" fillId="2" borderId="1" xfId="0" applyFont="1" applyFill="1" applyBorder="1" applyProtection="1">
      <alignment vertical="center"/>
      <protection hidden="1"/>
    </xf>
    <xf numFmtId="0" fontId="4" fillId="2" borderId="1" xfId="0" applyFont="1" applyFill="1" applyBorder="1" applyAlignment="1" applyProtection="1">
      <alignment horizontal="left" wrapText="1"/>
      <protection hidden="1"/>
    </xf>
    <xf numFmtId="0" fontId="4" fillId="2" borderId="1" xfId="0" applyFont="1" applyFill="1" applyBorder="1" applyAlignment="1" applyProtection="1">
      <alignment horizontal="left" vertical="center" wrapText="1"/>
      <protection hidden="1"/>
    </xf>
    <xf numFmtId="0" fontId="5" fillId="2" borderId="1" xfId="0" applyFont="1" applyFill="1" applyBorder="1" applyAlignment="1" applyProtection="1">
      <protection hidden="1"/>
    </xf>
    <xf numFmtId="0" fontId="4" fillId="2" borderId="1" xfId="0" applyFont="1" applyFill="1" applyBorder="1" applyAlignment="1" applyProtection="1">
      <protection hidden="1"/>
    </xf>
    <xf numFmtId="0" fontId="7" fillId="2" borderId="1" xfId="1" applyFont="1" applyFill="1" applyBorder="1" applyAlignment="1" applyProtection="1">
      <alignment horizontal="right"/>
    </xf>
    <xf numFmtId="0" fontId="8" fillId="0" borderId="1" xfId="1" applyFont="1" applyBorder="1" applyProtection="1"/>
    <xf numFmtId="0" fontId="4" fillId="0" borderId="1" xfId="1" applyFont="1" applyBorder="1" applyProtection="1"/>
    <xf numFmtId="0" fontId="2" fillId="5" borderId="1" xfId="0" applyFont="1" applyFill="1" applyBorder="1">
      <alignment vertical="center"/>
    </xf>
    <xf numFmtId="0" fontId="2" fillId="0" borderId="0" xfId="0" applyFont="1" applyAlignment="1"/>
    <xf numFmtId="0" fontId="10" fillId="3" borderId="1" xfId="0" applyFont="1" applyFill="1" applyBorder="1" applyAlignment="1"/>
    <xf numFmtId="0" fontId="6" fillId="3" borderId="1" xfId="0" applyFont="1" applyFill="1" applyBorder="1" applyAlignment="1"/>
    <xf numFmtId="0" fontId="11" fillId="3" borderId="1" xfId="0" applyFont="1" applyFill="1" applyBorder="1" applyAlignment="1"/>
    <xf numFmtId="0" fontId="12" fillId="3" borderId="1" xfId="0" applyFont="1" applyFill="1" applyBorder="1">
      <alignment vertical="center"/>
    </xf>
    <xf numFmtId="0" fontId="15" fillId="0" borderId="0" xfId="0" applyFont="1" applyAlignment="1">
      <alignment horizontal="left"/>
    </xf>
    <xf numFmtId="0" fontId="16" fillId="0" borderId="0" xfId="0" applyFont="1" applyAlignment="1">
      <alignment wrapText="1"/>
    </xf>
    <xf numFmtId="0" fontId="16" fillId="0" borderId="0" xfId="0" applyFont="1" applyAlignment="1"/>
    <xf numFmtId="2" fontId="18" fillId="12" borderId="1" xfId="5" applyNumberFormat="1" applyFont="1" applyFill="1" applyBorder="1" applyAlignment="1" applyProtection="1">
      <alignment horizontal="center" vertical="center" wrapText="1"/>
    </xf>
    <xf numFmtId="0" fontId="18" fillId="12" borderId="1" xfId="5" applyFont="1" applyFill="1" applyBorder="1" applyAlignment="1" applyProtection="1">
      <alignment horizontal="center" vertical="center" wrapText="1"/>
    </xf>
    <xf numFmtId="0" fontId="19" fillId="12" borderId="1" xfId="5" applyFont="1" applyFill="1" applyBorder="1" applyAlignment="1" applyProtection="1">
      <alignment horizontal="center" vertical="center" wrapText="1"/>
    </xf>
    <xf numFmtId="0" fontId="8" fillId="0" borderId="0" xfId="0" applyFont="1">
      <alignment vertical="center"/>
    </xf>
    <xf numFmtId="0" fontId="2" fillId="0" borderId="1" xfId="0" applyFont="1" applyBorder="1">
      <alignment vertical="center"/>
    </xf>
    <xf numFmtId="43" fontId="2" fillId="0" borderId="1" xfId="3" applyFont="1" applyBorder="1" applyAlignment="1" applyProtection="1">
      <alignment vertical="center"/>
    </xf>
    <xf numFmtId="0" fontId="25" fillId="0" borderId="0" xfId="0" applyFont="1" applyAlignment="1">
      <alignment horizontal="center" vertical="top"/>
    </xf>
    <xf numFmtId="0" fontId="27" fillId="5" borderId="2" xfId="0" applyFont="1" applyFill="1" applyBorder="1" applyAlignment="1">
      <alignment horizontal="center" vertical="center"/>
    </xf>
    <xf numFmtId="166" fontId="25" fillId="7" borderId="1" xfId="0" applyNumberFormat="1" applyFont="1" applyFill="1" applyBorder="1" applyAlignment="1">
      <alignment vertical="top"/>
    </xf>
    <xf numFmtId="166" fontId="25" fillId="0" borderId="15" xfId="0" applyNumberFormat="1" applyFont="1" applyBorder="1" applyAlignment="1">
      <alignment vertical="top"/>
    </xf>
    <xf numFmtId="0" fontId="27" fillId="8" borderId="1" xfId="0" applyFont="1" applyFill="1" applyBorder="1" applyAlignment="1">
      <alignment horizontal="center" vertical="center" wrapText="1"/>
    </xf>
    <xf numFmtId="0" fontId="27" fillId="5" borderId="1" xfId="0" applyFont="1" applyFill="1" applyBorder="1" applyAlignment="1">
      <alignment horizontal="center" vertical="center" wrapText="1"/>
    </xf>
    <xf numFmtId="0" fontId="27" fillId="6" borderId="1" xfId="0" applyFont="1" applyFill="1" applyBorder="1" applyAlignment="1">
      <alignment horizontal="center" vertical="center" wrapText="1"/>
    </xf>
    <xf numFmtId="0" fontId="27" fillId="7" borderId="1" xfId="0" applyFont="1" applyFill="1" applyBorder="1" applyAlignment="1">
      <alignment horizontal="center" vertical="center" wrapText="1"/>
    </xf>
    <xf numFmtId="0" fontId="27" fillId="9" borderId="1" xfId="0" applyFont="1" applyFill="1" applyBorder="1" applyAlignment="1">
      <alignment horizontal="center" vertical="center" wrapText="1"/>
    </xf>
    <xf numFmtId="0" fontId="27" fillId="5" borderId="1" xfId="0" applyFont="1" applyFill="1" applyBorder="1" applyAlignment="1">
      <alignment horizontal="center" vertical="top" wrapText="1"/>
    </xf>
    <xf numFmtId="0" fontId="25" fillId="0" borderId="0" xfId="0" applyFont="1" applyAlignment="1">
      <alignment horizontal="center" vertical="top" wrapText="1"/>
    </xf>
    <xf numFmtId="0" fontId="25" fillId="0" borderId="1" xfId="0" applyFont="1" applyBorder="1" applyAlignment="1">
      <alignment horizontal="center" vertical="center"/>
    </xf>
    <xf numFmtId="0" fontId="28" fillId="0" borderId="1" xfId="4" applyFont="1" applyBorder="1" applyAlignment="1" applyProtection="1">
      <alignment horizontal="center" vertical="top"/>
    </xf>
    <xf numFmtId="43" fontId="25" fillId="0" borderId="0" xfId="0" applyNumberFormat="1" applyFont="1" applyAlignment="1">
      <alignment horizontal="center" vertical="top"/>
    </xf>
    <xf numFmtId="0" fontId="25" fillId="0" borderId="1" xfId="0" applyFont="1" applyBorder="1" applyAlignment="1">
      <alignment horizontal="center" vertical="top"/>
    </xf>
    <xf numFmtId="0" fontId="27" fillId="0" borderId="1" xfId="0" applyFont="1" applyBorder="1">
      <alignment vertical="center"/>
    </xf>
    <xf numFmtId="0" fontId="27" fillId="0" borderId="1" xfId="0" applyFont="1" applyBorder="1" applyAlignment="1">
      <alignment horizontal="center" vertical="center"/>
    </xf>
    <xf numFmtId="43" fontId="27" fillId="10" borderId="1" xfId="3" applyFont="1" applyFill="1" applyBorder="1" applyAlignment="1" applyProtection="1">
      <alignment horizontal="center" vertical="top"/>
    </xf>
    <xf numFmtId="0" fontId="27" fillId="0" borderId="0" xfId="0" applyFont="1" applyAlignment="1">
      <alignment horizontal="center" vertical="top"/>
    </xf>
    <xf numFmtId="0" fontId="27" fillId="0" borderId="0" xfId="0" applyFont="1">
      <alignment vertical="center"/>
    </xf>
    <xf numFmtId="0" fontId="25" fillId="0" borderId="16" xfId="0" applyFont="1" applyBorder="1" applyAlignment="1">
      <alignment horizontal="center" vertical="top"/>
    </xf>
    <xf numFmtId="0" fontId="25" fillId="0" borderId="17" xfId="0" applyFont="1" applyBorder="1" applyAlignment="1">
      <alignment horizontal="center" vertical="top"/>
    </xf>
    <xf numFmtId="0" fontId="23" fillId="13" borderId="0" xfId="0" applyFont="1" applyFill="1">
      <alignment vertical="center"/>
    </xf>
    <xf numFmtId="0" fontId="30" fillId="0" borderId="1" xfId="5" applyFont="1" applyBorder="1" applyAlignment="1" applyProtection="1">
      <alignment horizontal="center" vertical="center"/>
    </xf>
    <xf numFmtId="0" fontId="23" fillId="13" borderId="0" xfId="0" applyFont="1" applyFill="1" applyAlignment="1">
      <alignment horizontal="center" vertical="center"/>
    </xf>
    <xf numFmtId="43" fontId="23" fillId="5" borderId="1" xfId="3" applyFont="1" applyFill="1" applyBorder="1" applyAlignment="1" applyProtection="1">
      <alignment vertical="center"/>
    </xf>
    <xf numFmtId="0" fontId="2" fillId="10" borderId="1" xfId="0" applyFont="1" applyFill="1" applyBorder="1">
      <alignment vertical="center"/>
    </xf>
    <xf numFmtId="0" fontId="2" fillId="10" borderId="1" xfId="0" applyFont="1" applyFill="1" applyBorder="1" applyAlignment="1">
      <alignment horizontal="center" vertical="center" wrapText="1"/>
    </xf>
    <xf numFmtId="0" fontId="33" fillId="14" borderId="7" xfId="0" applyFont="1" applyFill="1" applyBorder="1" applyAlignment="1">
      <alignment horizontal="left" vertical="top"/>
    </xf>
    <xf numFmtId="0" fontId="33" fillId="14" borderId="13" xfId="0" applyFont="1" applyFill="1" applyBorder="1" applyAlignment="1">
      <alignment horizontal="left" vertical="center"/>
    </xf>
    <xf numFmtId="0" fontId="2" fillId="10" borderId="1" xfId="0" applyFont="1" applyFill="1" applyBorder="1" applyAlignment="1">
      <alignment horizontal="center" vertical="center"/>
    </xf>
    <xf numFmtId="168" fontId="17" fillId="0" borderId="1" xfId="5" applyNumberFormat="1" applyFont="1" applyBorder="1" applyAlignment="1" applyProtection="1">
      <alignment horizontal="center" vertical="center" wrapText="1"/>
    </xf>
    <xf numFmtId="0" fontId="26" fillId="0" borderId="1" xfId="4" applyFont="1" applyBorder="1" applyAlignment="1" applyProtection="1">
      <alignment horizontal="left" vertical="top"/>
    </xf>
    <xf numFmtId="165" fontId="27" fillId="15" borderId="1" xfId="3" applyNumberFormat="1" applyFont="1" applyFill="1" applyBorder="1" applyAlignment="1" applyProtection="1">
      <alignment horizontal="center" vertical="top"/>
    </xf>
    <xf numFmtId="43" fontId="27" fillId="15" borderId="1" xfId="3" applyFont="1" applyFill="1" applyBorder="1" applyAlignment="1" applyProtection="1">
      <alignment horizontal="center" vertical="top"/>
    </xf>
    <xf numFmtId="0" fontId="18" fillId="12" borderId="1" xfId="5" applyFont="1" applyFill="1" applyBorder="1" applyAlignment="1" applyProtection="1">
      <alignment horizontal="center" vertical="center"/>
    </xf>
    <xf numFmtId="0" fontId="18" fillId="0" borderId="1" xfId="5" applyFont="1" applyBorder="1" applyAlignment="1" applyProtection="1">
      <alignment horizontal="center" vertical="center"/>
    </xf>
    <xf numFmtId="0" fontId="17" fillId="0" borderId="1" xfId="5" applyFont="1" applyBorder="1" applyAlignment="1" applyProtection="1">
      <alignment horizontal="center" vertical="center"/>
    </xf>
    <xf numFmtId="0" fontId="32" fillId="0" borderId="1" xfId="5" applyFont="1" applyBorder="1" applyAlignment="1" applyProtection="1">
      <alignment horizontal="center" vertical="center" wrapText="1"/>
    </xf>
    <xf numFmtId="169" fontId="31" fillId="0" borderId="1" xfId="0" applyNumberFormat="1" applyFont="1" applyBorder="1" applyAlignment="1">
      <alignment horizontal="center" vertical="center"/>
    </xf>
    <xf numFmtId="15" fontId="27" fillId="0" borderId="1" xfId="0" applyNumberFormat="1" applyFont="1" applyBorder="1" applyAlignment="1">
      <alignment horizontal="center" vertical="center"/>
    </xf>
    <xf numFmtId="165" fontId="23" fillId="5" borderId="1" xfId="3" applyNumberFormat="1" applyFont="1" applyFill="1" applyBorder="1" applyAlignment="1" applyProtection="1">
      <alignment vertical="center"/>
    </xf>
    <xf numFmtId="165" fontId="23" fillId="5" borderId="1" xfId="0" applyNumberFormat="1" applyFont="1" applyFill="1" applyBorder="1" applyAlignment="1">
      <alignment horizontal="center" vertical="center"/>
    </xf>
    <xf numFmtId="15" fontId="4" fillId="0" borderId="18" xfId="0" applyNumberFormat="1" applyFont="1" applyBorder="1" applyAlignment="1">
      <alignment horizontal="center" vertical="center"/>
    </xf>
    <xf numFmtId="0" fontId="0" fillId="0" borderId="18" xfId="0" applyBorder="1" applyAlignment="1">
      <alignment horizontal="center" vertical="center"/>
    </xf>
    <xf numFmtId="0" fontId="0" fillId="0" borderId="0" xfId="0" applyAlignment="1">
      <alignment vertical="center" wrapText="1"/>
    </xf>
    <xf numFmtId="0" fontId="4" fillId="5" borderId="1" xfId="0" applyFont="1" applyFill="1" applyBorder="1" applyAlignment="1">
      <alignment horizontal="center" vertical="center"/>
    </xf>
    <xf numFmtId="43" fontId="2" fillId="0" borderId="1" xfId="3" applyFont="1" applyBorder="1" applyAlignment="1" applyProtection="1">
      <alignment vertical="center" wrapText="1"/>
    </xf>
    <xf numFmtId="43" fontId="34" fillId="0" borderId="1" xfId="3" applyFont="1" applyBorder="1" applyAlignment="1" applyProtection="1">
      <alignment vertical="center" wrapText="1"/>
    </xf>
    <xf numFmtId="43" fontId="4" fillId="5" borderId="1" xfId="3" applyFont="1" applyFill="1" applyBorder="1" applyAlignment="1" applyProtection="1">
      <alignment vertical="center"/>
    </xf>
    <xf numFmtId="43" fontId="25" fillId="0" borderId="1" xfId="3" applyFont="1" applyBorder="1" applyAlignment="1" applyProtection="1">
      <alignment horizontal="center" vertical="center"/>
    </xf>
    <xf numFmtId="167" fontId="28" fillId="0" borderId="1" xfId="3" applyNumberFormat="1" applyFont="1" applyBorder="1">
      <protection locked="0"/>
    </xf>
    <xf numFmtId="165" fontId="27" fillId="15" borderId="1" xfId="3" applyNumberFormat="1" applyFont="1" applyFill="1" applyBorder="1" applyAlignment="1" applyProtection="1">
      <alignment horizontal="center" vertical="center"/>
    </xf>
    <xf numFmtId="164" fontId="25" fillId="0" borderId="1" xfId="0" applyNumberFormat="1" applyFont="1" applyBorder="1" applyAlignment="1">
      <alignment horizontal="center" vertical="center"/>
    </xf>
    <xf numFmtId="15" fontId="13" fillId="0" borderId="1" xfId="0" applyNumberFormat="1" applyFont="1" applyBorder="1" applyAlignment="1">
      <alignment horizontal="center" vertical="center"/>
    </xf>
    <xf numFmtId="15" fontId="17" fillId="11" borderId="1" xfId="5" applyNumberFormat="1" applyFont="1" applyFill="1" applyBorder="1" applyAlignment="1" applyProtection="1">
      <alignment horizontal="center" vertical="center"/>
    </xf>
    <xf numFmtId="14" fontId="25" fillId="0" borderId="0" xfId="0" applyNumberFormat="1" applyFont="1" applyAlignment="1">
      <alignment horizontal="center" vertical="top"/>
    </xf>
    <xf numFmtId="0" fontId="17" fillId="0" borderId="1" xfId="5" applyFont="1" applyBorder="1" applyAlignment="1" applyProtection="1">
      <alignment horizontal="center" vertical="center" wrapText="1"/>
    </xf>
    <xf numFmtId="165" fontId="4" fillId="0" borderId="2" xfId="3" applyNumberFormat="1" applyFont="1" applyBorder="1" applyAlignment="1" applyProtection="1">
      <alignment horizontal="center"/>
    </xf>
    <xf numFmtId="165" fontId="4" fillId="0" borderId="3" xfId="3" applyNumberFormat="1" applyFont="1" applyBorder="1" applyAlignment="1" applyProtection="1">
      <alignment horizontal="center"/>
    </xf>
    <xf numFmtId="2" fontId="9" fillId="3" borderId="1" xfId="0" applyNumberFormat="1" applyFont="1" applyFill="1" applyBorder="1" applyAlignment="1">
      <alignment horizontal="left" vertical="center" wrapText="1"/>
    </xf>
    <xf numFmtId="0" fontId="24" fillId="2" borderId="1" xfId="0" applyFont="1" applyFill="1" applyBorder="1" applyAlignment="1" applyProtection="1">
      <alignment horizontal="center" vertical="center" wrapText="1"/>
      <protection hidden="1"/>
    </xf>
    <xf numFmtId="0" fontId="7" fillId="3" borderId="1" xfId="1" applyFont="1" applyFill="1" applyBorder="1" applyAlignment="1" applyProtection="1">
      <alignment horizontal="center" vertical="center"/>
    </xf>
    <xf numFmtId="165" fontId="4" fillId="0" borderId="2" xfId="3" applyNumberFormat="1" applyFont="1" applyBorder="1" applyProtection="1"/>
    <xf numFmtId="165" fontId="4" fillId="0" borderId="3" xfId="3" applyNumberFormat="1" applyFont="1" applyBorder="1" applyProtection="1"/>
    <xf numFmtId="15" fontId="24" fillId="2" borderId="1" xfId="0" applyNumberFormat="1" applyFont="1" applyFill="1" applyBorder="1" applyAlignment="1" applyProtection="1">
      <alignment horizontal="center" vertical="center" wrapText="1"/>
      <protection hidden="1"/>
    </xf>
    <xf numFmtId="15" fontId="2" fillId="2" borderId="1" xfId="0" applyNumberFormat="1" applyFont="1" applyFill="1" applyBorder="1" applyAlignment="1" applyProtection="1">
      <alignment horizontal="center" vertical="center" wrapText="1"/>
      <protection hidden="1"/>
    </xf>
    <xf numFmtId="0" fontId="4" fillId="0" borderId="1" xfId="1" applyFont="1" applyBorder="1" applyAlignment="1" applyProtection="1">
      <alignment horizontal="left"/>
    </xf>
    <xf numFmtId="0" fontId="2" fillId="2" borderId="1" xfId="0" applyFont="1" applyFill="1" applyBorder="1" applyAlignment="1" applyProtection="1">
      <alignment horizontal="center" vertical="center" wrapText="1"/>
      <protection hidden="1"/>
    </xf>
    <xf numFmtId="2" fontId="4" fillId="0" borderId="2" xfId="3" applyNumberFormat="1" applyFont="1" applyBorder="1" applyAlignment="1" applyProtection="1">
      <alignment horizontal="center"/>
    </xf>
    <xf numFmtId="2" fontId="4" fillId="0" borderId="3" xfId="3" applyNumberFormat="1" applyFont="1" applyBorder="1" applyAlignment="1" applyProtection="1">
      <alignment horizontal="center"/>
    </xf>
    <xf numFmtId="0" fontId="7" fillId="2" borderId="1" xfId="1" applyFont="1" applyFill="1" applyBorder="1" applyAlignment="1" applyProtection="1">
      <alignment horizontal="center"/>
    </xf>
    <xf numFmtId="0" fontId="7" fillId="2" borderId="2" xfId="1" applyFont="1" applyFill="1" applyBorder="1" applyAlignment="1" applyProtection="1">
      <alignment horizontal="center"/>
    </xf>
    <xf numFmtId="0" fontId="7" fillId="2" borderId="3" xfId="1" applyFont="1" applyFill="1" applyBorder="1" applyAlignment="1" applyProtection="1">
      <alignment horizontal="center"/>
    </xf>
    <xf numFmtId="0" fontId="3" fillId="4" borderId="1" xfId="2" applyFont="1" applyFill="1" applyBorder="1" applyAlignment="1" applyProtection="1">
      <alignment horizontal="center" vertical="center"/>
    </xf>
    <xf numFmtId="0" fontId="4" fillId="2" borderId="1" xfId="0" applyFont="1" applyFill="1" applyBorder="1" applyAlignment="1" applyProtection="1">
      <alignment horizontal="center" vertical="center" wrapText="1"/>
      <protection hidden="1"/>
    </xf>
    <xf numFmtId="0" fontId="26" fillId="2" borderId="1" xfId="0" applyFont="1" applyFill="1" applyBorder="1" applyAlignment="1" applyProtection="1">
      <alignment horizontal="center" vertical="center" wrapText="1"/>
      <protection hidden="1"/>
    </xf>
    <xf numFmtId="0" fontId="27" fillId="0" borderId="1" xfId="0" applyFont="1" applyBorder="1" applyAlignment="1">
      <alignment horizontal="left"/>
    </xf>
    <xf numFmtId="0" fontId="33" fillId="14" borderId="8" xfId="0" applyFont="1" applyFill="1" applyBorder="1" applyAlignment="1">
      <alignment horizontal="center" vertical="center"/>
    </xf>
    <xf numFmtId="0" fontId="33" fillId="14" borderId="9" xfId="0" applyFont="1" applyFill="1" applyBorder="1" applyAlignment="1">
      <alignment horizontal="center" vertical="center"/>
    </xf>
    <xf numFmtId="0" fontId="33" fillId="14" borderId="10" xfId="0" applyFont="1" applyFill="1" applyBorder="1" applyAlignment="1">
      <alignment horizontal="center" vertical="center"/>
    </xf>
    <xf numFmtId="0" fontId="33" fillId="14" borderId="2" xfId="0" applyFont="1" applyFill="1" applyBorder="1" applyAlignment="1">
      <alignment horizontal="center"/>
    </xf>
    <xf numFmtId="0" fontId="33" fillId="14" borderId="14" xfId="0" applyFont="1" applyFill="1" applyBorder="1" applyAlignment="1">
      <alignment horizontal="center"/>
    </xf>
    <xf numFmtId="0" fontId="33" fillId="14" borderId="3" xfId="0" applyFont="1" applyFill="1" applyBorder="1" applyAlignment="1">
      <alignment horizontal="center"/>
    </xf>
    <xf numFmtId="166" fontId="27" fillId="6" borderId="2" xfId="0" applyNumberFormat="1" applyFont="1" applyFill="1" applyBorder="1" applyAlignment="1">
      <alignment horizontal="center" vertical="top"/>
    </xf>
    <xf numFmtId="166" fontId="27" fillId="6" borderId="14" xfId="0" applyNumberFormat="1" applyFont="1" applyFill="1" applyBorder="1" applyAlignment="1">
      <alignment horizontal="center" vertical="top"/>
    </xf>
    <xf numFmtId="0" fontId="29" fillId="0" borderId="1" xfId="0" applyFont="1" applyBorder="1" applyAlignment="1">
      <alignment horizontal="left" vertical="top"/>
    </xf>
    <xf numFmtId="0" fontId="25" fillId="3" borderId="11" xfId="0" applyFont="1" applyFill="1" applyBorder="1" applyAlignment="1">
      <alignment horizontal="left" vertical="center"/>
    </xf>
    <xf numFmtId="0" fontId="25" fillId="3" borderId="12" xfId="0" applyFont="1" applyFill="1" applyBorder="1" applyAlignment="1">
      <alignment horizontal="left" vertical="center"/>
    </xf>
    <xf numFmtId="0" fontId="25" fillId="3" borderId="1" xfId="0" applyFont="1" applyFill="1" applyBorder="1" applyAlignment="1">
      <alignment horizontal="left" vertical="center"/>
    </xf>
    <xf numFmtId="0" fontId="25" fillId="3" borderId="15" xfId="0" applyFont="1" applyFill="1" applyBorder="1" applyAlignment="1">
      <alignment horizontal="left" vertical="center"/>
    </xf>
    <xf numFmtId="0" fontId="27" fillId="3" borderId="4" xfId="0" applyFont="1" applyFill="1" applyBorder="1" applyAlignment="1">
      <alignment horizontal="center" vertical="center"/>
    </xf>
    <xf numFmtId="0" fontId="27" fillId="3" borderId="5" xfId="0" applyFont="1" applyFill="1" applyBorder="1" applyAlignment="1">
      <alignment horizontal="center" vertical="center"/>
    </xf>
    <xf numFmtId="0" fontId="27" fillId="3" borderId="6" xfId="0" applyFont="1" applyFill="1" applyBorder="1" applyAlignment="1">
      <alignment horizontal="center" vertical="center"/>
    </xf>
    <xf numFmtId="0" fontId="27" fillId="10" borderId="1" xfId="0" applyFont="1" applyFill="1" applyBorder="1" applyAlignment="1">
      <alignment horizontal="center"/>
    </xf>
    <xf numFmtId="0" fontId="33" fillId="14" borderId="2" xfId="0" applyFont="1" applyFill="1" applyBorder="1" applyProtection="1">
      <alignment vertical="center"/>
      <protection hidden="1"/>
    </xf>
    <xf numFmtId="0" fontId="33" fillId="14" borderId="14" xfId="0" applyFont="1" applyFill="1" applyBorder="1" applyProtection="1">
      <alignment vertical="center"/>
      <protection hidden="1"/>
    </xf>
    <xf numFmtId="0" fontId="33" fillId="14" borderId="3" xfId="0" applyFont="1" applyFill="1" applyBorder="1" applyProtection="1">
      <alignment vertical="center"/>
      <protection hidden="1"/>
    </xf>
    <xf numFmtId="43" fontId="2" fillId="0" borderId="18" xfId="3" applyFont="1" applyBorder="1" applyAlignment="1" applyProtection="1">
      <alignment horizontal="center" vertical="center" wrapText="1"/>
    </xf>
    <xf numFmtId="43" fontId="2" fillId="0" borderId="11" xfId="3" applyFont="1" applyBorder="1" applyAlignment="1" applyProtection="1">
      <alignment horizontal="center" vertical="center" wrapText="1"/>
    </xf>
    <xf numFmtId="43" fontId="34" fillId="0" borderId="18" xfId="3" applyFont="1" applyBorder="1" applyAlignment="1" applyProtection="1">
      <alignment horizontal="center" vertical="center" wrapText="1"/>
    </xf>
    <xf numFmtId="43" fontId="34" fillId="0" borderId="11" xfId="3" applyFont="1" applyBorder="1" applyAlignment="1" applyProtection="1">
      <alignment horizontal="center" vertical="center" wrapText="1"/>
    </xf>
    <xf numFmtId="0" fontId="2" fillId="0" borderId="18" xfId="0" applyFont="1" applyBorder="1" applyAlignment="1">
      <alignment horizontal="center" vertical="center"/>
    </xf>
    <xf numFmtId="0" fontId="2" fillId="0" borderId="11" xfId="0" applyFont="1" applyBorder="1" applyAlignment="1">
      <alignment horizontal="center" vertical="center"/>
    </xf>
    <xf numFmtId="43" fontId="2" fillId="0" borderId="18" xfId="3" applyFont="1" applyBorder="1" applyAlignment="1" applyProtection="1">
      <alignment horizontal="center" vertical="center"/>
    </xf>
    <xf numFmtId="43" fontId="2" fillId="0" borderId="11" xfId="3" applyFont="1" applyBorder="1" applyAlignment="1" applyProtection="1">
      <alignment horizontal="center" vertical="center"/>
    </xf>
    <xf numFmtId="0" fontId="2" fillId="0" borderId="18" xfId="0" applyFont="1" applyBorder="1">
      <alignment vertical="center"/>
    </xf>
    <xf numFmtId="0" fontId="2" fillId="0" borderId="11" xfId="0" applyFont="1" applyBorder="1">
      <alignment vertical="center"/>
    </xf>
  </cellXfs>
  <cellStyles count="7">
    <cellStyle name="Comma" xfId="3" builtinId="3"/>
    <cellStyle name="Normal" xfId="0" builtinId="0"/>
    <cellStyle name="Normal 2" xfId="4" xr:uid="{00000000-0005-0000-0000-000002000000}"/>
    <cellStyle name="Normal 2 10" xfId="2" xr:uid="{00000000-0005-0000-0000-000003000000}"/>
    <cellStyle name="Normal 3" xfId="6" xr:uid="{00000000-0005-0000-0000-000004000000}"/>
    <cellStyle name="Normal_D&amp;D REPORT OF B.S.N TRADERS FOR THE MONTH OF DEC-08" xfId="5" xr:uid="{00000000-0005-0000-0000-000005000000}"/>
    <cellStyle name="Normal_MI20(1)" xfId="1" xr:uid="{00000000-0005-0000-0000-000006000000}"/>
  </cellStyles>
  <dxfs count="1">
    <dxf>
      <font>
        <color rgb="FF9C0006"/>
      </font>
      <fill>
        <patternFill>
          <bgColor rgb="FFFFC7CE"/>
        </patternFill>
      </fill>
    </dxf>
  </dxfs>
  <tableStyles count="1" defaultTableStyle="TableStyleMedium2" defaultPivotStyle="PivotStyleLight16">
    <tableStyle name="Invisible"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www.wps.cn/officeDocument/2020/cellImage" Target="NUL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34"/>
  <sheetViews>
    <sheetView topLeftCell="A7" zoomScaleNormal="100" workbookViewId="0">
      <selection activeCell="G18" sqref="G18"/>
    </sheetView>
  </sheetViews>
  <sheetFormatPr defaultColWidth="10.44140625" defaultRowHeight="14.4" x14ac:dyDescent="0.3"/>
  <cols>
    <col min="1" max="1" width="3.5546875" style="1" customWidth="1"/>
    <col min="2" max="2" width="44.5546875" style="1" customWidth="1"/>
    <col min="3" max="3" width="36.5546875" style="1" bestFit="1" customWidth="1"/>
    <col min="4" max="4" width="46" style="1" customWidth="1"/>
    <col min="5" max="16384" width="10.44140625" style="1"/>
  </cols>
  <sheetData>
    <row r="1" spans="1:4" x14ac:dyDescent="0.3">
      <c r="A1" s="1" t="s">
        <v>67</v>
      </c>
    </row>
    <row r="2" spans="1:4" s="2" customFormat="1" ht="15.6" x14ac:dyDescent="0.3">
      <c r="B2" s="100" t="s">
        <v>10</v>
      </c>
      <c r="C2" s="100"/>
      <c r="D2" s="100"/>
    </row>
    <row r="3" spans="1:4" x14ac:dyDescent="0.3">
      <c r="B3" s="3" t="s">
        <v>11</v>
      </c>
      <c r="C3" s="101" t="s">
        <v>89</v>
      </c>
      <c r="D3" s="101"/>
    </row>
    <row r="4" spans="1:4" x14ac:dyDescent="0.3">
      <c r="B4" s="4" t="s">
        <v>12</v>
      </c>
      <c r="C4" s="101" t="s">
        <v>101</v>
      </c>
      <c r="D4" s="101"/>
    </row>
    <row r="5" spans="1:4" x14ac:dyDescent="0.3">
      <c r="B5" s="5" t="s">
        <v>13</v>
      </c>
      <c r="C5" s="94" t="s">
        <v>102</v>
      </c>
      <c r="D5" s="87"/>
    </row>
    <row r="6" spans="1:4" x14ac:dyDescent="0.3">
      <c r="B6" s="6" t="s">
        <v>14</v>
      </c>
      <c r="C6" s="94" t="s">
        <v>107</v>
      </c>
      <c r="D6" s="87"/>
    </row>
    <row r="7" spans="1:4" x14ac:dyDescent="0.3">
      <c r="B7" s="6" t="s">
        <v>15</v>
      </c>
      <c r="C7" s="87">
        <v>9928271827</v>
      </c>
      <c r="D7" s="87"/>
    </row>
    <row r="8" spans="1:4" x14ac:dyDescent="0.3">
      <c r="B8" s="6" t="s">
        <v>48</v>
      </c>
      <c r="C8" s="94" t="s">
        <v>103</v>
      </c>
      <c r="D8" s="87"/>
    </row>
    <row r="9" spans="1:4" x14ac:dyDescent="0.3">
      <c r="B9" s="6" t="s">
        <v>27</v>
      </c>
      <c r="C9" s="94" t="s">
        <v>103</v>
      </c>
      <c r="D9" s="87"/>
    </row>
    <row r="10" spans="1:4" x14ac:dyDescent="0.3">
      <c r="B10" s="7" t="s">
        <v>16</v>
      </c>
      <c r="C10" s="91">
        <v>45558</v>
      </c>
      <c r="D10" s="91"/>
    </row>
    <row r="11" spans="1:4" x14ac:dyDescent="0.3">
      <c r="B11" s="7" t="s">
        <v>17</v>
      </c>
      <c r="C11" s="92" t="s">
        <v>91</v>
      </c>
      <c r="D11" s="91"/>
    </row>
    <row r="12" spans="1:4" x14ac:dyDescent="0.3">
      <c r="B12" s="7" t="s">
        <v>18</v>
      </c>
      <c r="C12" s="91">
        <v>45563</v>
      </c>
      <c r="D12" s="91"/>
    </row>
    <row r="13" spans="1:4" x14ac:dyDescent="0.3">
      <c r="B13" s="7" t="s">
        <v>19</v>
      </c>
      <c r="C13" s="92" t="s">
        <v>104</v>
      </c>
      <c r="D13" s="91"/>
    </row>
    <row r="14" spans="1:4" x14ac:dyDescent="0.3">
      <c r="B14" s="88" t="s">
        <v>20</v>
      </c>
      <c r="C14" s="88"/>
      <c r="D14" s="88"/>
    </row>
    <row r="15" spans="1:4" x14ac:dyDescent="0.3">
      <c r="B15" s="88"/>
      <c r="C15" s="88"/>
      <c r="D15" s="88"/>
    </row>
    <row r="16" spans="1:4" x14ac:dyDescent="0.3">
      <c r="B16" s="8"/>
      <c r="C16" s="98" t="s">
        <v>21</v>
      </c>
      <c r="D16" s="99"/>
    </row>
    <row r="17" spans="2:4" x14ac:dyDescent="0.3">
      <c r="B17" s="9" t="s">
        <v>22</v>
      </c>
      <c r="C17" s="89">
        <f>'Distributor Claim Sheet'!G28</f>
        <v>1239</v>
      </c>
      <c r="D17" s="90"/>
    </row>
    <row r="18" spans="2:4" x14ac:dyDescent="0.3">
      <c r="B18" s="9" t="s">
        <v>55</v>
      </c>
      <c r="C18" s="84">
        <f>'Distributor Claim Sheet'!H28</f>
        <v>3112</v>
      </c>
      <c r="D18" s="85"/>
    </row>
    <row r="19" spans="2:4" x14ac:dyDescent="0.3">
      <c r="B19" s="9" t="s">
        <v>63</v>
      </c>
      <c r="C19" s="84">
        <f>'Distributor Claim Sheet'!I28</f>
        <v>0</v>
      </c>
      <c r="D19" s="85"/>
    </row>
    <row r="20" spans="2:4" x14ac:dyDescent="0.3">
      <c r="B20" s="9" t="s">
        <v>64</v>
      </c>
      <c r="C20" s="84">
        <f>'Distributor Claim Sheet'!J28</f>
        <v>83778</v>
      </c>
      <c r="D20" s="85"/>
    </row>
    <row r="21" spans="2:4" x14ac:dyDescent="0.3">
      <c r="B21" s="10" t="s">
        <v>66</v>
      </c>
      <c r="C21" s="95">
        <f>SUM(C17:C20)</f>
        <v>88129</v>
      </c>
      <c r="D21" s="96"/>
    </row>
    <row r="22" spans="2:4" x14ac:dyDescent="0.3">
      <c r="B22" s="97" t="s">
        <v>23</v>
      </c>
      <c r="C22" s="97"/>
      <c r="D22" s="97"/>
    </row>
    <row r="23" spans="2:4" x14ac:dyDescent="0.3">
      <c r="B23" s="93" t="s">
        <v>62</v>
      </c>
      <c r="C23" s="93"/>
      <c r="D23" s="68">
        <f>'Scrap stock detail'!D9</f>
        <v>70</v>
      </c>
    </row>
    <row r="24" spans="2:4" s="2" customFormat="1" x14ac:dyDescent="0.3">
      <c r="B24" s="86" t="s">
        <v>29</v>
      </c>
      <c r="C24" s="86"/>
      <c r="D24" s="86"/>
    </row>
    <row r="25" spans="2:4" s="2" customFormat="1" x14ac:dyDescent="0.3">
      <c r="B25" s="86"/>
      <c r="C25" s="86"/>
      <c r="D25" s="86"/>
    </row>
    <row r="26" spans="2:4" s="2" customFormat="1" x14ac:dyDescent="0.3">
      <c r="B26" s="86"/>
      <c r="C26" s="86"/>
      <c r="D26" s="86"/>
    </row>
    <row r="27" spans="2:4" s="2" customFormat="1" x14ac:dyDescent="0.3">
      <c r="B27" s="86"/>
      <c r="C27" s="86"/>
      <c r="D27" s="86"/>
    </row>
    <row r="28" spans="2:4" x14ac:dyDescent="0.3">
      <c r="B28" s="86"/>
      <c r="C28" s="86"/>
      <c r="D28" s="86"/>
    </row>
    <row r="29" spans="2:4" s="2" customFormat="1" x14ac:dyDescent="0.3">
      <c r="B29" s="13" t="s">
        <v>75</v>
      </c>
      <c r="C29" s="13" t="s">
        <v>74</v>
      </c>
      <c r="D29" s="13" t="s">
        <v>73</v>
      </c>
    </row>
    <row r="30" spans="2:4" s="2" customFormat="1" x14ac:dyDescent="0.3">
      <c r="B30" s="14" t="str">
        <f>C3</f>
        <v>BAJRANG TRADING COMPANY</v>
      </c>
      <c r="C30" s="14" t="str">
        <f>C8</f>
        <v>N/A</v>
      </c>
      <c r="D30" s="14" t="str">
        <f>C5</f>
        <v>RAJEEV KUMAR</v>
      </c>
    </row>
    <row r="31" spans="2:4" s="2" customFormat="1" x14ac:dyDescent="0.3">
      <c r="B31" s="13" t="s">
        <v>24</v>
      </c>
      <c r="C31" s="13" t="s">
        <v>25</v>
      </c>
      <c r="D31" s="13" t="s">
        <v>24</v>
      </c>
    </row>
    <row r="32" spans="2:4" s="2" customFormat="1" x14ac:dyDescent="0.3">
      <c r="B32" s="13"/>
      <c r="C32" s="13"/>
      <c r="D32" s="13"/>
    </row>
    <row r="33" spans="2:4" s="2" customFormat="1" x14ac:dyDescent="0.3">
      <c r="B33" s="15"/>
      <c r="C33" s="15"/>
      <c r="D33" s="15"/>
    </row>
    <row r="34" spans="2:4" s="2" customFormat="1" x14ac:dyDescent="0.3">
      <c r="B34" s="16" t="s">
        <v>26</v>
      </c>
      <c r="C34" s="16"/>
      <c r="D34" s="16" t="s">
        <v>26</v>
      </c>
    </row>
  </sheetData>
  <mergeCells count="22">
    <mergeCell ref="C16:D16"/>
    <mergeCell ref="B2:D2"/>
    <mergeCell ref="C3:D3"/>
    <mergeCell ref="C4:D4"/>
    <mergeCell ref="C5:D5"/>
    <mergeCell ref="C6:D6"/>
    <mergeCell ref="C18:D18"/>
    <mergeCell ref="B24:D28"/>
    <mergeCell ref="C7:D7"/>
    <mergeCell ref="B14:D15"/>
    <mergeCell ref="C19:D19"/>
    <mergeCell ref="C17:D17"/>
    <mergeCell ref="C12:D12"/>
    <mergeCell ref="C11:D11"/>
    <mergeCell ref="B23:C23"/>
    <mergeCell ref="C8:D8"/>
    <mergeCell ref="C9:D9"/>
    <mergeCell ref="C21:D21"/>
    <mergeCell ref="C20:D20"/>
    <mergeCell ref="B22:D22"/>
    <mergeCell ref="C10:D10"/>
    <mergeCell ref="C13:D13"/>
  </mergeCells>
  <pageMargins left="0.24" right="0.24" top="0.63" bottom="0.74803149606299213"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9694"/>
    <pageSetUpPr fitToPage="1"/>
  </sheetPr>
  <dimension ref="A1:R35"/>
  <sheetViews>
    <sheetView showGridLines="0" topLeftCell="A4" zoomScaleNormal="100" workbookViewId="0">
      <selection activeCell="R26" sqref="R26"/>
    </sheetView>
  </sheetViews>
  <sheetFormatPr defaultColWidth="16" defaultRowHeight="13.8" x14ac:dyDescent="0.3"/>
  <cols>
    <col min="1" max="1" width="15.88671875" style="26" bestFit="1" customWidth="1"/>
    <col min="2" max="2" width="12.5546875" style="26" bestFit="1" customWidth="1"/>
    <col min="3" max="3" width="7.21875" style="26" bestFit="1" customWidth="1"/>
    <col min="4" max="4" width="6.21875" style="26" bestFit="1" customWidth="1"/>
    <col min="5" max="5" width="4.109375" style="26" bestFit="1" customWidth="1"/>
    <col min="6" max="6" width="9.33203125" style="26" bestFit="1" customWidth="1"/>
    <col min="7" max="7" width="8.88671875" style="26" bestFit="1" customWidth="1"/>
    <col min="8" max="8" width="9.21875" style="26" bestFit="1" customWidth="1"/>
    <col min="9" max="9" width="7.33203125" style="26" bestFit="1" customWidth="1"/>
    <col min="10" max="10" width="9.88671875" style="26" bestFit="1" customWidth="1"/>
    <col min="11" max="11" width="11.21875" style="26" bestFit="1" customWidth="1"/>
    <col min="12" max="12" width="10.5546875" style="26" bestFit="1" customWidth="1"/>
    <col min="13" max="13" width="5.44140625" style="26" bestFit="1" customWidth="1"/>
    <col min="14" max="14" width="12.33203125" style="26" bestFit="1" customWidth="1"/>
    <col min="15" max="15" width="10.6640625" style="26" bestFit="1" customWidth="1"/>
    <col min="16" max="16" width="10.109375" style="26" bestFit="1" customWidth="1"/>
    <col min="17" max="17" width="6" style="26" bestFit="1" customWidth="1"/>
    <col min="18" max="19" width="16" style="26"/>
    <col min="20" max="20" width="1.33203125" style="26" bestFit="1" customWidth="1"/>
    <col min="21" max="16384" width="16" style="26"/>
  </cols>
  <sheetData>
    <row r="1" spans="1:17" x14ac:dyDescent="0.3">
      <c r="B1" s="102"/>
      <c r="C1" s="102"/>
      <c r="D1" s="102"/>
      <c r="E1" s="102"/>
      <c r="P1" s="82"/>
    </row>
    <row r="2" spans="1:17" x14ac:dyDescent="0.3">
      <c r="A2" s="117" t="s">
        <v>49</v>
      </c>
      <c r="B2" s="118"/>
      <c r="C2" s="118"/>
      <c r="D2" s="118"/>
      <c r="E2" s="118"/>
      <c r="F2" s="118"/>
      <c r="G2" s="118"/>
      <c r="H2" s="118"/>
      <c r="I2" s="118"/>
      <c r="J2" s="118"/>
      <c r="K2" s="118"/>
      <c r="L2" s="118"/>
      <c r="M2" s="119"/>
      <c r="P2" s="82"/>
    </row>
    <row r="3" spans="1:17" x14ac:dyDescent="0.3">
      <c r="A3" s="54" t="s">
        <v>69</v>
      </c>
      <c r="B3" s="104" t="str">
        <f>Declaration!C3</f>
        <v>BAJRANG TRADING COMPANY</v>
      </c>
      <c r="C3" s="105"/>
      <c r="D3" s="106"/>
      <c r="E3" s="113"/>
      <c r="F3" s="113"/>
      <c r="G3" s="113"/>
      <c r="H3" s="113"/>
      <c r="I3" s="113"/>
      <c r="J3" s="113"/>
      <c r="K3" s="113"/>
      <c r="L3" s="113"/>
      <c r="M3" s="114"/>
      <c r="P3" s="82"/>
    </row>
    <row r="4" spans="1:17" x14ac:dyDescent="0.3">
      <c r="A4" s="55" t="s">
        <v>70</v>
      </c>
      <c r="B4" s="107"/>
      <c r="C4" s="108"/>
      <c r="D4" s="109"/>
      <c r="E4" s="115"/>
      <c r="F4" s="115"/>
      <c r="G4" s="115"/>
      <c r="H4" s="115"/>
      <c r="I4" s="115"/>
      <c r="J4" s="115"/>
      <c r="K4" s="115"/>
      <c r="L4" s="115"/>
      <c r="M4" s="116"/>
      <c r="P4" s="82"/>
    </row>
    <row r="5" spans="1:17" x14ac:dyDescent="0.3">
      <c r="A5" s="55" t="s">
        <v>71</v>
      </c>
      <c r="B5" s="121" t="str">
        <f>Declaration!C4</f>
        <v>H1-496(F) PHASE-1, RIICO INDL AREA BHIWADI RAJASTHAN</v>
      </c>
      <c r="C5" s="122"/>
      <c r="D5" s="122"/>
      <c r="E5" s="123"/>
      <c r="F5" s="27" t="s">
        <v>56</v>
      </c>
      <c r="G5" s="110" t="s">
        <v>57</v>
      </c>
      <c r="H5" s="111"/>
      <c r="I5" s="111"/>
      <c r="J5" s="111"/>
      <c r="K5" s="111"/>
      <c r="L5" s="28"/>
      <c r="M5" s="29"/>
    </row>
    <row r="6" spans="1:17" s="36" customFormat="1" ht="41.4" x14ac:dyDescent="0.3">
      <c r="A6" s="30" t="s">
        <v>65</v>
      </c>
      <c r="B6" s="30" t="s">
        <v>0</v>
      </c>
      <c r="C6" s="30" t="s">
        <v>45</v>
      </c>
      <c r="D6" s="30" t="s">
        <v>2</v>
      </c>
      <c r="E6" s="30" t="s">
        <v>1</v>
      </c>
      <c r="F6" s="31" t="s">
        <v>28</v>
      </c>
      <c r="G6" s="32" t="s">
        <v>58</v>
      </c>
      <c r="H6" s="32" t="s">
        <v>54</v>
      </c>
      <c r="I6" s="32" t="s">
        <v>50</v>
      </c>
      <c r="J6" s="32" t="s">
        <v>51</v>
      </c>
      <c r="K6" s="32" t="s">
        <v>60</v>
      </c>
      <c r="L6" s="33" t="s">
        <v>59</v>
      </c>
      <c r="M6" s="34" t="s">
        <v>61</v>
      </c>
      <c r="N6" s="35" t="s">
        <v>46</v>
      </c>
      <c r="O6" s="35" t="s">
        <v>47</v>
      </c>
    </row>
    <row r="7" spans="1:17" x14ac:dyDescent="0.3">
      <c r="A7" s="37">
        <v>1</v>
      </c>
      <c r="B7" s="58" t="s">
        <v>76</v>
      </c>
      <c r="C7" s="38">
        <v>14</v>
      </c>
      <c r="D7" s="37">
        <v>5</v>
      </c>
      <c r="E7" s="76" t="s">
        <v>30</v>
      </c>
      <c r="F7" s="77"/>
      <c r="G7" s="77">
        <f>12+13+3+2+30+100</f>
        <v>160</v>
      </c>
      <c r="H7" s="77">
        <f>78+22+47+8+50+300</f>
        <v>505</v>
      </c>
      <c r="I7" s="77"/>
      <c r="J7" s="77">
        <f>294+200+280+98+100+18+100+49+224+280+364+238+308+294+140+1000+260+210+308+1000+400+1000+231+200+1000+600</f>
        <v>9196</v>
      </c>
      <c r="K7" s="78">
        <f>SUM(G7:J7)</f>
        <v>9861</v>
      </c>
      <c r="L7" s="78">
        <f>K7-F7</f>
        <v>9861</v>
      </c>
      <c r="M7" s="79"/>
      <c r="N7" s="59">
        <f>K7*C7</f>
        <v>138054</v>
      </c>
      <c r="O7" s="60">
        <f>N7/1000</f>
        <v>138.054</v>
      </c>
      <c r="P7" s="39"/>
      <c r="Q7" s="39"/>
    </row>
    <row r="8" spans="1:17" x14ac:dyDescent="0.3">
      <c r="A8" s="37">
        <f>1+A7</f>
        <v>2</v>
      </c>
      <c r="B8" s="58" t="s">
        <v>76</v>
      </c>
      <c r="C8" s="38">
        <v>32.5</v>
      </c>
      <c r="D8" s="40">
        <v>10</v>
      </c>
      <c r="E8" s="76" t="s">
        <v>30</v>
      </c>
      <c r="F8" s="77"/>
      <c r="G8" s="77">
        <f>2</f>
        <v>2</v>
      </c>
      <c r="H8" s="77">
        <f>13+1</f>
        <v>14</v>
      </c>
      <c r="I8" s="77"/>
      <c r="J8" s="77">
        <f>70+90+150+130+130</f>
        <v>570</v>
      </c>
      <c r="K8" s="78">
        <f t="shared" ref="K8:K27" si="0">SUM(G8:J8)</f>
        <v>586</v>
      </c>
      <c r="L8" s="78">
        <f t="shared" ref="L8:L27" si="1">K8-F8</f>
        <v>586</v>
      </c>
      <c r="M8" s="79"/>
      <c r="N8" s="59">
        <f t="shared" ref="N8:N27" si="2">K8*C8</f>
        <v>19045</v>
      </c>
      <c r="O8" s="60">
        <f t="shared" ref="O8:O27" si="3">N8/1000</f>
        <v>19.045000000000002</v>
      </c>
      <c r="P8" s="39"/>
      <c r="Q8" s="39"/>
    </row>
    <row r="9" spans="1:17" x14ac:dyDescent="0.3">
      <c r="A9" s="37">
        <f t="shared" ref="A9:A27" si="4">1+A8</f>
        <v>3</v>
      </c>
      <c r="B9" s="58" t="s">
        <v>76</v>
      </c>
      <c r="C9" s="38">
        <v>75</v>
      </c>
      <c r="D9" s="40">
        <v>20</v>
      </c>
      <c r="E9" s="76" t="s">
        <v>30</v>
      </c>
      <c r="F9" s="77"/>
      <c r="G9" s="77">
        <f>1</f>
        <v>1</v>
      </c>
      <c r="H9" s="77">
        <f>3</f>
        <v>3</v>
      </c>
      <c r="I9" s="77"/>
      <c r="J9" s="77">
        <f>32+3</f>
        <v>35</v>
      </c>
      <c r="K9" s="78">
        <f t="shared" si="0"/>
        <v>39</v>
      </c>
      <c r="L9" s="78">
        <f t="shared" si="1"/>
        <v>39</v>
      </c>
      <c r="M9" s="79"/>
      <c r="N9" s="59">
        <f t="shared" si="2"/>
        <v>2925</v>
      </c>
      <c r="O9" s="60">
        <f t="shared" si="3"/>
        <v>2.9249999999999998</v>
      </c>
      <c r="P9" s="39"/>
      <c r="Q9" s="39"/>
    </row>
    <row r="10" spans="1:17" x14ac:dyDescent="0.3">
      <c r="A10" s="37">
        <f t="shared" si="4"/>
        <v>4</v>
      </c>
      <c r="B10" s="58" t="s">
        <v>77</v>
      </c>
      <c r="C10" s="38">
        <v>20</v>
      </c>
      <c r="D10" s="40">
        <v>5</v>
      </c>
      <c r="E10" s="76" t="s">
        <v>30</v>
      </c>
      <c r="F10" s="77"/>
      <c r="G10" s="77">
        <f>14+10+2+3+40+200</f>
        <v>269</v>
      </c>
      <c r="H10" s="77">
        <f>94+78+11+12+200+300</f>
        <v>695</v>
      </c>
      <c r="I10" s="77"/>
      <c r="J10" s="77">
        <f>1000+1000+411+280+280+280+1160+600+1000+500</f>
        <v>6511</v>
      </c>
      <c r="K10" s="78">
        <f t="shared" si="0"/>
        <v>7475</v>
      </c>
      <c r="L10" s="78">
        <f t="shared" si="1"/>
        <v>7475</v>
      </c>
      <c r="M10" s="79"/>
      <c r="N10" s="59">
        <f t="shared" si="2"/>
        <v>149500</v>
      </c>
      <c r="O10" s="60">
        <f t="shared" si="3"/>
        <v>149.5</v>
      </c>
      <c r="P10" s="39"/>
      <c r="Q10" s="39"/>
    </row>
    <row r="11" spans="1:17" x14ac:dyDescent="0.3">
      <c r="A11" s="37">
        <f t="shared" si="4"/>
        <v>5</v>
      </c>
      <c r="B11" s="58" t="s">
        <v>77</v>
      </c>
      <c r="C11" s="38">
        <v>42</v>
      </c>
      <c r="D11" s="40">
        <v>10</v>
      </c>
      <c r="E11" s="76" t="s">
        <v>30</v>
      </c>
      <c r="F11" s="77"/>
      <c r="G11" s="77">
        <f>3+2+4</f>
        <v>9</v>
      </c>
      <c r="H11" s="77">
        <f>11+8+10</f>
        <v>29</v>
      </c>
      <c r="I11" s="77"/>
      <c r="J11" s="77">
        <f>90+90+68+150+142</f>
        <v>540</v>
      </c>
      <c r="K11" s="78">
        <f t="shared" si="0"/>
        <v>578</v>
      </c>
      <c r="L11" s="78">
        <f t="shared" si="1"/>
        <v>578</v>
      </c>
      <c r="M11" s="79"/>
      <c r="N11" s="59">
        <f t="shared" si="2"/>
        <v>24276</v>
      </c>
      <c r="O11" s="60">
        <f t="shared" si="3"/>
        <v>24.276</v>
      </c>
      <c r="P11" s="39"/>
      <c r="Q11" s="39"/>
    </row>
    <row r="12" spans="1:17" x14ac:dyDescent="0.3">
      <c r="A12" s="37">
        <f t="shared" si="4"/>
        <v>6</v>
      </c>
      <c r="B12" s="58" t="s">
        <v>77</v>
      </c>
      <c r="C12" s="38">
        <v>90</v>
      </c>
      <c r="D12" s="40">
        <v>20</v>
      </c>
      <c r="E12" s="76" t="s">
        <v>30</v>
      </c>
      <c r="F12" s="77"/>
      <c r="G12" s="77"/>
      <c r="H12" s="77">
        <f>1</f>
        <v>1</v>
      </c>
      <c r="I12" s="77"/>
      <c r="J12" s="77">
        <f>40</f>
        <v>40</v>
      </c>
      <c r="K12" s="78">
        <f t="shared" si="0"/>
        <v>41</v>
      </c>
      <c r="L12" s="78">
        <f t="shared" si="1"/>
        <v>41</v>
      </c>
      <c r="M12" s="79"/>
      <c r="N12" s="59">
        <f t="shared" si="2"/>
        <v>3690</v>
      </c>
      <c r="O12" s="60">
        <f t="shared" si="3"/>
        <v>3.69</v>
      </c>
      <c r="P12" s="39"/>
      <c r="Q12" s="39"/>
    </row>
    <row r="13" spans="1:17" x14ac:dyDescent="0.3">
      <c r="A13" s="37">
        <f t="shared" si="4"/>
        <v>7</v>
      </c>
      <c r="B13" s="58" t="s">
        <v>78</v>
      </c>
      <c r="C13" s="38">
        <v>22</v>
      </c>
      <c r="D13" s="40">
        <v>5</v>
      </c>
      <c r="E13" s="76" t="s">
        <v>30</v>
      </c>
      <c r="F13" s="77"/>
      <c r="G13" s="77">
        <f>4+1+1</f>
        <v>6</v>
      </c>
      <c r="H13" s="77">
        <f>12+2+4</f>
        <v>18</v>
      </c>
      <c r="I13" s="77"/>
      <c r="J13" s="77">
        <f>444+44+204</f>
        <v>692</v>
      </c>
      <c r="K13" s="78">
        <f t="shared" si="0"/>
        <v>716</v>
      </c>
      <c r="L13" s="78">
        <f t="shared" si="1"/>
        <v>716</v>
      </c>
      <c r="M13" s="79"/>
      <c r="N13" s="59">
        <f t="shared" si="2"/>
        <v>15752</v>
      </c>
      <c r="O13" s="60">
        <f t="shared" si="3"/>
        <v>15.752000000000001</v>
      </c>
      <c r="P13" s="39"/>
      <c r="Q13" s="39"/>
    </row>
    <row r="14" spans="1:17" x14ac:dyDescent="0.3">
      <c r="A14" s="37">
        <f t="shared" si="4"/>
        <v>8</v>
      </c>
      <c r="B14" s="58" t="s">
        <v>78</v>
      </c>
      <c r="C14" s="38">
        <v>42</v>
      </c>
      <c r="D14" s="40">
        <v>10</v>
      </c>
      <c r="E14" s="76" t="s">
        <v>30</v>
      </c>
      <c r="F14" s="77"/>
      <c r="G14" s="77">
        <f>1+2+1+1</f>
        <v>5</v>
      </c>
      <c r="H14" s="77">
        <f>8+7+3+2+2</f>
        <v>22</v>
      </c>
      <c r="I14" s="77"/>
      <c r="J14" s="77">
        <f>170+30+199+61+32+80</f>
        <v>572</v>
      </c>
      <c r="K14" s="78">
        <f t="shared" si="0"/>
        <v>599</v>
      </c>
      <c r="L14" s="78">
        <f t="shared" si="1"/>
        <v>599</v>
      </c>
      <c r="M14" s="79"/>
      <c r="N14" s="59">
        <f t="shared" si="2"/>
        <v>25158</v>
      </c>
      <c r="O14" s="60">
        <f t="shared" si="3"/>
        <v>25.158000000000001</v>
      </c>
      <c r="P14" s="39"/>
      <c r="Q14" s="39"/>
    </row>
    <row r="15" spans="1:17" x14ac:dyDescent="0.3">
      <c r="A15" s="37">
        <f t="shared" si="4"/>
        <v>9</v>
      </c>
      <c r="B15" s="58" t="s">
        <v>78</v>
      </c>
      <c r="C15" s="38">
        <v>80</v>
      </c>
      <c r="D15" s="40">
        <v>20</v>
      </c>
      <c r="E15" s="76" t="s">
        <v>30</v>
      </c>
      <c r="F15" s="77"/>
      <c r="G15" s="77"/>
      <c r="H15" s="77">
        <f>2</f>
        <v>2</v>
      </c>
      <c r="I15" s="77"/>
      <c r="J15" s="77">
        <f>98</f>
        <v>98</v>
      </c>
      <c r="K15" s="78">
        <f t="shared" si="0"/>
        <v>100</v>
      </c>
      <c r="L15" s="78">
        <f t="shared" si="1"/>
        <v>100</v>
      </c>
      <c r="M15" s="79"/>
      <c r="N15" s="59">
        <f t="shared" si="2"/>
        <v>8000</v>
      </c>
      <c r="O15" s="60">
        <f t="shared" si="3"/>
        <v>8</v>
      </c>
      <c r="P15" s="39"/>
      <c r="Q15" s="39"/>
    </row>
    <row r="16" spans="1:17" x14ac:dyDescent="0.3">
      <c r="A16" s="37">
        <f t="shared" si="4"/>
        <v>10</v>
      </c>
      <c r="B16" s="58" t="s">
        <v>79</v>
      </c>
      <c r="C16" s="38">
        <v>12</v>
      </c>
      <c r="D16" s="40">
        <v>5</v>
      </c>
      <c r="E16" s="76" t="s">
        <v>30</v>
      </c>
      <c r="F16" s="77"/>
      <c r="G16" s="77">
        <f>8+400</f>
        <v>408</v>
      </c>
      <c r="H16" s="77">
        <f>17+2+600</f>
        <v>619</v>
      </c>
      <c r="I16" s="77"/>
      <c r="J16" s="77">
        <f>50+100+84+1000+1000+1000+1000+600+400+1000+400</f>
        <v>6634</v>
      </c>
      <c r="K16" s="78">
        <f t="shared" si="0"/>
        <v>7661</v>
      </c>
      <c r="L16" s="78">
        <f t="shared" si="1"/>
        <v>7661</v>
      </c>
      <c r="M16" s="79"/>
      <c r="N16" s="59">
        <f t="shared" si="2"/>
        <v>91932</v>
      </c>
      <c r="O16" s="60">
        <f t="shared" si="3"/>
        <v>91.932000000000002</v>
      </c>
      <c r="P16" s="39"/>
      <c r="Q16" s="39"/>
    </row>
    <row r="17" spans="1:18" x14ac:dyDescent="0.3">
      <c r="A17" s="37">
        <f t="shared" si="4"/>
        <v>11</v>
      </c>
      <c r="B17" s="58" t="s">
        <v>80</v>
      </c>
      <c r="C17" s="38">
        <v>21</v>
      </c>
      <c r="D17" s="40">
        <v>5</v>
      </c>
      <c r="E17" s="76" t="s">
        <v>30</v>
      </c>
      <c r="F17" s="77"/>
      <c r="G17" s="77">
        <f>2+4+44+1+2+1+200</f>
        <v>254</v>
      </c>
      <c r="H17" s="77">
        <f>17+12+78+7+1+2+7+3+600</f>
        <v>727</v>
      </c>
      <c r="I17" s="77"/>
      <c r="J17" s="77">
        <f>131+210+180+180+180+180+180+2244+420+180+180+180+180+360+840+360+132+502+360+1800+1800+1800+1800+1800+1800+1800+1800+1800+1800+1800+1800+600+400+800+1000+800+1000+800+1000+800+1000+1000+1000+1000+1000+1000+1000+1000+1000+1000+1000</f>
        <v>46979</v>
      </c>
      <c r="K17" s="78">
        <f t="shared" si="0"/>
        <v>47960</v>
      </c>
      <c r="L17" s="78">
        <f t="shared" si="1"/>
        <v>47960</v>
      </c>
      <c r="M17" s="79"/>
      <c r="N17" s="59">
        <f t="shared" si="2"/>
        <v>1007160</v>
      </c>
      <c r="O17" s="60">
        <f t="shared" si="3"/>
        <v>1007.16</v>
      </c>
      <c r="P17" s="39"/>
      <c r="Q17" s="39"/>
    </row>
    <row r="18" spans="1:18" x14ac:dyDescent="0.3">
      <c r="A18" s="37">
        <f t="shared" si="4"/>
        <v>12</v>
      </c>
      <c r="B18" s="58" t="s">
        <v>99</v>
      </c>
      <c r="C18" s="38">
        <v>18</v>
      </c>
      <c r="D18" s="40">
        <v>5</v>
      </c>
      <c r="E18" s="76" t="s">
        <v>30</v>
      </c>
      <c r="F18" s="77"/>
      <c r="G18" s="77">
        <f>1</f>
        <v>1</v>
      </c>
      <c r="H18" s="77">
        <f>14+50</f>
        <v>64</v>
      </c>
      <c r="I18" s="77"/>
      <c r="J18" s="77">
        <f>126+196+200</f>
        <v>522</v>
      </c>
      <c r="K18" s="78">
        <f t="shared" si="0"/>
        <v>587</v>
      </c>
      <c r="L18" s="78">
        <f t="shared" si="1"/>
        <v>587</v>
      </c>
      <c r="M18" s="79"/>
      <c r="N18" s="59">
        <f t="shared" si="2"/>
        <v>10566</v>
      </c>
      <c r="O18" s="60">
        <f t="shared" si="3"/>
        <v>10.566000000000001</v>
      </c>
      <c r="P18" s="39"/>
      <c r="Q18" s="39"/>
    </row>
    <row r="19" spans="1:18" x14ac:dyDescent="0.3">
      <c r="A19" s="37">
        <f t="shared" si="4"/>
        <v>13</v>
      </c>
      <c r="B19" s="58" t="s">
        <v>97</v>
      </c>
      <c r="C19" s="38">
        <v>20</v>
      </c>
      <c r="D19" s="40">
        <v>5</v>
      </c>
      <c r="E19" s="76" t="s">
        <v>30</v>
      </c>
      <c r="F19" s="77"/>
      <c r="G19" s="77"/>
      <c r="H19" s="77">
        <f>11</f>
        <v>11</v>
      </c>
      <c r="I19" s="77"/>
      <c r="J19" s="77">
        <f>114+260</f>
        <v>374</v>
      </c>
      <c r="K19" s="78">
        <f t="shared" si="0"/>
        <v>385</v>
      </c>
      <c r="L19" s="78">
        <f t="shared" si="1"/>
        <v>385</v>
      </c>
      <c r="M19" s="79"/>
      <c r="N19" s="59">
        <f t="shared" si="2"/>
        <v>7700</v>
      </c>
      <c r="O19" s="60">
        <f t="shared" si="3"/>
        <v>7.7</v>
      </c>
      <c r="P19" s="39"/>
      <c r="Q19" s="39"/>
    </row>
    <row r="20" spans="1:18" x14ac:dyDescent="0.3">
      <c r="A20" s="37">
        <f t="shared" si="4"/>
        <v>14</v>
      </c>
      <c r="B20" s="58" t="s">
        <v>100</v>
      </c>
      <c r="C20" s="38">
        <v>18</v>
      </c>
      <c r="D20" s="40">
        <v>5</v>
      </c>
      <c r="E20" s="76" t="s">
        <v>30</v>
      </c>
      <c r="F20" s="77"/>
      <c r="G20" s="77">
        <v>100</v>
      </c>
      <c r="H20" s="77">
        <f>200</f>
        <v>200</v>
      </c>
      <c r="I20" s="77"/>
      <c r="J20" s="77">
        <f>1000+1000+1000+1000</f>
        <v>4000</v>
      </c>
      <c r="K20" s="78">
        <f t="shared" si="0"/>
        <v>4300</v>
      </c>
      <c r="L20" s="78">
        <f t="shared" si="1"/>
        <v>4300</v>
      </c>
      <c r="M20" s="79"/>
      <c r="N20" s="59">
        <f t="shared" si="2"/>
        <v>77400</v>
      </c>
      <c r="O20" s="60">
        <f t="shared" si="3"/>
        <v>77.400000000000006</v>
      </c>
      <c r="P20" s="39"/>
      <c r="Q20" s="39"/>
      <c r="R20" s="82"/>
    </row>
    <row r="21" spans="1:18" x14ac:dyDescent="0.3">
      <c r="A21" s="37">
        <f t="shared" si="4"/>
        <v>15</v>
      </c>
      <c r="B21" s="58" t="s">
        <v>81</v>
      </c>
      <c r="C21" s="38">
        <v>20</v>
      </c>
      <c r="D21" s="40">
        <v>5</v>
      </c>
      <c r="E21" s="76" t="s">
        <v>30</v>
      </c>
      <c r="F21" s="77"/>
      <c r="G21" s="77"/>
      <c r="H21" s="77"/>
      <c r="I21" s="77"/>
      <c r="J21" s="77">
        <f>140</f>
        <v>140</v>
      </c>
      <c r="K21" s="78">
        <f t="shared" si="0"/>
        <v>140</v>
      </c>
      <c r="L21" s="78">
        <f t="shared" si="1"/>
        <v>140</v>
      </c>
      <c r="M21" s="79"/>
      <c r="N21" s="59">
        <f t="shared" si="2"/>
        <v>2800</v>
      </c>
      <c r="O21" s="60">
        <f t="shared" si="3"/>
        <v>2.8</v>
      </c>
      <c r="P21" s="39"/>
      <c r="Q21" s="39"/>
      <c r="R21" s="82"/>
    </row>
    <row r="22" spans="1:18" x14ac:dyDescent="0.3">
      <c r="A22" s="37">
        <f t="shared" si="4"/>
        <v>16</v>
      </c>
      <c r="B22" s="58" t="s">
        <v>96</v>
      </c>
      <c r="C22" s="38">
        <v>25</v>
      </c>
      <c r="D22" s="40">
        <v>5</v>
      </c>
      <c r="E22" s="76" t="s">
        <v>30</v>
      </c>
      <c r="F22" s="77"/>
      <c r="G22" s="77"/>
      <c r="H22" s="77"/>
      <c r="I22" s="77"/>
      <c r="J22" s="77">
        <f>240+240+240+240+240+240+240</f>
        <v>1680</v>
      </c>
      <c r="K22" s="78">
        <f t="shared" si="0"/>
        <v>1680</v>
      </c>
      <c r="L22" s="78">
        <f t="shared" si="1"/>
        <v>1680</v>
      </c>
      <c r="M22" s="79"/>
      <c r="N22" s="59">
        <f t="shared" si="2"/>
        <v>42000</v>
      </c>
      <c r="O22" s="60">
        <f t="shared" si="3"/>
        <v>42</v>
      </c>
      <c r="P22" s="39"/>
      <c r="Q22" s="39"/>
      <c r="R22" s="82"/>
    </row>
    <row r="23" spans="1:18" x14ac:dyDescent="0.3">
      <c r="A23" s="37">
        <f t="shared" si="4"/>
        <v>17</v>
      </c>
      <c r="B23" s="58" t="s">
        <v>94</v>
      </c>
      <c r="C23" s="38">
        <v>18</v>
      </c>
      <c r="D23" s="40">
        <v>5</v>
      </c>
      <c r="E23" s="76" t="s">
        <v>30</v>
      </c>
      <c r="F23" s="77"/>
      <c r="G23" s="77">
        <f>3+1</f>
        <v>4</v>
      </c>
      <c r="H23" s="77">
        <f>75+11</f>
        <v>86</v>
      </c>
      <c r="I23" s="77"/>
      <c r="J23" s="77">
        <f>210+160+280+210+180</f>
        <v>1040</v>
      </c>
      <c r="K23" s="78">
        <f t="shared" si="0"/>
        <v>1130</v>
      </c>
      <c r="L23" s="78">
        <f t="shared" si="1"/>
        <v>1130</v>
      </c>
      <c r="M23" s="79"/>
      <c r="N23" s="59">
        <f t="shared" si="2"/>
        <v>20340</v>
      </c>
      <c r="O23" s="60">
        <f t="shared" si="3"/>
        <v>20.34</v>
      </c>
      <c r="P23" s="39"/>
      <c r="Q23" s="39"/>
    </row>
    <row r="24" spans="1:18" x14ac:dyDescent="0.3">
      <c r="A24" s="37">
        <f t="shared" si="4"/>
        <v>18</v>
      </c>
      <c r="B24" s="58" t="s">
        <v>95</v>
      </c>
      <c r="C24" s="38">
        <v>22</v>
      </c>
      <c r="D24" s="40">
        <v>5</v>
      </c>
      <c r="E24" s="76" t="s">
        <v>30</v>
      </c>
      <c r="F24" s="77"/>
      <c r="G24" s="77">
        <f>12+2+3</f>
        <v>17</v>
      </c>
      <c r="H24" s="77">
        <f>17+8+11+23+44</f>
        <v>103</v>
      </c>
      <c r="I24" s="77"/>
      <c r="J24" s="77">
        <f>180+100+80+100+100+60+100+100+80+100+100+156+180+180+180+180+900</f>
        <v>2876</v>
      </c>
      <c r="K24" s="78">
        <f t="shared" si="0"/>
        <v>2996</v>
      </c>
      <c r="L24" s="78">
        <f t="shared" si="1"/>
        <v>2996</v>
      </c>
      <c r="M24" s="79"/>
      <c r="N24" s="59">
        <f t="shared" si="2"/>
        <v>65912</v>
      </c>
      <c r="O24" s="60">
        <f t="shared" si="3"/>
        <v>65.912000000000006</v>
      </c>
      <c r="P24" s="39"/>
      <c r="Q24" s="39"/>
    </row>
    <row r="25" spans="1:18" x14ac:dyDescent="0.3">
      <c r="A25" s="37">
        <f t="shared" si="4"/>
        <v>19</v>
      </c>
      <c r="B25" s="58" t="s">
        <v>88</v>
      </c>
      <c r="C25" s="38">
        <v>22</v>
      </c>
      <c r="D25" s="40">
        <v>5</v>
      </c>
      <c r="E25" s="76" t="s">
        <v>30</v>
      </c>
      <c r="F25" s="77"/>
      <c r="G25" s="77">
        <f>1</f>
        <v>1</v>
      </c>
      <c r="H25" s="77">
        <f>2</f>
        <v>2</v>
      </c>
      <c r="I25" s="77"/>
      <c r="J25" s="77">
        <f>210</f>
        <v>210</v>
      </c>
      <c r="K25" s="78">
        <f t="shared" si="0"/>
        <v>213</v>
      </c>
      <c r="L25" s="78">
        <f t="shared" si="1"/>
        <v>213</v>
      </c>
      <c r="M25" s="79"/>
      <c r="N25" s="59">
        <f t="shared" si="2"/>
        <v>4686</v>
      </c>
      <c r="O25" s="60">
        <f t="shared" si="3"/>
        <v>4.6859999999999999</v>
      </c>
      <c r="P25" s="39"/>
      <c r="Q25" s="39"/>
    </row>
    <row r="26" spans="1:18" x14ac:dyDescent="0.3">
      <c r="A26" s="37">
        <f t="shared" si="4"/>
        <v>20</v>
      </c>
      <c r="B26" s="58" t="s">
        <v>98</v>
      </c>
      <c r="C26" s="38">
        <v>20</v>
      </c>
      <c r="D26" s="40">
        <v>5</v>
      </c>
      <c r="E26" s="76" t="s">
        <v>30</v>
      </c>
      <c r="F26" s="77"/>
      <c r="G26" s="77">
        <f>2</f>
        <v>2</v>
      </c>
      <c r="H26" s="77">
        <f>4+7</f>
        <v>11</v>
      </c>
      <c r="I26" s="77"/>
      <c r="J26" s="77">
        <f>140+180+120+169+180</f>
        <v>789</v>
      </c>
      <c r="K26" s="78">
        <f t="shared" si="0"/>
        <v>802</v>
      </c>
      <c r="L26" s="78">
        <f t="shared" si="1"/>
        <v>802</v>
      </c>
      <c r="M26" s="79"/>
      <c r="N26" s="59">
        <f t="shared" si="2"/>
        <v>16040</v>
      </c>
      <c r="O26" s="60">
        <f t="shared" si="3"/>
        <v>16.04</v>
      </c>
      <c r="P26" s="39"/>
      <c r="Q26" s="39"/>
    </row>
    <row r="27" spans="1:18" x14ac:dyDescent="0.3">
      <c r="A27" s="37">
        <f t="shared" si="4"/>
        <v>21</v>
      </c>
      <c r="B27" s="58" t="s">
        <v>82</v>
      </c>
      <c r="C27" s="38">
        <v>13</v>
      </c>
      <c r="D27" s="40">
        <v>5</v>
      </c>
      <c r="E27" s="76" t="s">
        <v>30</v>
      </c>
      <c r="F27" s="77"/>
      <c r="G27" s="77"/>
      <c r="H27" s="77"/>
      <c r="I27" s="77"/>
      <c r="J27" s="77">
        <f>200+80</f>
        <v>280</v>
      </c>
      <c r="K27" s="78">
        <f t="shared" si="0"/>
        <v>280</v>
      </c>
      <c r="L27" s="78">
        <f t="shared" si="1"/>
        <v>280</v>
      </c>
      <c r="M27" s="79"/>
      <c r="N27" s="59">
        <f t="shared" si="2"/>
        <v>3640</v>
      </c>
      <c r="O27" s="60">
        <f t="shared" si="3"/>
        <v>3.64</v>
      </c>
      <c r="P27" s="39"/>
      <c r="Q27" s="39"/>
    </row>
    <row r="28" spans="1:18" x14ac:dyDescent="0.3">
      <c r="A28" s="120" t="s">
        <v>8</v>
      </c>
      <c r="B28" s="120"/>
      <c r="C28" s="120"/>
      <c r="D28" s="120"/>
      <c r="E28" s="120"/>
      <c r="F28" s="43">
        <f t="shared" ref="F28:O28" si="5">SUM(F7:F27)</f>
        <v>0</v>
      </c>
      <c r="G28" s="43">
        <f t="shared" si="5"/>
        <v>1239</v>
      </c>
      <c r="H28" s="43">
        <f t="shared" si="5"/>
        <v>3112</v>
      </c>
      <c r="I28" s="43">
        <f t="shared" si="5"/>
        <v>0</v>
      </c>
      <c r="J28" s="43">
        <f t="shared" si="5"/>
        <v>83778</v>
      </c>
      <c r="K28" s="43">
        <f t="shared" si="5"/>
        <v>88129</v>
      </c>
      <c r="L28" s="43">
        <f t="shared" si="5"/>
        <v>88129</v>
      </c>
      <c r="M28" s="43">
        <f t="shared" si="5"/>
        <v>0</v>
      </c>
      <c r="N28" s="43">
        <f t="shared" si="5"/>
        <v>1736576</v>
      </c>
      <c r="O28" s="43">
        <f t="shared" si="5"/>
        <v>1736.576</v>
      </c>
      <c r="P28" s="39"/>
    </row>
    <row r="29" spans="1:18" x14ac:dyDescent="0.3">
      <c r="A29" s="46"/>
      <c r="B29" s="46"/>
      <c r="C29" s="46"/>
      <c r="D29" s="47"/>
    </row>
    <row r="30" spans="1:18" x14ac:dyDescent="0.3">
      <c r="A30" s="112" t="s">
        <v>4</v>
      </c>
      <c r="B30" s="112"/>
      <c r="C30" s="112"/>
      <c r="D30" s="112"/>
      <c r="E30" s="44"/>
      <c r="F30" s="44"/>
      <c r="G30" s="44"/>
      <c r="H30" s="44"/>
      <c r="I30" s="44"/>
      <c r="J30" s="44"/>
      <c r="K30" s="44"/>
      <c r="L30" s="44"/>
    </row>
    <row r="31" spans="1:18" x14ac:dyDescent="0.3">
      <c r="A31" s="103" t="s">
        <v>6</v>
      </c>
      <c r="B31" s="103"/>
      <c r="C31" s="103"/>
      <c r="D31" s="103"/>
      <c r="E31" s="103"/>
      <c r="F31" s="103"/>
      <c r="G31" s="103"/>
      <c r="H31" s="103"/>
      <c r="I31" s="103"/>
      <c r="J31" s="103"/>
      <c r="K31" s="103"/>
      <c r="L31" s="103"/>
    </row>
    <row r="32" spans="1:18" x14ac:dyDescent="0.3">
      <c r="A32" s="103" t="s">
        <v>7</v>
      </c>
      <c r="B32" s="103"/>
      <c r="C32" s="103"/>
      <c r="D32" s="103"/>
      <c r="E32" s="103"/>
      <c r="F32" s="103"/>
      <c r="G32" s="103"/>
      <c r="H32" s="103"/>
      <c r="I32" s="103"/>
      <c r="J32" s="103"/>
      <c r="K32" s="103"/>
      <c r="L32" s="103"/>
    </row>
    <row r="33" spans="1:12" x14ac:dyDescent="0.3">
      <c r="A33" s="44"/>
      <c r="B33" s="44"/>
      <c r="C33" s="44"/>
      <c r="D33" s="44"/>
      <c r="E33" s="44"/>
      <c r="F33" s="44"/>
      <c r="G33" s="44"/>
      <c r="H33" s="44"/>
      <c r="I33" s="44"/>
      <c r="J33" s="44"/>
      <c r="K33" s="44"/>
      <c r="L33" s="44"/>
    </row>
    <row r="34" spans="1:12" x14ac:dyDescent="0.3">
      <c r="A34" s="41" t="s">
        <v>9</v>
      </c>
      <c r="B34" s="41"/>
      <c r="C34" s="41"/>
      <c r="D34" s="42" t="s">
        <v>5</v>
      </c>
      <c r="E34" s="45"/>
      <c r="F34" s="45"/>
      <c r="G34" s="45"/>
      <c r="H34" s="45"/>
      <c r="I34" s="45"/>
      <c r="J34" s="45"/>
      <c r="K34" s="45"/>
      <c r="L34" s="45"/>
    </row>
    <row r="35" spans="1:12" x14ac:dyDescent="0.3">
      <c r="A35" s="41" t="s">
        <v>3</v>
      </c>
      <c r="B35" s="66">
        <f>Declaration!C12</f>
        <v>45563</v>
      </c>
      <c r="C35" s="42"/>
      <c r="D35" s="42" t="s">
        <v>3</v>
      </c>
      <c r="E35" s="45"/>
      <c r="F35" s="45"/>
      <c r="G35" s="45"/>
      <c r="H35" s="45"/>
      <c r="I35" s="45"/>
      <c r="J35" s="45"/>
      <c r="K35" s="45"/>
      <c r="L35" s="45"/>
    </row>
  </sheetData>
  <mergeCells count="12">
    <mergeCell ref="B1:C1"/>
    <mergeCell ref="A32:L32"/>
    <mergeCell ref="B3:D3"/>
    <mergeCell ref="B4:D4"/>
    <mergeCell ref="G5:K5"/>
    <mergeCell ref="A30:D30"/>
    <mergeCell ref="A31:L31"/>
    <mergeCell ref="D1:E1"/>
    <mergeCell ref="E3:M4"/>
    <mergeCell ref="A2:M2"/>
    <mergeCell ref="A28:E28"/>
    <mergeCell ref="B5:E5"/>
  </mergeCells>
  <conditionalFormatting sqref="B4">
    <cfRule type="duplicateValues" dxfId="0" priority="1"/>
  </conditionalFormatting>
  <pageMargins left="0.19685039370078741" right="0.15748031496062992" top="0.35433070866141736" bottom="0.23622047244094491" header="0.31496062992125984" footer="0.31496062992125984"/>
  <pageSetup paperSize="9" scale="9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
  <sheetViews>
    <sheetView zoomScaleNormal="100" workbookViewId="0">
      <selection activeCell="G18" sqref="G18"/>
    </sheetView>
  </sheetViews>
  <sheetFormatPr defaultColWidth="24.21875" defaultRowHeight="14.4" x14ac:dyDescent="0.3"/>
  <cols>
    <col min="1" max="1" width="23.88671875" bestFit="1" customWidth="1"/>
    <col min="2" max="2" width="17.77734375" bestFit="1" customWidth="1"/>
    <col min="3" max="3" width="7.88671875" bestFit="1" customWidth="1"/>
    <col min="4" max="4" width="11.33203125" bestFit="1" customWidth="1"/>
    <col min="5" max="5" width="7.21875" bestFit="1" customWidth="1"/>
    <col min="6" max="6" width="8.33203125" bestFit="1" customWidth="1"/>
    <col min="7" max="7" width="15.77734375" bestFit="1" customWidth="1"/>
    <col min="8" max="8" width="18.6640625" bestFit="1" customWidth="1"/>
  </cols>
  <sheetData>
    <row r="1" spans="1:8" x14ac:dyDescent="0.3">
      <c r="A1" s="17" t="s">
        <v>32</v>
      </c>
      <c r="B1" s="18"/>
      <c r="C1" s="18"/>
      <c r="D1" s="19"/>
      <c r="E1" s="12"/>
      <c r="F1" s="12"/>
      <c r="G1" s="7" t="s">
        <v>16</v>
      </c>
      <c r="H1" s="80">
        <f>Declaration!C10</f>
        <v>45558</v>
      </c>
    </row>
    <row r="2" spans="1:8" x14ac:dyDescent="0.3">
      <c r="A2" s="3" t="s">
        <v>11</v>
      </c>
      <c r="B2" s="101" t="str">
        <f>Declaration!C3</f>
        <v>BAJRANG TRADING COMPANY</v>
      </c>
      <c r="C2" s="101"/>
      <c r="D2" s="19"/>
      <c r="E2" s="12"/>
      <c r="F2" s="12"/>
      <c r="G2" s="7" t="s">
        <v>18</v>
      </c>
      <c r="H2" s="81">
        <f>Declaration!C12</f>
        <v>45563</v>
      </c>
    </row>
    <row r="3" spans="1:8" ht="24" x14ac:dyDescent="0.3">
      <c r="A3" s="61" t="s">
        <v>33</v>
      </c>
      <c r="B3" s="61" t="s">
        <v>41</v>
      </c>
      <c r="C3" s="61" t="s">
        <v>39</v>
      </c>
      <c r="D3" s="20" t="s">
        <v>34</v>
      </c>
      <c r="E3" s="21" t="s">
        <v>35</v>
      </c>
      <c r="F3" s="20" t="s">
        <v>36</v>
      </c>
      <c r="G3" s="21" t="s">
        <v>37</v>
      </c>
      <c r="H3" s="22" t="s">
        <v>38</v>
      </c>
    </row>
    <row r="4" spans="1:8" ht="24" x14ac:dyDescent="0.3">
      <c r="A4" s="62">
        <v>1</v>
      </c>
      <c r="B4" s="63" t="s">
        <v>90</v>
      </c>
      <c r="C4" s="49">
        <v>1</v>
      </c>
      <c r="D4" s="65">
        <v>45558</v>
      </c>
      <c r="E4" s="57" t="s">
        <v>91</v>
      </c>
      <c r="F4" s="57" t="s">
        <v>92</v>
      </c>
      <c r="G4" s="83" t="s">
        <v>107</v>
      </c>
      <c r="H4" s="64"/>
    </row>
    <row r="5" spans="1:8" ht="24" x14ac:dyDescent="0.3">
      <c r="A5" s="62">
        <f>A4+1</f>
        <v>2</v>
      </c>
      <c r="B5" s="63" t="s">
        <v>90</v>
      </c>
      <c r="C5" s="49">
        <v>1</v>
      </c>
      <c r="D5" s="65">
        <v>45559</v>
      </c>
      <c r="E5" s="57" t="s">
        <v>93</v>
      </c>
      <c r="F5" s="57" t="s">
        <v>92</v>
      </c>
      <c r="G5" s="83" t="s">
        <v>107</v>
      </c>
      <c r="H5" s="64"/>
    </row>
    <row r="6" spans="1:8" ht="24" x14ac:dyDescent="0.3">
      <c r="A6" s="62">
        <f t="shared" ref="A6:A9" si="0">A5+1</f>
        <v>3</v>
      </c>
      <c r="B6" s="63" t="s">
        <v>90</v>
      </c>
      <c r="C6" s="49">
        <v>1</v>
      </c>
      <c r="D6" s="65">
        <v>45560</v>
      </c>
      <c r="E6" s="57" t="s">
        <v>93</v>
      </c>
      <c r="F6" s="57" t="s">
        <v>92</v>
      </c>
      <c r="G6" s="83" t="s">
        <v>107</v>
      </c>
      <c r="H6" s="64"/>
    </row>
    <row r="7" spans="1:8" ht="24" x14ac:dyDescent="0.3">
      <c r="A7" s="62">
        <f t="shared" si="0"/>
        <v>4</v>
      </c>
      <c r="B7" s="63" t="s">
        <v>90</v>
      </c>
      <c r="C7" s="49">
        <v>1.5</v>
      </c>
      <c r="D7" s="65">
        <v>45561</v>
      </c>
      <c r="E7" s="57" t="s">
        <v>93</v>
      </c>
      <c r="F7" s="57" t="s">
        <v>92</v>
      </c>
      <c r="G7" s="83" t="s">
        <v>107</v>
      </c>
      <c r="H7" s="64"/>
    </row>
    <row r="8" spans="1:8" ht="24" x14ac:dyDescent="0.3">
      <c r="A8" s="62">
        <f t="shared" si="0"/>
        <v>5</v>
      </c>
      <c r="B8" s="63" t="s">
        <v>105</v>
      </c>
      <c r="C8" s="49">
        <v>1.5</v>
      </c>
      <c r="D8" s="65">
        <v>45562</v>
      </c>
      <c r="E8" s="57" t="s">
        <v>93</v>
      </c>
      <c r="F8" s="57" t="s">
        <v>106</v>
      </c>
      <c r="G8" s="83" t="s">
        <v>107</v>
      </c>
      <c r="H8" s="64"/>
    </row>
    <row r="9" spans="1:8" ht="24" x14ac:dyDescent="0.3">
      <c r="A9" s="62">
        <f t="shared" si="0"/>
        <v>6</v>
      </c>
      <c r="B9" s="63" t="s">
        <v>105</v>
      </c>
      <c r="C9" s="49">
        <v>1</v>
      </c>
      <c r="D9" s="65">
        <v>45563</v>
      </c>
      <c r="E9" s="57" t="s">
        <v>93</v>
      </c>
      <c r="F9" s="57" t="s">
        <v>104</v>
      </c>
      <c r="G9" s="83" t="s">
        <v>107</v>
      </c>
      <c r="H9" s="64"/>
    </row>
    <row r="10" spans="1:8" x14ac:dyDescent="0.3">
      <c r="B10" s="48" t="s">
        <v>68</v>
      </c>
      <c r="C10" s="50">
        <f>SUM(C4:C9)</f>
        <v>7</v>
      </c>
    </row>
  </sheetData>
  <mergeCells count="1">
    <mergeCell ref="B2:C2"/>
  </mergeCells>
  <pageMargins left="0.7" right="0.7" top="0.75" bottom="0.75" header="0.3" footer="0.3"/>
  <pageSetup paperSize="9" scale="7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K14"/>
  <sheetViews>
    <sheetView tabSelected="1" zoomScale="104" zoomScaleNormal="96" workbookViewId="0">
      <selection activeCell="K8" sqref="K8"/>
    </sheetView>
  </sheetViews>
  <sheetFormatPr defaultColWidth="10" defaultRowHeight="14.4" x14ac:dyDescent="0.3"/>
  <cols>
    <col min="1" max="1" width="5.44140625" bestFit="1" customWidth="1"/>
    <col min="2" max="2" width="41.88671875" customWidth="1"/>
    <col min="3" max="3" width="27.21875" bestFit="1" customWidth="1"/>
    <col min="4" max="4" width="14.77734375" customWidth="1"/>
    <col min="5" max="5" width="8.33203125" bestFit="1" customWidth="1"/>
    <col min="6" max="6" width="12.5546875" customWidth="1"/>
    <col min="7" max="7" width="11.88671875" hidden="1" customWidth="1"/>
    <col min="8" max="8" width="10.44140625" bestFit="1" customWidth="1"/>
    <col min="9" max="9" width="13" customWidth="1"/>
    <col min="10" max="10" width="20.21875" customWidth="1"/>
  </cols>
  <sheetData>
    <row r="2" spans="1:11" x14ac:dyDescent="0.3">
      <c r="B2" s="69">
        <f>Declaration!C10</f>
        <v>45558</v>
      </c>
      <c r="C2" s="70" t="str">
        <f>Declaration!C3</f>
        <v>BAJRANG TRADING COMPANY</v>
      </c>
    </row>
    <row r="3" spans="1:11" x14ac:dyDescent="0.3">
      <c r="A3" s="52" t="s">
        <v>40</v>
      </c>
      <c r="B3" s="56" t="s">
        <v>72</v>
      </c>
      <c r="C3" s="53" t="s">
        <v>52</v>
      </c>
      <c r="D3" s="52" t="s">
        <v>42</v>
      </c>
      <c r="E3" s="72" t="s">
        <v>84</v>
      </c>
      <c r="F3" s="72" t="s">
        <v>85</v>
      </c>
      <c r="G3" s="72" t="s">
        <v>86</v>
      </c>
      <c r="H3" s="72" t="s">
        <v>87</v>
      </c>
      <c r="I3" s="52" t="s">
        <v>43</v>
      </c>
    </row>
    <row r="4" spans="1:11" x14ac:dyDescent="0.3">
      <c r="A4" s="24">
        <v>1</v>
      </c>
      <c r="B4" s="24" t="s">
        <v>83</v>
      </c>
      <c r="C4" s="25">
        <f>52.14+39+26+15.4</f>
        <v>132.54</v>
      </c>
      <c r="D4" s="24">
        <v>4</v>
      </c>
      <c r="E4" s="73">
        <v>10</v>
      </c>
      <c r="F4" s="73">
        <f t="shared" ref="F4:F6" si="0">C4*E4</f>
        <v>1325.3999999999999</v>
      </c>
      <c r="G4" s="73">
        <v>0</v>
      </c>
      <c r="H4" s="74">
        <f t="shared" ref="H4:H6" si="1">F4-G4</f>
        <v>1325.3999999999999</v>
      </c>
      <c r="I4" s="24"/>
    </row>
    <row r="5" spans="1:11" x14ac:dyDescent="0.3">
      <c r="A5" s="24">
        <f>A4+1</f>
        <v>2</v>
      </c>
      <c r="B5" s="24" t="s">
        <v>77</v>
      </c>
      <c r="C5" s="25">
        <f>38.4+37.1+43.65+15.85</f>
        <v>135</v>
      </c>
      <c r="D5" s="24">
        <v>4</v>
      </c>
      <c r="E5" s="73">
        <v>10</v>
      </c>
      <c r="F5" s="73">
        <f t="shared" si="0"/>
        <v>1350</v>
      </c>
      <c r="G5" s="73">
        <v>0</v>
      </c>
      <c r="H5" s="74">
        <f t="shared" si="1"/>
        <v>1350</v>
      </c>
      <c r="I5" s="24"/>
    </row>
    <row r="6" spans="1:11" x14ac:dyDescent="0.3">
      <c r="A6" s="24">
        <f t="shared" ref="A6" si="2">A5+1</f>
        <v>3</v>
      </c>
      <c r="B6" s="24" t="s">
        <v>78</v>
      </c>
      <c r="C6" s="25">
        <v>41.9</v>
      </c>
      <c r="D6" s="24">
        <v>1</v>
      </c>
      <c r="E6" s="73">
        <v>10</v>
      </c>
      <c r="F6" s="73">
        <f t="shared" si="0"/>
        <v>419</v>
      </c>
      <c r="G6" s="73">
        <v>0</v>
      </c>
      <c r="H6" s="74">
        <f t="shared" si="1"/>
        <v>419</v>
      </c>
      <c r="I6" s="24"/>
    </row>
    <row r="7" spans="1:11" x14ac:dyDescent="0.3">
      <c r="A7" s="128">
        <f>A6+1</f>
        <v>4</v>
      </c>
      <c r="B7" s="58" t="s">
        <v>109</v>
      </c>
      <c r="C7" s="130">
        <f>40.9+41.7+36.6+48.4+39.6+30.1+24.6+23.6+25.2+23.35+25.9+26.9+17.2+17+16.55+23.6+16.7+16.55+16+19.4+17.3+17.9+18.65+17.1+15.45+16.8+17.3+18.25+17.85+17.6+18.3+18.95+16.25+17.45+17+17.3+15.95+17.2+17.2+18.4+16.95+17.4+17.15+16.35+17.55+16.25+16.6+16.4+16.8+19.2+28.7+16+13.5+20.8+19.3+21.45+20.6+21+15.6+11+18.1+45.6</f>
        <v>1300.3499999999997</v>
      </c>
      <c r="D7" s="132">
        <v>61</v>
      </c>
      <c r="E7" s="124">
        <v>10</v>
      </c>
      <c r="F7" s="124">
        <f>C7*E7</f>
        <v>13003.499999999996</v>
      </c>
      <c r="G7" s="124">
        <v>0</v>
      </c>
      <c r="H7" s="126">
        <f>F7-G7</f>
        <v>13003.499999999996</v>
      </c>
      <c r="I7" s="128"/>
    </row>
    <row r="8" spans="1:11" x14ac:dyDescent="0.3">
      <c r="A8" s="129"/>
      <c r="B8" s="24" t="s">
        <v>108</v>
      </c>
      <c r="C8" s="131"/>
      <c r="D8" s="133"/>
      <c r="E8" s="125"/>
      <c r="F8" s="125"/>
      <c r="G8" s="125"/>
      <c r="H8" s="127"/>
      <c r="I8" s="129"/>
    </row>
    <row r="9" spans="1:11" x14ac:dyDescent="0.3">
      <c r="A9" s="11"/>
      <c r="B9" s="11" t="s">
        <v>44</v>
      </c>
      <c r="C9" s="51">
        <f>SUM(C4:C8)</f>
        <v>1609.7899999999995</v>
      </c>
      <c r="D9" s="67">
        <f>SUM(D4:D8)</f>
        <v>70</v>
      </c>
      <c r="E9" s="75"/>
      <c r="F9" s="75">
        <f>SUM(F4:F7)</f>
        <v>16097.899999999996</v>
      </c>
      <c r="G9" s="75">
        <f>SUM(G4:G7)</f>
        <v>0</v>
      </c>
      <c r="H9" s="75">
        <f>SUM(H4:H7)</f>
        <v>16097.899999999996</v>
      </c>
      <c r="I9" s="24"/>
    </row>
    <row r="11" spans="1:11" ht="28.8" x14ac:dyDescent="0.3">
      <c r="B11" s="71" t="s">
        <v>53</v>
      </c>
      <c r="K11" s="23"/>
    </row>
    <row r="14" spans="1:11" x14ac:dyDescent="0.3">
      <c r="B14" t="s">
        <v>31</v>
      </c>
    </row>
  </sheetData>
  <mergeCells count="8">
    <mergeCell ref="G7:G8"/>
    <mergeCell ref="H7:H8"/>
    <mergeCell ref="I7:I8"/>
    <mergeCell ref="A7:A8"/>
    <mergeCell ref="C7:C8"/>
    <mergeCell ref="D7:D8"/>
    <mergeCell ref="E7:E8"/>
    <mergeCell ref="F7:F8"/>
  </mergeCells>
  <pageMargins left="0.7" right="0.7" top="0.75" bottom="0.75" header="0.3" footer="0.3"/>
  <pageSetup paperSize="9" fitToWidth="0"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3ACA8-C093-43B2-8C99-11B8FF58B50E}">
  <dimension ref="A2:I14"/>
  <sheetViews>
    <sheetView workbookViewId="0">
      <selection activeCell="F17" sqref="F17"/>
    </sheetView>
  </sheetViews>
  <sheetFormatPr defaultRowHeight="14.4" x14ac:dyDescent="0.3"/>
  <cols>
    <col min="2" max="2" width="42.6640625" customWidth="1"/>
    <col min="3" max="3" width="25.33203125" customWidth="1"/>
    <col min="4" max="4" width="12.6640625" customWidth="1"/>
    <col min="5" max="5" width="8" bestFit="1" customWidth="1"/>
    <col min="6" max="6" width="12.77734375" customWidth="1"/>
    <col min="7" max="7" width="0.109375" customWidth="1"/>
    <col min="8" max="8" width="10.21875" customWidth="1"/>
    <col min="9" max="9" width="7.109375" customWidth="1"/>
  </cols>
  <sheetData>
    <row r="2" spans="1:9" x14ac:dyDescent="0.3">
      <c r="B2" s="69">
        <f>Declaration!C10</f>
        <v>45558</v>
      </c>
      <c r="C2" s="70" t="str">
        <f>Declaration!C3</f>
        <v>BAJRANG TRADING COMPANY</v>
      </c>
    </row>
    <row r="3" spans="1:9" x14ac:dyDescent="0.3">
      <c r="A3" s="52" t="s">
        <v>40</v>
      </c>
      <c r="B3" s="56" t="s">
        <v>72</v>
      </c>
      <c r="C3" s="53" t="s">
        <v>52</v>
      </c>
      <c r="D3" s="52" t="s">
        <v>42</v>
      </c>
      <c r="E3" s="72" t="s">
        <v>84</v>
      </c>
      <c r="F3" s="72" t="s">
        <v>85</v>
      </c>
      <c r="G3" s="72" t="s">
        <v>86</v>
      </c>
      <c r="H3" s="72" t="s">
        <v>87</v>
      </c>
      <c r="I3" s="52" t="s">
        <v>43</v>
      </c>
    </row>
    <row r="4" spans="1:9" x14ac:dyDescent="0.3">
      <c r="A4" s="24">
        <v>1</v>
      </c>
      <c r="B4" s="24" t="s">
        <v>83</v>
      </c>
      <c r="C4" s="25">
        <f>52.14+39+26+15.4</f>
        <v>132.54</v>
      </c>
      <c r="D4" s="24">
        <v>4</v>
      </c>
      <c r="E4" s="73">
        <v>8</v>
      </c>
      <c r="F4" s="73">
        <f t="shared" ref="F4:F6" si="0">C4*E4</f>
        <v>1060.32</v>
      </c>
      <c r="G4" s="73">
        <v>0</v>
      </c>
      <c r="H4" s="74">
        <f t="shared" ref="H4:H6" si="1">F4-G4</f>
        <v>1060.32</v>
      </c>
      <c r="I4" s="24"/>
    </row>
    <row r="5" spans="1:9" x14ac:dyDescent="0.3">
      <c r="A5" s="24">
        <f>A4+1</f>
        <v>2</v>
      </c>
      <c r="B5" s="24" t="s">
        <v>77</v>
      </c>
      <c r="C5" s="25">
        <f>38.4+37.1+43.65+15.85</f>
        <v>135</v>
      </c>
      <c r="D5" s="24">
        <v>4</v>
      </c>
      <c r="E5" s="73">
        <v>8</v>
      </c>
      <c r="F5" s="73">
        <f t="shared" si="0"/>
        <v>1080</v>
      </c>
      <c r="G5" s="73">
        <v>0</v>
      </c>
      <c r="H5" s="74">
        <f t="shared" si="1"/>
        <v>1080</v>
      </c>
      <c r="I5" s="24"/>
    </row>
    <row r="6" spans="1:9" x14ac:dyDescent="0.3">
      <c r="A6" s="24">
        <f t="shared" ref="A6" si="2">A5+1</f>
        <v>3</v>
      </c>
      <c r="B6" s="24" t="s">
        <v>78</v>
      </c>
      <c r="C6" s="25">
        <v>41.9</v>
      </c>
      <c r="D6" s="24">
        <v>1</v>
      </c>
      <c r="E6" s="73">
        <v>8</v>
      </c>
      <c r="F6" s="73">
        <f t="shared" si="0"/>
        <v>335.2</v>
      </c>
      <c r="G6" s="73">
        <v>0</v>
      </c>
      <c r="H6" s="74">
        <f t="shared" si="1"/>
        <v>335.2</v>
      </c>
      <c r="I6" s="24"/>
    </row>
    <row r="7" spans="1:9" x14ac:dyDescent="0.3">
      <c r="A7" s="128">
        <f>A6+1</f>
        <v>4</v>
      </c>
      <c r="B7" s="58" t="s">
        <v>109</v>
      </c>
      <c r="C7" s="130">
        <f>40.9+41.7+36.6+48.4+39.6+30.1+24.6+23.6+25.2+23.35+25.9+26.9+17.2+17+16.55+23.6+16.7+16.55+16+19.4+17.3+17.9+18.65+17.1+15.45+16.8+17.3+18.25+17.85+17.6+18.3+18.95+16.25+17.45+17+17.3+15.95+17.2+17.2+18.4+16.95+17.4+17.15+16.35+17.55+16.25+16.6+16.4+16.8+19.2+28.7+16+13.5+20.8+19.3+21.45+20.6+21+15.6+11+18.1+45.6</f>
        <v>1300.3499999999997</v>
      </c>
      <c r="D7" s="132">
        <v>61</v>
      </c>
      <c r="E7" s="124">
        <v>8</v>
      </c>
      <c r="F7" s="124">
        <f>C7*E7</f>
        <v>10402.799999999997</v>
      </c>
      <c r="G7" s="124">
        <v>0</v>
      </c>
      <c r="H7" s="126">
        <f>F7-G7</f>
        <v>10402.799999999997</v>
      </c>
      <c r="I7" s="128"/>
    </row>
    <row r="8" spans="1:9" x14ac:dyDescent="0.3">
      <c r="A8" s="129"/>
      <c r="B8" s="24" t="s">
        <v>108</v>
      </c>
      <c r="C8" s="131"/>
      <c r="D8" s="133"/>
      <c r="E8" s="125"/>
      <c r="F8" s="125"/>
      <c r="G8" s="125"/>
      <c r="H8" s="127"/>
      <c r="I8" s="129"/>
    </row>
    <row r="9" spans="1:9" x14ac:dyDescent="0.3">
      <c r="A9" s="11"/>
      <c r="B9" s="11" t="s">
        <v>44</v>
      </c>
      <c r="C9" s="51">
        <f>SUM(C4:C8)</f>
        <v>1609.7899999999995</v>
      </c>
      <c r="D9" s="67">
        <f>SUM(D4:D8)</f>
        <v>70</v>
      </c>
      <c r="E9" s="75"/>
      <c r="F9" s="75">
        <f>SUM(F4:F7)</f>
        <v>12878.319999999996</v>
      </c>
      <c r="G9" s="75">
        <f>SUM(G4:G7)</f>
        <v>0</v>
      </c>
      <c r="H9" s="75">
        <f>SUM(H4:H7)</f>
        <v>12878.319999999996</v>
      </c>
      <c r="I9" s="24"/>
    </row>
    <row r="11" spans="1:9" ht="45" customHeight="1" x14ac:dyDescent="0.3">
      <c r="B11" s="71" t="s">
        <v>53</v>
      </c>
    </row>
    <row r="14" spans="1:9" x14ac:dyDescent="0.3">
      <c r="B14" t="s">
        <v>31</v>
      </c>
    </row>
  </sheetData>
  <mergeCells count="8">
    <mergeCell ref="H7:H8"/>
    <mergeCell ref="I7:I8"/>
    <mergeCell ref="A7:A8"/>
    <mergeCell ref="C7:C8"/>
    <mergeCell ref="D7:D8"/>
    <mergeCell ref="E7:E8"/>
    <mergeCell ref="F7:F8"/>
    <mergeCell ref="G7:G8"/>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26f0e883-195c-4097-964b-4652bc177b58"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235C1913E97074C8197778633064682" ma:contentTypeVersion="9" ma:contentTypeDescription="Create a new document." ma:contentTypeScope="" ma:versionID="1a46fe3fdbccbecd6978e8a7c1da2b41">
  <xsd:schema xmlns:xsd="http://www.w3.org/2001/XMLSchema" xmlns:xs="http://www.w3.org/2001/XMLSchema" xmlns:p="http://schemas.microsoft.com/office/2006/metadata/properties" xmlns:ns3="26f0e883-195c-4097-964b-4652bc177b58" xmlns:ns4="fa66f92d-833a-4cb8-a712-221909bdb10d" targetNamespace="http://schemas.microsoft.com/office/2006/metadata/properties" ma:root="true" ma:fieldsID="74d229db0194cd571674d4f50795fcf6" ns3:_="" ns4:_="">
    <xsd:import namespace="26f0e883-195c-4097-964b-4652bc177b58"/>
    <xsd:import namespace="fa66f92d-833a-4cb8-a712-221909bdb10d"/>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f0e883-195c-4097-964b-4652bc177b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a66f92d-833a-4cb8-a712-221909bdb10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87618BF-4687-456E-9C4B-C593496D954E}">
  <ds:schemaRefs>
    <ds:schemaRef ds:uri="http://schemas.microsoft.com/sharepoint/v3/contenttype/forms"/>
  </ds:schemaRefs>
</ds:datastoreItem>
</file>

<file path=customXml/itemProps2.xml><?xml version="1.0" encoding="utf-8"?>
<ds:datastoreItem xmlns:ds="http://schemas.openxmlformats.org/officeDocument/2006/customXml" ds:itemID="{61BC63A8-6981-45C2-A473-37306D3BAA09}">
  <ds:schemaRefs>
    <ds:schemaRef ds:uri="26f0e883-195c-4097-964b-4652bc177b58"/>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http://www.w3.org/XML/1998/namespace"/>
    <ds:schemaRef ds:uri="http://schemas.microsoft.com/office/2006/metadata/properties"/>
    <ds:schemaRef ds:uri="http://purl.org/dc/terms/"/>
    <ds:schemaRef ds:uri="fa66f92d-833a-4cb8-a712-221909bdb10d"/>
    <ds:schemaRef ds:uri="http://purl.org/dc/dcmitype/"/>
  </ds:schemaRefs>
</ds:datastoreItem>
</file>

<file path=customXml/itemProps3.xml><?xml version="1.0" encoding="utf-8"?>
<ds:datastoreItem xmlns:ds="http://schemas.openxmlformats.org/officeDocument/2006/customXml" ds:itemID="{618B6933-6A78-4AE9-940E-2DDD5A7E52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f0e883-195c-4097-964b-4652bc177b58"/>
    <ds:schemaRef ds:uri="fa66f92d-833a-4cb8-a712-221909bdb1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Declaration</vt:lpstr>
      <vt:lpstr>Distributor Claim Sheet</vt:lpstr>
      <vt:lpstr>Mandays</vt:lpstr>
      <vt:lpstr>Scrap stock detail</vt:lpstr>
      <vt:lpstr>Sheet1</vt:lpstr>
      <vt:lpstr>Declaration!Print_Area</vt:lpstr>
      <vt:lpstr>'Distributor Claim 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OYE VILLAIN</cp:lastModifiedBy>
  <cp:lastPrinted>2024-09-28T12:01:46Z</cp:lastPrinted>
  <dcterms:created xsi:type="dcterms:W3CDTF">2018-09-14T16:50:16Z</dcterms:created>
  <dcterms:modified xsi:type="dcterms:W3CDTF">2024-10-24T15:45:25Z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0x010100C235C1913E97074C8197778633064682</vt:lpwstr>
  </property>
  <property fmtid="{D5CDD505-2E9C-101B-9397-08002B2CF9AE}" pid="3" name="ICV">
    <vt:lpwstr>a77c150bf2c54ea9a138ff892a5f1d4f</vt:lpwstr>
  </property>
</Properties>
</file>