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13_ncr:1_{886FF3D1-17AA-450B-A408-C77DEF1FA7EC}"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Sheet'!$A$2:$O$25</definedName>
    <definedName name="_xlnm._FilterDatabase" localSheetId="3" hidden="1">'Scrap stock detail'!$A$3:$I$8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Sheet'!$A$1:$P$32</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2" l="1"/>
  <c r="H7" i="2"/>
  <c r="G8" i="2"/>
  <c r="H8" i="2"/>
  <c r="G9" i="2"/>
  <c r="H9" i="2"/>
  <c r="G11" i="2"/>
  <c r="H11" i="2"/>
  <c r="G12" i="2"/>
  <c r="H12" i="2"/>
  <c r="G13" i="2"/>
  <c r="H13" i="2"/>
  <c r="G15" i="2"/>
  <c r="H15" i="2"/>
  <c r="G16" i="2"/>
  <c r="H16" i="2"/>
  <c r="G17" i="2"/>
  <c r="H17" i="2"/>
  <c r="G18" i="2"/>
  <c r="H18" i="2"/>
  <c r="G19" i="2"/>
  <c r="H19" i="2"/>
  <c r="G20" i="2"/>
  <c r="H20" i="2"/>
  <c r="G22" i="2"/>
  <c r="H22" i="2"/>
  <c r="G23" i="2"/>
  <c r="H23" i="2"/>
  <c r="G24" i="2"/>
  <c r="H24" i="2"/>
  <c r="C7" i="4"/>
  <c r="F7" i="4" s="1"/>
  <c r="H7" i="4" s="1"/>
  <c r="C5" i="4"/>
  <c r="F5" i="4"/>
  <c r="H5" i="4" s="1"/>
  <c r="C4" i="4"/>
  <c r="J12" i="2"/>
  <c r="J8" i="2"/>
  <c r="A13" i="2"/>
  <c r="A14" i="2" s="1"/>
  <c r="A15" i="2" s="1"/>
  <c r="A16" i="2" s="1"/>
  <c r="A17" i="2" s="1"/>
  <c r="A18" i="2" s="1"/>
  <c r="A19" i="2" s="1"/>
  <c r="A20" i="2" s="1"/>
  <c r="A21" i="2" s="1"/>
  <c r="A22" i="2" s="1"/>
  <c r="A23" i="2" s="1"/>
  <c r="A24" i="2" s="1"/>
  <c r="K16" i="2"/>
  <c r="L16" i="2" s="1"/>
  <c r="K19" i="2"/>
  <c r="N19" i="2" s="1"/>
  <c r="O19" i="2" s="1"/>
  <c r="J18" i="2"/>
  <c r="J24" i="2"/>
  <c r="J22" i="2"/>
  <c r="J15" i="2"/>
  <c r="J7" i="2"/>
  <c r="J9" i="2"/>
  <c r="J11" i="2"/>
  <c r="J17" i="2"/>
  <c r="J13" i="2"/>
  <c r="J16" i="2"/>
  <c r="J23" i="2"/>
  <c r="J20" i="2"/>
  <c r="K21" i="2"/>
  <c r="A6" i="3"/>
  <c r="A7" i="3"/>
  <c r="A5" i="3"/>
  <c r="C8" i="3"/>
  <c r="K14" i="2"/>
  <c r="L14" i="2" s="1"/>
  <c r="K10" i="2"/>
  <c r="N10" i="2" s="1"/>
  <c r="O10" i="2" s="1"/>
  <c r="M25" i="2"/>
  <c r="I25" i="2"/>
  <c r="J19" i="2"/>
  <c r="F6" i="4"/>
  <c r="H6" i="4" s="1"/>
  <c r="G8" i="4"/>
  <c r="D8" i="4"/>
  <c r="C8" i="4" l="1"/>
  <c r="K18" i="2"/>
  <c r="N18" i="2" s="1"/>
  <c r="O18" i="2" s="1"/>
  <c r="K22" i="2"/>
  <c r="L22" i="2" s="1"/>
  <c r="K8" i="2"/>
  <c r="N8" i="2" s="1"/>
  <c r="O8" i="2" s="1"/>
  <c r="K13" i="2"/>
  <c r="N13" i="2" s="1"/>
  <c r="O13" i="2" s="1"/>
  <c r="K9" i="2"/>
  <c r="N9" i="2" s="1"/>
  <c r="O9" i="2" s="1"/>
  <c r="K15" i="2"/>
  <c r="N15" i="2" s="1"/>
  <c r="O15" i="2" s="1"/>
  <c r="K20" i="2"/>
  <c r="L20" i="2" s="1"/>
  <c r="L21" i="2"/>
  <c r="N21" i="2"/>
  <c r="O21" i="2" s="1"/>
  <c r="K23" i="2"/>
  <c r="N23" i="2" s="1"/>
  <c r="O23" i="2" s="1"/>
  <c r="K24" i="2"/>
  <c r="N24" i="2" s="1"/>
  <c r="O24" i="2" s="1"/>
  <c r="K17" i="2"/>
  <c r="N17" i="2" s="1"/>
  <c r="O17" i="2" s="1"/>
  <c r="G25" i="2"/>
  <c r="K11" i="2"/>
  <c r="L11" i="2" s="1"/>
  <c r="K12" i="2"/>
  <c r="N12" i="2" s="1"/>
  <c r="O12" i="2" s="1"/>
  <c r="H25" i="2"/>
  <c r="J25" i="2"/>
  <c r="L19" i="2"/>
  <c r="N14" i="2"/>
  <c r="O14" i="2" s="1"/>
  <c r="N16" i="2"/>
  <c r="O16" i="2" s="1"/>
  <c r="L10" i="2"/>
  <c r="F4" i="4"/>
  <c r="F8" i="4" s="1"/>
  <c r="L18" i="2" l="1"/>
  <c r="N22" i="2"/>
  <c r="O22" i="2" s="1"/>
  <c r="L8" i="2"/>
  <c r="L13" i="2"/>
  <c r="L9" i="2"/>
  <c r="L15" i="2"/>
  <c r="N20" i="2"/>
  <c r="O20" i="2" s="1"/>
  <c r="L24" i="2"/>
  <c r="L23" i="2"/>
  <c r="L17" i="2"/>
  <c r="N11" i="2"/>
  <c r="O11" i="2" s="1"/>
  <c r="L12" i="2"/>
  <c r="H4" i="4"/>
  <c r="H8" i="4" s="1"/>
  <c r="B30" i="1"/>
  <c r="C2" i="4" l="1"/>
  <c r="D23" i="1"/>
  <c r="B32" i="2"/>
  <c r="F25" i="2"/>
  <c r="H1" i="3" l="1"/>
  <c r="H2" i="3"/>
  <c r="B2" i="3"/>
  <c r="B2" i="4"/>
  <c r="C30" i="1"/>
  <c r="D30" i="1"/>
  <c r="B5" i="2"/>
  <c r="B3" i="2"/>
  <c r="C19" i="1"/>
  <c r="C17" i="1"/>
  <c r="A5" i="4" l="1"/>
  <c r="A6" i="4" s="1"/>
  <c r="A7" i="4" s="1"/>
  <c r="A8" i="2"/>
  <c r="A9" i="2" s="1"/>
  <c r="A10" i="2" s="1"/>
  <c r="A11" i="2" s="1"/>
  <c r="A12" i="2" s="1"/>
  <c r="C18" i="1" l="1"/>
  <c r="K7" i="2"/>
  <c r="K25" i="2" s="1"/>
  <c r="C20" i="1"/>
  <c r="L7" i="2" l="1"/>
  <c r="L25" i="2" s="1"/>
  <c r="C21" i="1"/>
  <c r="N7" i="2"/>
  <c r="N25" i="2" s="1"/>
  <c r="O7" i="2" l="1"/>
  <c r="O25" i="2" s="1"/>
</calcChain>
</file>

<file path=xl/sharedStrings.xml><?xml version="1.0" encoding="utf-8"?>
<sst xmlns="http://schemas.openxmlformats.org/spreadsheetml/2006/main" count="145" uniqueCount="110">
  <si>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</si>
  <si>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</si>
  <si>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</si>
  <si>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</si>
  <si>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</si>
  <si>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</si>
  <si>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</si>
  <si>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</si>
  <si>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</si>
  <si>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</si>
  <si>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</si>
  <si>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</si>
  <si>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</si>
  <si>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</si>
  <si>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</si>
  <si>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</si>
  <si>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</si>
  <si>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</si>
  <si>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</si>
  <si>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</si>
  <si>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</si>
  <si>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</si>
  <si>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</si>
  <si>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</si>
  <si>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</si>
  <si>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</si>
  <si>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</si>
  <si>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</si>
  <si>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</si>
  <si>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</si>
  <si>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Pcs</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</si>
  <si>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</si>
  <si>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</si>
  <si>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</si>
  <si>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</si>
  <si>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</si>
  <si>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</si>
  <si>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</si>
  <si>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</si>
  <si>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</si>
  <si>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</si>
  <si>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</si>
  <si>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</si>
  <si>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Remark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</si>
  <si>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</si>
  <si>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</si>
  <si>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</si>
  <si>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</si>
  <si>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</si>
  <si>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</si>
  <si>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</si>
  <si>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</si>
  <si>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</si>
  <si>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</si>
  <si>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</si>
  <si>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</si>
  <si>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</si>
  <si>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</si>
  <si>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</si>
  <si>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</si>
  <si>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</si>
  <si>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</si>
  <si>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</si>
  <si>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</si>
  <si>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</si>
  <si>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</si>
  <si>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</si>
  <si>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</si>
  <si>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</si>
  <si>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</si>
  <si>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</si>
  <si>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</si>
  <si>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</si>
  <si>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</si>
  <si>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</si>
  <si>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</si>
  <si>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 xml:space="preserve">Chips </t>
  </si>
  <si>
    <t>Chulbule</t>
  </si>
  <si>
    <t>Namkeen</t>
  </si>
  <si>
    <t>Ring</t>
  </si>
  <si>
    <t>Avadh</t>
  </si>
  <si>
    <t>Cake</t>
  </si>
  <si>
    <t>Popcorn</t>
  </si>
  <si>
    <t>Chips</t>
  </si>
  <si>
    <t>Rate/KG</t>
  </si>
  <si>
    <t>Scrap Amount</t>
  </si>
  <si>
    <t>Pay Amount</t>
  </si>
  <si>
    <t>Balance</t>
  </si>
  <si>
    <t>Wheels</t>
  </si>
  <si>
    <t>BINDAL TRADING COMPANY</t>
  </si>
  <si>
    <t>Prince</t>
  </si>
  <si>
    <t>09:31AM</t>
  </si>
  <si>
    <t>05:00PM</t>
  </si>
  <si>
    <t>09:57AM</t>
  </si>
  <si>
    <t>Stix</t>
  </si>
  <si>
    <t>Trikon</t>
  </si>
  <si>
    <t>06:30PM</t>
  </si>
  <si>
    <t>09:29AM</t>
  </si>
  <si>
    <t>10:00AM</t>
  </si>
  <si>
    <t>N/A</t>
  </si>
  <si>
    <t>MINI BITES</t>
  </si>
  <si>
    <t>RUSK</t>
  </si>
  <si>
    <t>CAKE</t>
  </si>
  <si>
    <t>RASGULA</t>
  </si>
  <si>
    <t>Jar</t>
  </si>
  <si>
    <t>IMALI</t>
  </si>
  <si>
    <t>ANKIT BINDAL</t>
  </si>
  <si>
    <t>SHOP N0. 2 HUDA MARKET NEW ANA MANDIR BALLABGHARH</t>
  </si>
  <si>
    <t>09:45PM</t>
  </si>
  <si>
    <t>AVADH,RING,CAKE,WHEEL,STIX,IMLI RASGULA,TRIKON,MINI BITES,POPCORN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</si>
</sst>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m/d/yyyy"/>
    <numFmt numFmtId="165" formatCode="_ * #,##0_ ;_ * \-#,##0_ ;_ * &quot;-&quot;??_ ;_ @_ "/>
    <numFmt numFmtId="166" formatCode="mmm\-yy"/>
    <numFmt numFmtId="167" formatCode="_ * #,##0.0_ ;_ * \-#,##0.0_ ;_ * &quot;-&quot;??_ ;_ @_ "/>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4">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6" xfId="0" applyFont="1" applyBorder="1" applyAlignment="1">
      <alignment horizontal="center" vertical="top"/>
    </xf>
    <xf numFmtId="0" fontId="25" fillId="0" borderId="17" xfId="0" applyFont="1" applyBorder="1" applyAlignment="1">
      <alignment horizontal="center" vertical="top"/>
    </xf>
    <xf numFmtId="0" fontId="23" fillId="13" borderId="0" xfId="0" applyFont="1" applyFill="1">
      <alignment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0" fontId="2" fillId="10" borderId="1" xfId="0" applyFont="1" applyFill="1" applyBorder="1" applyAlignment="1">
      <alignment horizontal="center" vertical="center"/>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0" fontId="18" fillId="12" borderId="1" xfId="5" applyFont="1" applyFill="1" applyBorder="1" applyAlignment="1" applyProtection="1">
      <alignment horizontal="center" vertical="center"/>
    </xf>
    <xf numFmtId="0" fontId="18" fillId="0" borderId="1" xfId="5" applyFont="1" applyBorder="1" applyAlignment="1" applyProtection="1">
      <alignment horizontal="center" vertical="center"/>
    </xf>
    <xf numFmtId="0" fontId="17" fillId="0" borderId="1" xfId="5" applyFont="1" applyBorder="1" applyAlignment="1" applyProtection="1">
      <alignment horizontal="center" vertical="center"/>
    </xf>
    <xf numFmtId="0" fontId="30" fillId="0" borderId="1" xfId="5" applyFont="1" applyBorder="1" applyAlignment="1" applyProtection="1">
      <alignment horizontal="center" vertical="center" wrapText="1"/>
    </xf>
    <xf numFmtId="0" fontId="32" fillId="0" borderId="1" xfId="5" applyFont="1" applyBorder="1" applyAlignment="1" applyProtection="1">
      <alignment horizontal="center" vertical="center" wrapText="1"/>
    </xf>
    <xf numFmtId="15" fontId="27" fillId="0" borderId="1" xfId="0" applyNumberFormat="1" applyFont="1" applyBorder="1" applyAlignment="1">
      <alignment horizontal="center" vertical="center"/>
    </xf>
    <xf numFmtId="165" fontId="23" fillId="5" borderId="1" xfId="3" applyNumberFormat="1" applyFont="1" applyFill="1" applyBorder="1" applyAlignment="1" applyProtection="1">
      <alignment vertical="center"/>
    </xf>
    <xf numFmtId="165" fontId="23" fillId="5" borderId="1" xfId="0" applyNumberFormat="1" applyFont="1" applyFill="1" applyBorder="1" applyAlignment="1">
      <alignment horizontal="center" vertical="center"/>
    </xf>
    <xf numFmtId="15" fontId="4"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0" xfId="0" applyAlignment="1">
      <alignment vertical="center" wrapText="1"/>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43" fontId="4" fillId="5" borderId="1" xfId="3" applyFont="1" applyFill="1" applyBorder="1" applyAlignment="1" applyProtection="1">
      <alignment vertical="center"/>
    </xf>
    <xf numFmtId="43" fontId="25" fillId="0" borderId="1" xfId="3" applyFont="1" applyBorder="1" applyAlignment="1" applyProtection="1">
      <alignment horizontal="center" vertical="center"/>
    </xf>
    <xf numFmtId="167" fontId="28" fillId="0" borderId="1" xfId="3" applyNumberFormat="1" applyFont="1" applyBorder="1">
      <protection locked="0"/>
    </xf>
    <xf numFmtId="165" fontId="27" fillId="15" borderId="1" xfId="3" applyNumberFormat="1" applyFont="1" applyFill="1" applyBorder="1" applyAlignment="1" applyProtection="1">
      <alignment horizontal="center" vertical="center"/>
    </xf>
    <xf numFmtId="164" fontId="25" fillId="0" borderId="1" xfId="0" applyNumberFormat="1" applyFont="1" applyBorder="1" applyAlignment="1">
      <alignment horizontal="center" vertical="center"/>
    </xf>
    <xf numFmtId="15" fontId="13" fillId="0" borderId="1" xfId="0" applyNumberFormat="1" applyFont="1" applyBorder="1" applyAlignment="1">
      <alignment horizontal="center" vertical="center"/>
    </xf>
    <xf numFmtId="15" fontId="17" fillId="11" borderId="1" xfId="5" applyNumberFormat="1" applyFont="1" applyFill="1" applyBorder="1" applyAlignment="1" applyProtection="1">
      <alignment horizontal="center" vertical="center"/>
    </xf>
    <xf numFmtId="15" fontId="31" fillId="0" borderId="1" xfId="0" applyNumberFormat="1" applyFont="1" applyBorder="1" applyAlignment="1">
      <alignment horizontal="center" vertical="center"/>
    </xf>
    <xf numFmtId="15" fontId="17" fillId="0" borderId="1" xfId="5" applyNumberFormat="1" applyFont="1" applyBorder="1" applyAlignment="1" applyProtection="1">
      <alignment horizontal="center" vertical="center" wrapText="1"/>
    </xf>
    <xf numFmtId="14" fontId="25" fillId="0" borderId="0" xfId="0" applyNumberFormat="1" applyFont="1" applyAlignment="1">
      <alignment horizontal="center" vertical="top"/>
    </xf>
    <xf numFmtId="0" fontId="2" fillId="0" borderId="1" xfId="0" applyFont="1" applyBorder="1" applyAlignment="1">
      <alignment horizontal="center" vertical="center"/>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5" fontId="24" fillId="2" borderId="1" xfId="0" applyNumberFormat="1" applyFont="1" applyFill="1" applyBorder="1" applyAlignment="1" applyProtection="1">
      <alignment horizontal="center" vertical="center" wrapText="1"/>
      <protection hidden="1"/>
    </xf>
    <xf numFmtId="15"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 fillId="2" borderId="1" xfId="0" applyFont="1" applyFill="1" applyBorder="1" applyAlignment="1" applyProtection="1">
      <alignment horizontal="center" vertical="center" wrapText="1"/>
      <protection hidden="1"/>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Protection="1">
      <alignment vertical="center"/>
      <protection hidden="1"/>
    </xf>
    <xf numFmtId="0" fontId="33" fillId="14" borderId="14" xfId="0" applyFont="1" applyFill="1" applyBorder="1" applyProtection="1">
      <alignment vertical="center"/>
      <protection hidden="1"/>
    </xf>
    <xf numFmtId="0" fontId="33" fillId="14" borderId="3" xfId="0" applyFont="1" applyFill="1" applyBorder="1" applyProtection="1">
      <alignment vertical="center"/>
      <protection hidden="1"/>
    </xf>
  </cellXfs>
  <cellStyles count="7">
    <cellStyle name="Comma" xfId="3" builtinId="3"/>
    <cellStyle name="Normal" xfId="0" builtinId="0"/>
    <cellStyle name="Normal 2" xfId="4" xr:uid="{00000000-0005-0000-0000-000002000000}"/>
    <cellStyle name="Normal 2 10" xfId="2" xr:uid="{00000000-0005-0000-0000-000003000000}"/>
    <cellStyle name="Normal 3" xfId="6" xr:uid="{00000000-0005-0000-0000-000004000000}"/>
    <cellStyle name="Normal_D&amp;D REPORT OF B.S.N TRADERS FOR THE MONTH OF DEC-08" xfId="5" xr:uid="{00000000-0005-0000-0000-000005000000}"/>
    <cellStyle name="Normal_MI20(1)" xfId="1" xr:uid="{00000000-0005-0000-0000-000006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19" zoomScaleNormal="100" workbookViewId="0">
      <selection activeCell="E13" sqref="E13"/>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67</v>
      </c>
    </row>
    <row r="2" spans="1:4" s="2" customFormat="1" ht="15.6" x14ac:dyDescent="0.3">
      <c r="B2" s="100" t="s">
        <v>10</v>
      </c>
      <c r="C2" s="100"/>
      <c r="D2" s="100"/>
    </row>
    <row r="3" spans="1:4" x14ac:dyDescent="0.3">
      <c r="B3" s="3" t="s">
        <v>11</v>
      </c>
      <c r="C3" s="101" t="s">
        <v>89</v>
      </c>
      <c r="D3" s="101"/>
    </row>
    <row r="4" spans="1:4" x14ac:dyDescent="0.3">
      <c r="B4" s="4" t="s">
        <v>12</v>
      </c>
      <c r="C4" s="101" t="s">
        <v>107</v>
      </c>
      <c r="D4" s="101"/>
    </row>
    <row r="5" spans="1:4" x14ac:dyDescent="0.3">
      <c r="B5" s="5" t="s">
        <v>13</v>
      </c>
      <c r="C5" s="94" t="s">
        <v>90</v>
      </c>
      <c r="D5" s="87"/>
    </row>
    <row r="6" spans="1:4" x14ac:dyDescent="0.3">
      <c r="B6" s="6" t="s">
        <v>14</v>
      </c>
      <c r="C6" s="94" t="s">
        <v>106</v>
      </c>
      <c r="D6" s="87"/>
    </row>
    <row r="7" spans="1:4" x14ac:dyDescent="0.3">
      <c r="B7" s="6" t="s">
        <v>15</v>
      </c>
      <c r="C7" s="87">
        <v>9711902020</v>
      </c>
      <c r="D7" s="87"/>
    </row>
    <row r="8" spans="1:4" x14ac:dyDescent="0.3">
      <c r="B8" s="6" t="s">
        <v>48</v>
      </c>
      <c r="C8" s="94" t="s">
        <v>99</v>
      </c>
      <c r="D8" s="87"/>
    </row>
    <row r="9" spans="1:4" x14ac:dyDescent="0.3">
      <c r="B9" s="6" t="s">
        <v>27</v>
      </c>
      <c r="C9" s="94" t="s">
        <v>99</v>
      </c>
      <c r="D9" s="87"/>
    </row>
    <row r="10" spans="1:4" x14ac:dyDescent="0.3">
      <c r="B10" s="7" t="s">
        <v>16</v>
      </c>
      <c r="C10" s="91">
        <v>45533</v>
      </c>
      <c r="D10" s="91"/>
    </row>
    <row r="11" spans="1:4" x14ac:dyDescent="0.3">
      <c r="B11" s="7" t="s">
        <v>17</v>
      </c>
      <c r="C11" s="92" t="s">
        <v>91</v>
      </c>
      <c r="D11" s="91"/>
    </row>
    <row r="12" spans="1:4" x14ac:dyDescent="0.3">
      <c r="B12" s="7" t="s">
        <v>18</v>
      </c>
      <c r="C12" s="91">
        <v>45536</v>
      </c>
      <c r="D12" s="91"/>
    </row>
    <row r="13" spans="1:4" x14ac:dyDescent="0.3">
      <c r="B13" s="7" t="s">
        <v>19</v>
      </c>
      <c r="C13" s="92" t="s">
        <v>108</v>
      </c>
      <c r="D13" s="91"/>
    </row>
    <row r="14" spans="1:4" x14ac:dyDescent="0.3">
      <c r="B14" s="88" t="s">
        <v>20</v>
      </c>
      <c r="C14" s="88"/>
      <c r="D14" s="88"/>
    </row>
    <row r="15" spans="1:4" x14ac:dyDescent="0.3">
      <c r="B15" s="88"/>
      <c r="C15" s="88"/>
      <c r="D15" s="88"/>
    </row>
    <row r="16" spans="1:4" x14ac:dyDescent="0.3">
      <c r="B16" s="8"/>
      <c r="C16" s="98" t="s">
        <v>21</v>
      </c>
      <c r="D16" s="99"/>
    </row>
    <row r="17" spans="2:4" x14ac:dyDescent="0.3">
      <c r="B17" s="9" t="s">
        <v>22</v>
      </c>
      <c r="C17" s="89">
        <f>'Distributor Claim Sheet'!G25</f>
        <v>2660</v>
      </c>
      <c r="D17" s="90"/>
    </row>
    <row r="18" spans="2:4" x14ac:dyDescent="0.3">
      <c r="B18" s="9" t="s">
        <v>55</v>
      </c>
      <c r="C18" s="84">
        <f>'Distributor Claim Sheet'!H25</f>
        <v>18983</v>
      </c>
      <c r="D18" s="85"/>
    </row>
    <row r="19" spans="2:4" x14ac:dyDescent="0.3">
      <c r="B19" s="9" t="s">
        <v>63</v>
      </c>
      <c r="C19" s="84">
        <f>'Distributor Claim Sheet'!I25</f>
        <v>0</v>
      </c>
      <c r="D19" s="85"/>
    </row>
    <row r="20" spans="2:4" x14ac:dyDescent="0.3">
      <c r="B20" s="9" t="s">
        <v>64</v>
      </c>
      <c r="C20" s="84">
        <f>'Distributor Claim Sheet'!J25</f>
        <v>48034</v>
      </c>
      <c r="D20" s="85"/>
    </row>
    <row r="21" spans="2:4" x14ac:dyDescent="0.3">
      <c r="B21" s="10" t="s">
        <v>66</v>
      </c>
      <c r="C21" s="95">
        <f>SUM(C17:C20)</f>
        <v>69677</v>
      </c>
      <c r="D21" s="96"/>
    </row>
    <row r="22" spans="2:4" x14ac:dyDescent="0.3">
      <c r="B22" s="97" t="s">
        <v>23</v>
      </c>
      <c r="C22" s="97"/>
      <c r="D22" s="97"/>
    </row>
    <row r="23" spans="2:4" x14ac:dyDescent="0.3">
      <c r="B23" s="93" t="s">
        <v>62</v>
      </c>
      <c r="C23" s="93"/>
      <c r="D23" s="66">
        <f>'Scrap stock detail'!D8</f>
        <v>38</v>
      </c>
    </row>
    <row r="24" spans="2:4" s="2" customFormat="1" x14ac:dyDescent="0.3">
      <c r="B24" s="86" t="s">
        <v>29</v>
      </c>
      <c r="C24" s="86"/>
      <c r="D24" s="86"/>
    </row>
    <row r="25" spans="2:4" s="2" customFormat="1" x14ac:dyDescent="0.3">
      <c r="B25" s="86"/>
      <c r="C25" s="86"/>
      <c r="D25" s="86"/>
    </row>
    <row r="26" spans="2:4" s="2" customFormat="1" x14ac:dyDescent="0.3">
      <c r="B26" s="86"/>
      <c r="C26" s="86"/>
      <c r="D26" s="86"/>
    </row>
    <row r="27" spans="2:4" s="2" customFormat="1" x14ac:dyDescent="0.3">
      <c r="B27" s="86"/>
      <c r="C27" s="86"/>
      <c r="D27" s="86"/>
    </row>
    <row r="28" spans="2:4" x14ac:dyDescent="0.3">
      <c r="B28" s="86"/>
      <c r="C28" s="86"/>
      <c r="D28" s="86"/>
    </row>
    <row r="29" spans="2:4" s="2" customFormat="1" x14ac:dyDescent="0.3">
      <c r="B29" s="13" t="s">
        <v>75</v>
      </c>
      <c r="C29" s="13" t="s">
        <v>74</v>
      </c>
      <c r="D29" s="13" t="s">
        <v>73</v>
      </c>
    </row>
    <row r="30" spans="2:4" s="2" customFormat="1" x14ac:dyDescent="0.3">
      <c r="B30" s="14" t="str">
        <f>C3</f>
        <v>BINDAL TRADING COMPANY</v>
      </c>
      <c r="C30" s="14" t="str">
        <f>C8</f>
        <v>N/A</v>
      </c>
      <c r="D30" s="14" t="str">
        <f>C5</f>
        <v>Prince</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32"/>
  <sheetViews>
    <sheetView showGridLines="0" topLeftCell="A7" zoomScale="137" zoomScaleNormal="100" workbookViewId="0">
      <selection activeCell="H7" sqref="H7"/>
    </sheetView>
  </sheetViews>
  <sheetFormatPr defaultColWidth="16" defaultRowHeight="13.8" x14ac:dyDescent="0.3"/>
  <cols>
    <col min="1" max="1" width="15.88671875" style="26" bestFit="1" customWidth="1"/>
    <col min="2" max="2" width="9.33203125" style="26" bestFit="1" customWidth="1"/>
    <col min="3" max="3" width="7.21875" style="26" bestFit="1" customWidth="1"/>
    <col min="4" max="4" width="6.21875" style="26" bestFit="1" customWidth="1"/>
    <col min="5" max="5" width="4.109375" style="26" bestFit="1" customWidth="1"/>
    <col min="6" max="6" width="9.33203125" style="26" bestFit="1" customWidth="1"/>
    <col min="7" max="7" width="8.88671875" style="26" bestFit="1" customWidth="1"/>
    <col min="8" max="8" width="9.21875" style="26" bestFit="1" customWidth="1"/>
    <col min="9" max="9" width="7.33203125" style="26" bestFit="1" customWidth="1"/>
    <col min="10" max="10" width="10.21875" style="26" bestFit="1" customWidth="1"/>
    <col min="11" max="11" width="11.21875" style="26" bestFit="1" customWidth="1"/>
    <col min="12" max="12" width="10.5546875" style="26" bestFit="1" customWidth="1"/>
    <col min="13" max="13" width="5.44140625" style="26" bestFit="1" customWidth="1"/>
    <col min="14" max="14" width="12.33203125" style="26" bestFit="1" customWidth="1"/>
    <col min="15" max="15" width="10.6640625" style="26" bestFit="1" customWidth="1"/>
    <col min="16" max="19" width="16" style="26"/>
    <col min="20" max="20" width="1.33203125" style="26" bestFit="1" customWidth="1"/>
    <col min="21" max="16384" width="16" style="26"/>
  </cols>
  <sheetData>
    <row r="1" spans="1:17" x14ac:dyDescent="0.3">
      <c r="B1" s="102"/>
      <c r="C1" s="102"/>
      <c r="D1" s="102"/>
      <c r="E1" s="102"/>
      <c r="P1" s="82"/>
    </row>
    <row r="2" spans="1:17" x14ac:dyDescent="0.3">
      <c r="A2" s="117" t="s">
        <v>49</v>
      </c>
      <c r="B2" s="118"/>
      <c r="C2" s="118"/>
      <c r="D2" s="118"/>
      <c r="E2" s="118"/>
      <c r="F2" s="118"/>
      <c r="G2" s="118"/>
      <c r="H2" s="118"/>
      <c r="I2" s="118"/>
      <c r="J2" s="118"/>
      <c r="K2" s="118"/>
      <c r="L2" s="118"/>
      <c r="M2" s="119"/>
      <c r="P2" s="82"/>
    </row>
    <row r="3" spans="1:17" x14ac:dyDescent="0.3">
      <c r="A3" s="53" t="s">
        <v>69</v>
      </c>
      <c r="B3" s="104" t="str">
        <f>Declaration!C3</f>
        <v>BINDAL TRADING COMPANY</v>
      </c>
      <c r="C3" s="105"/>
      <c r="D3" s="106"/>
      <c r="E3" s="113"/>
      <c r="F3" s="113"/>
      <c r="G3" s="113"/>
      <c r="H3" s="113"/>
      <c r="I3" s="113"/>
      <c r="J3" s="113"/>
      <c r="K3" s="113"/>
      <c r="L3" s="113"/>
      <c r="M3" s="114"/>
    </row>
    <row r="4" spans="1:17" x14ac:dyDescent="0.3">
      <c r="A4" s="54" t="s">
        <v>70</v>
      </c>
      <c r="B4" s="107"/>
      <c r="C4" s="108"/>
      <c r="D4" s="109"/>
      <c r="E4" s="115"/>
      <c r="F4" s="115"/>
      <c r="G4" s="115"/>
      <c r="H4" s="115"/>
      <c r="I4" s="115"/>
      <c r="J4" s="115"/>
      <c r="K4" s="115"/>
      <c r="L4" s="115"/>
      <c r="M4" s="116"/>
    </row>
    <row r="5" spans="1:17" x14ac:dyDescent="0.3">
      <c r="A5" s="54" t="s">
        <v>71</v>
      </c>
      <c r="B5" s="121" t="str">
        <f>Declaration!C4</f>
        <v>SHOP N0. 2 HUDA MARKET NEW ANA MANDIR BALLABGHARH</v>
      </c>
      <c r="C5" s="122"/>
      <c r="D5" s="122"/>
      <c r="E5" s="123"/>
      <c r="F5" s="27" t="s">
        <v>56</v>
      </c>
      <c r="G5" s="110" t="s">
        <v>57</v>
      </c>
      <c r="H5" s="111"/>
      <c r="I5" s="111"/>
      <c r="J5" s="111"/>
      <c r="K5" s="111"/>
      <c r="L5" s="28"/>
      <c r="M5" s="29"/>
    </row>
    <row r="6" spans="1:17" s="36" customFormat="1" ht="55.2" x14ac:dyDescent="0.3">
      <c r="A6" s="30" t="s">
        <v>65</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x14ac:dyDescent="0.3">
      <c r="A7" s="37">
        <v>1</v>
      </c>
      <c r="B7" s="56" t="s">
        <v>76</v>
      </c>
      <c r="C7" s="38">
        <v>15</v>
      </c>
      <c r="D7" s="37">
        <v>5</v>
      </c>
      <c r="E7" s="74" t="s">
        <v>30</v>
      </c>
      <c r="F7" s="75"/>
      <c r="G7" s="75">
        <f>31+50+59+18+48+280+82</f>
        <v>568</v>
      </c>
      <c r="H7" s="75">
        <f>110+200+200+140+53+84+288+180+280+48+299+200</f>
        <v>2082</v>
      </c>
      <c r="I7" s="75"/>
      <c r="J7" s="75">
        <f>500+200+400+200+300+86+200+300+300+200+200+200+200+500+500+500+500+200+500+200+200+200+200+200+500+400+600+500+500+100+100+100+500+500+500+622+714+532+1064+10+182+1100+300</f>
        <v>15810</v>
      </c>
      <c r="K7" s="76">
        <f>SUM(G7:J7)</f>
        <v>18460</v>
      </c>
      <c r="L7" s="76">
        <f>K7-F7</f>
        <v>18460</v>
      </c>
      <c r="M7" s="77"/>
      <c r="N7" s="57">
        <f>K7*C7</f>
        <v>276900</v>
      </c>
      <c r="O7" s="58">
        <f>N7/1000</f>
        <v>276.89999999999998</v>
      </c>
      <c r="P7" s="39"/>
      <c r="Q7" s="39"/>
    </row>
    <row r="8" spans="1:17" x14ac:dyDescent="0.3">
      <c r="A8" s="37">
        <f>1+A7</f>
        <v>2</v>
      </c>
      <c r="B8" s="56" t="s">
        <v>76</v>
      </c>
      <c r="C8" s="38">
        <v>32.5</v>
      </c>
      <c r="D8" s="40">
        <v>10</v>
      </c>
      <c r="E8" s="74" t="s">
        <v>30</v>
      </c>
      <c r="F8" s="75"/>
      <c r="G8" s="75">
        <f>10+10+17+17+8+2+500</f>
        <v>564</v>
      </c>
      <c r="H8" s="75">
        <f>120+100+50+40+22+30+180+400+200</f>
        <v>1142</v>
      </c>
      <c r="I8" s="75"/>
      <c r="J8" s="75">
        <f>500+200+133+300+280+300+50+100+108+500+100+1000+1000+1000+600+300</f>
        <v>6471</v>
      </c>
      <c r="K8" s="76">
        <f t="shared" ref="K8:K24" si="0">SUM(G8:J8)</f>
        <v>8177</v>
      </c>
      <c r="L8" s="76">
        <f t="shared" ref="L8:L24" si="1">K8-F8</f>
        <v>8177</v>
      </c>
      <c r="M8" s="77"/>
      <c r="N8" s="57">
        <f t="shared" ref="N8:N24" si="2">K8*C8</f>
        <v>265752.5</v>
      </c>
      <c r="O8" s="58">
        <f t="shared" ref="O8:O24" si="3">N8/1000</f>
        <v>265.7525</v>
      </c>
      <c r="P8" s="39"/>
      <c r="Q8" s="39"/>
    </row>
    <row r="9" spans="1:17" x14ac:dyDescent="0.3">
      <c r="A9" s="37">
        <f t="shared" ref="A9:A24" si="4">1+A8</f>
        <v>3</v>
      </c>
      <c r="B9" s="56" t="s">
        <v>76</v>
      </c>
      <c r="C9" s="38">
        <v>75</v>
      </c>
      <c r="D9" s="40">
        <v>20</v>
      </c>
      <c r="E9" s="74" t="s">
        <v>30</v>
      </c>
      <c r="F9" s="75"/>
      <c r="G9" s="75">
        <f>23+12</f>
        <v>35</v>
      </c>
      <c r="H9" s="75">
        <f>50+42</f>
        <v>92</v>
      </c>
      <c r="I9" s="75"/>
      <c r="J9" s="75">
        <f>200+100</f>
        <v>300</v>
      </c>
      <c r="K9" s="76">
        <f t="shared" si="0"/>
        <v>427</v>
      </c>
      <c r="L9" s="76">
        <f t="shared" si="1"/>
        <v>427</v>
      </c>
      <c r="M9" s="77"/>
      <c r="N9" s="57">
        <f t="shared" si="2"/>
        <v>32025</v>
      </c>
      <c r="O9" s="58">
        <f t="shared" si="3"/>
        <v>32.024999999999999</v>
      </c>
      <c r="P9" s="39"/>
      <c r="Q9" s="39"/>
    </row>
    <row r="10" spans="1:17" x14ac:dyDescent="0.3">
      <c r="A10" s="37">
        <f t="shared" si="4"/>
        <v>4</v>
      </c>
      <c r="B10" s="56" t="s">
        <v>105</v>
      </c>
      <c r="C10" s="38">
        <v>460</v>
      </c>
      <c r="D10" s="40">
        <v>130</v>
      </c>
      <c r="E10" s="74" t="s">
        <v>104</v>
      </c>
      <c r="F10" s="75"/>
      <c r="G10" s="75"/>
      <c r="H10" s="75"/>
      <c r="I10" s="75"/>
      <c r="J10" s="75">
        <v>13</v>
      </c>
      <c r="K10" s="76">
        <f t="shared" si="0"/>
        <v>13</v>
      </c>
      <c r="L10" s="76">
        <f t="shared" si="1"/>
        <v>13</v>
      </c>
      <c r="M10" s="77"/>
      <c r="N10" s="57">
        <f t="shared" si="2"/>
        <v>5980</v>
      </c>
      <c r="O10" s="58">
        <f t="shared" si="3"/>
        <v>5.98</v>
      </c>
      <c r="P10" s="39"/>
      <c r="Q10" s="39"/>
    </row>
    <row r="11" spans="1:17" x14ac:dyDescent="0.3">
      <c r="A11" s="37">
        <f t="shared" si="4"/>
        <v>5</v>
      </c>
      <c r="B11" s="56" t="s">
        <v>77</v>
      </c>
      <c r="C11" s="38">
        <v>20</v>
      </c>
      <c r="D11" s="40">
        <v>5</v>
      </c>
      <c r="E11" s="74" t="s">
        <v>30</v>
      </c>
      <c r="F11" s="75"/>
      <c r="G11" s="75">
        <f>18+12+11+9+70</f>
        <v>120</v>
      </c>
      <c r="H11" s="75">
        <f>46+22+17+25+400</f>
        <v>510</v>
      </c>
      <c r="I11" s="75"/>
      <c r="J11" s="75">
        <f>312+200+200+100+300+200+400+219+560+434+980+90+440+204</f>
        <v>4639</v>
      </c>
      <c r="K11" s="76">
        <f t="shared" si="0"/>
        <v>5269</v>
      </c>
      <c r="L11" s="76">
        <f t="shared" si="1"/>
        <v>5269</v>
      </c>
      <c r="M11" s="77"/>
      <c r="N11" s="57">
        <f t="shared" si="2"/>
        <v>105380</v>
      </c>
      <c r="O11" s="58">
        <f t="shared" si="3"/>
        <v>105.38</v>
      </c>
      <c r="P11" s="39"/>
      <c r="Q11" s="39"/>
    </row>
    <row r="12" spans="1:17" x14ac:dyDescent="0.3">
      <c r="A12" s="37">
        <f t="shared" si="4"/>
        <v>6</v>
      </c>
      <c r="B12" s="56" t="s">
        <v>77</v>
      </c>
      <c r="C12" s="38">
        <v>42</v>
      </c>
      <c r="D12" s="40">
        <v>10</v>
      </c>
      <c r="E12" s="74" t="s">
        <v>30</v>
      </c>
      <c r="F12" s="75"/>
      <c r="G12" s="75">
        <f>30+8+23+400</f>
        <v>461</v>
      </c>
      <c r="H12" s="75">
        <f>72+50+60+80+16+17+200+600</f>
        <v>1095</v>
      </c>
      <c r="I12" s="75"/>
      <c r="J12" s="75">
        <f>200+50+200+200+220+62+100+200+100+57+38+379+400+600+1000+500+500+800+200</f>
        <v>5806</v>
      </c>
      <c r="K12" s="76">
        <f t="shared" si="0"/>
        <v>7362</v>
      </c>
      <c r="L12" s="76">
        <f t="shared" si="1"/>
        <v>7362</v>
      </c>
      <c r="M12" s="77"/>
      <c r="N12" s="57">
        <f t="shared" si="2"/>
        <v>309204</v>
      </c>
      <c r="O12" s="58">
        <f t="shared" si="3"/>
        <v>309.20400000000001</v>
      </c>
      <c r="P12" s="39"/>
      <c r="Q12" s="39"/>
    </row>
    <row r="13" spans="1:17" x14ac:dyDescent="0.3">
      <c r="A13" s="37">
        <f t="shared" si="4"/>
        <v>7</v>
      </c>
      <c r="B13" s="56" t="s">
        <v>78</v>
      </c>
      <c r="C13" s="38">
        <v>22</v>
      </c>
      <c r="D13" s="40">
        <v>5</v>
      </c>
      <c r="E13" s="74" t="s">
        <v>30</v>
      </c>
      <c r="F13" s="75"/>
      <c r="G13" s="75">
        <f>9+17+8+28</f>
        <v>62</v>
      </c>
      <c r="H13" s="75">
        <f>13+16+18+72</f>
        <v>119</v>
      </c>
      <c r="I13" s="75"/>
      <c r="J13" s="75">
        <f>100+200+200+200+50</f>
        <v>750</v>
      </c>
      <c r="K13" s="76">
        <f t="shared" si="0"/>
        <v>931</v>
      </c>
      <c r="L13" s="76">
        <f t="shared" si="1"/>
        <v>931</v>
      </c>
      <c r="M13" s="77"/>
      <c r="N13" s="57">
        <f t="shared" si="2"/>
        <v>20482</v>
      </c>
      <c r="O13" s="58">
        <f t="shared" si="3"/>
        <v>20.481999999999999</v>
      </c>
      <c r="P13" s="39"/>
      <c r="Q13" s="39"/>
    </row>
    <row r="14" spans="1:17" x14ac:dyDescent="0.3">
      <c r="A14" s="37">
        <f t="shared" si="4"/>
        <v>8</v>
      </c>
      <c r="B14" s="56" t="s">
        <v>103</v>
      </c>
      <c r="C14" s="38">
        <v>1000</v>
      </c>
      <c r="D14" s="40">
        <v>200</v>
      </c>
      <c r="E14" s="74" t="s">
        <v>104</v>
      </c>
      <c r="F14" s="75"/>
      <c r="G14" s="75"/>
      <c r="H14" s="75"/>
      <c r="I14" s="75"/>
      <c r="J14" s="75">
        <v>35</v>
      </c>
      <c r="K14" s="76">
        <f t="shared" si="0"/>
        <v>35</v>
      </c>
      <c r="L14" s="76">
        <f t="shared" si="1"/>
        <v>35</v>
      </c>
      <c r="M14" s="77"/>
      <c r="N14" s="57">
        <f t="shared" si="2"/>
        <v>35000</v>
      </c>
      <c r="O14" s="58">
        <f t="shared" si="3"/>
        <v>35</v>
      </c>
      <c r="P14" s="39"/>
      <c r="Q14" s="39"/>
    </row>
    <row r="15" spans="1:17" x14ac:dyDescent="0.3">
      <c r="A15" s="37">
        <f t="shared" si="4"/>
        <v>9</v>
      </c>
      <c r="B15" s="56" t="s">
        <v>79</v>
      </c>
      <c r="C15" s="38">
        <v>12</v>
      </c>
      <c r="D15" s="40">
        <v>5</v>
      </c>
      <c r="E15" s="74" t="s">
        <v>30</v>
      </c>
      <c r="F15" s="75"/>
      <c r="G15" s="75">
        <f>14+12+11+48+19+21+31+52</f>
        <v>208</v>
      </c>
      <c r="H15" s="75">
        <f>68+29+48+100+58+133+70+80</f>
        <v>586</v>
      </c>
      <c r="I15" s="75"/>
      <c r="J15" s="75">
        <f>800+130+280+350+100+200+200+200+200+200+280</f>
        <v>2940</v>
      </c>
      <c r="K15" s="76">
        <f t="shared" si="0"/>
        <v>3734</v>
      </c>
      <c r="L15" s="76">
        <f t="shared" si="1"/>
        <v>3734</v>
      </c>
      <c r="M15" s="77"/>
      <c r="N15" s="57">
        <f t="shared" si="2"/>
        <v>44808</v>
      </c>
      <c r="O15" s="58">
        <f t="shared" si="3"/>
        <v>44.808</v>
      </c>
      <c r="P15" s="39"/>
      <c r="Q15" s="39"/>
    </row>
    <row r="16" spans="1:17" x14ac:dyDescent="0.3">
      <c r="A16" s="37">
        <f t="shared" si="4"/>
        <v>10</v>
      </c>
      <c r="B16" s="56" t="s">
        <v>94</v>
      </c>
      <c r="C16" s="38">
        <v>18</v>
      </c>
      <c r="D16" s="40">
        <v>5</v>
      </c>
      <c r="E16" s="74" t="s">
        <v>30</v>
      </c>
      <c r="F16" s="75"/>
      <c r="G16" s="75">
        <f>16+30+10+8</f>
        <v>64</v>
      </c>
      <c r="H16" s="75">
        <f>70+52+12+50+40</f>
        <v>224</v>
      </c>
      <c r="I16" s="75"/>
      <c r="J16" s="75">
        <f>200+100+200+350+50+200+200+108</f>
        <v>1408</v>
      </c>
      <c r="K16" s="76">
        <f t="shared" si="0"/>
        <v>1696</v>
      </c>
      <c r="L16" s="76">
        <f t="shared" si="1"/>
        <v>1696</v>
      </c>
      <c r="M16" s="77"/>
      <c r="N16" s="57">
        <f t="shared" si="2"/>
        <v>30528</v>
      </c>
      <c r="O16" s="58">
        <f t="shared" si="3"/>
        <v>30.527999999999999</v>
      </c>
      <c r="P16" s="39"/>
      <c r="Q16" s="39"/>
    </row>
    <row r="17" spans="1:17" x14ac:dyDescent="0.3">
      <c r="A17" s="37">
        <f t="shared" si="4"/>
        <v>11</v>
      </c>
      <c r="B17" s="56" t="s">
        <v>80</v>
      </c>
      <c r="C17" s="38">
        <v>22</v>
      </c>
      <c r="D17" s="40">
        <v>5</v>
      </c>
      <c r="E17" s="74" t="s">
        <v>30</v>
      </c>
      <c r="F17" s="75"/>
      <c r="G17" s="75">
        <f>12+13+35+13+100</f>
        <v>173</v>
      </c>
      <c r="H17" s="75">
        <f>55+16+155+30+200</f>
        <v>456</v>
      </c>
      <c r="I17" s="75"/>
      <c r="J17" s="75">
        <f>150+252+651+255+300+200+300+888+546+332</f>
        <v>3874</v>
      </c>
      <c r="K17" s="76">
        <f t="shared" si="0"/>
        <v>4503</v>
      </c>
      <c r="L17" s="76">
        <f t="shared" si="1"/>
        <v>4503</v>
      </c>
      <c r="M17" s="77"/>
      <c r="N17" s="57">
        <f t="shared" si="2"/>
        <v>99066</v>
      </c>
      <c r="O17" s="58">
        <f t="shared" si="3"/>
        <v>99.066000000000003</v>
      </c>
      <c r="P17" s="39"/>
      <c r="Q17" s="39"/>
    </row>
    <row r="18" spans="1:17" x14ac:dyDescent="0.3">
      <c r="A18" s="37">
        <f t="shared" si="4"/>
        <v>12</v>
      </c>
      <c r="B18" s="56" t="s">
        <v>81</v>
      </c>
      <c r="C18" s="38">
        <v>18</v>
      </c>
      <c r="D18" s="40">
        <v>5</v>
      </c>
      <c r="E18" s="74" t="s">
        <v>30</v>
      </c>
      <c r="F18" s="75"/>
      <c r="G18" s="75">
        <f>24+2</f>
        <v>26</v>
      </c>
      <c r="H18" s="75">
        <f>288+100</f>
        <v>388</v>
      </c>
      <c r="I18" s="75"/>
      <c r="J18" s="75">
        <f>382+644</f>
        <v>1026</v>
      </c>
      <c r="K18" s="76">
        <f t="shared" si="0"/>
        <v>1440</v>
      </c>
      <c r="L18" s="76">
        <f t="shared" si="1"/>
        <v>1440</v>
      </c>
      <c r="M18" s="77"/>
      <c r="N18" s="57">
        <f t="shared" si="2"/>
        <v>25920</v>
      </c>
      <c r="O18" s="58">
        <f t="shared" si="3"/>
        <v>25.92</v>
      </c>
      <c r="P18" s="39"/>
      <c r="Q18" s="39"/>
    </row>
    <row r="19" spans="1:17" x14ac:dyDescent="0.3">
      <c r="A19" s="37">
        <f t="shared" si="4"/>
        <v>13</v>
      </c>
      <c r="B19" s="56" t="s">
        <v>95</v>
      </c>
      <c r="C19" s="38">
        <v>17</v>
      </c>
      <c r="D19" s="40">
        <v>5</v>
      </c>
      <c r="E19" s="74" t="s">
        <v>30</v>
      </c>
      <c r="F19" s="75"/>
      <c r="G19" s="75">
        <f>78+52+62</f>
        <v>192</v>
      </c>
      <c r="H19" s="75">
        <f>120+168+100</f>
        <v>388</v>
      </c>
      <c r="I19" s="75"/>
      <c r="J19" s="75">
        <f>688+200+155</f>
        <v>1043</v>
      </c>
      <c r="K19" s="76">
        <f t="shared" si="0"/>
        <v>1623</v>
      </c>
      <c r="L19" s="76">
        <f t="shared" si="1"/>
        <v>1623</v>
      </c>
      <c r="M19" s="77"/>
      <c r="N19" s="57">
        <f t="shared" si="2"/>
        <v>27591</v>
      </c>
      <c r="O19" s="58">
        <f t="shared" si="3"/>
        <v>27.591000000000001</v>
      </c>
      <c r="P19" s="39"/>
      <c r="Q19" s="39"/>
    </row>
    <row r="20" spans="1:17" x14ac:dyDescent="0.3">
      <c r="A20" s="37">
        <f t="shared" si="4"/>
        <v>14</v>
      </c>
      <c r="B20" s="56" t="s">
        <v>100</v>
      </c>
      <c r="C20" s="38">
        <v>25</v>
      </c>
      <c r="D20" s="40">
        <v>5</v>
      </c>
      <c r="E20" s="74" t="s">
        <v>30</v>
      </c>
      <c r="F20" s="75"/>
      <c r="G20" s="75">
        <f>6+3</f>
        <v>9</v>
      </c>
      <c r="H20" s="75">
        <f>16+7+4</f>
        <v>27</v>
      </c>
      <c r="I20" s="75"/>
      <c r="J20" s="75">
        <f>66+30+5+40</f>
        <v>141</v>
      </c>
      <c r="K20" s="76">
        <f t="shared" ref="K20:K22" si="5">SUM(G20:J20)</f>
        <v>177</v>
      </c>
      <c r="L20" s="76">
        <f t="shared" ref="L20:L22" si="6">K20-F20</f>
        <v>177</v>
      </c>
      <c r="M20" s="77"/>
      <c r="N20" s="57">
        <f t="shared" ref="N20:N22" si="7">K20*C20</f>
        <v>4425</v>
      </c>
      <c r="O20" s="58">
        <f t="shared" ref="O20:O22" si="8">N20/1000</f>
        <v>4.4249999999999998</v>
      </c>
      <c r="P20" s="39"/>
      <c r="Q20" s="39"/>
    </row>
    <row r="21" spans="1:17" x14ac:dyDescent="0.3">
      <c r="A21" s="37">
        <f t="shared" si="4"/>
        <v>15</v>
      </c>
      <c r="B21" s="56" t="s">
        <v>101</v>
      </c>
      <c r="C21" s="38">
        <v>70</v>
      </c>
      <c r="D21" s="40">
        <v>10</v>
      </c>
      <c r="E21" s="74" t="s">
        <v>30</v>
      </c>
      <c r="F21" s="75"/>
      <c r="G21" s="75"/>
      <c r="H21" s="75"/>
      <c r="I21" s="75"/>
      <c r="J21" s="75">
        <v>13</v>
      </c>
      <c r="K21" s="76">
        <f t="shared" si="5"/>
        <v>13</v>
      </c>
      <c r="L21" s="76">
        <f t="shared" si="6"/>
        <v>13</v>
      </c>
      <c r="M21" s="77"/>
      <c r="N21" s="57">
        <f t="shared" si="7"/>
        <v>910</v>
      </c>
      <c r="O21" s="58">
        <f t="shared" si="8"/>
        <v>0.91</v>
      </c>
      <c r="P21" s="39"/>
      <c r="Q21" s="39"/>
    </row>
    <row r="22" spans="1:17" x14ac:dyDescent="0.3">
      <c r="A22" s="37">
        <f t="shared" si="4"/>
        <v>16</v>
      </c>
      <c r="B22" s="56" t="s">
        <v>102</v>
      </c>
      <c r="C22" s="38">
        <v>22</v>
      </c>
      <c r="D22" s="40">
        <v>10</v>
      </c>
      <c r="E22" s="74" t="s">
        <v>30</v>
      </c>
      <c r="F22" s="75"/>
      <c r="G22" s="75">
        <f>100</f>
        <v>100</v>
      </c>
      <c r="H22" s="75">
        <f>300</f>
        <v>300</v>
      </c>
      <c r="I22" s="75"/>
      <c r="J22" s="75">
        <f>87+1200</f>
        <v>1287</v>
      </c>
      <c r="K22" s="76">
        <f t="shared" si="5"/>
        <v>1687</v>
      </c>
      <c r="L22" s="76">
        <f t="shared" si="6"/>
        <v>1687</v>
      </c>
      <c r="M22" s="77"/>
      <c r="N22" s="57">
        <f t="shared" si="7"/>
        <v>37114</v>
      </c>
      <c r="O22" s="58">
        <f t="shared" si="8"/>
        <v>37.113999999999997</v>
      </c>
      <c r="P22" s="39"/>
      <c r="Q22" s="39"/>
    </row>
    <row r="23" spans="1:17" x14ac:dyDescent="0.3">
      <c r="A23" s="37">
        <f t="shared" si="4"/>
        <v>17</v>
      </c>
      <c r="B23" s="56" t="s">
        <v>88</v>
      </c>
      <c r="C23" s="38">
        <v>22</v>
      </c>
      <c r="D23" s="40">
        <v>5</v>
      </c>
      <c r="E23" s="74" t="s">
        <v>30</v>
      </c>
      <c r="F23" s="75"/>
      <c r="G23" s="75">
        <f>18+11</f>
        <v>29</v>
      </c>
      <c r="H23" s="75">
        <f>10+80+10+11216</f>
        <v>11316</v>
      </c>
      <c r="I23" s="75"/>
      <c r="J23" s="75">
        <f>100+150+200+200+150+200+200+200+133</f>
        <v>1533</v>
      </c>
      <c r="K23" s="76">
        <f t="shared" si="0"/>
        <v>12878</v>
      </c>
      <c r="L23" s="76">
        <f t="shared" si="1"/>
        <v>12878</v>
      </c>
      <c r="M23" s="77"/>
      <c r="N23" s="57">
        <f t="shared" si="2"/>
        <v>283316</v>
      </c>
      <c r="O23" s="58">
        <f t="shared" si="3"/>
        <v>283.31599999999997</v>
      </c>
      <c r="P23" s="39"/>
      <c r="Q23" s="39"/>
    </row>
    <row r="24" spans="1:17" x14ac:dyDescent="0.3">
      <c r="A24" s="37">
        <f t="shared" si="4"/>
        <v>18</v>
      </c>
      <c r="B24" s="56" t="s">
        <v>82</v>
      </c>
      <c r="C24" s="38">
        <v>13</v>
      </c>
      <c r="D24" s="40">
        <v>5</v>
      </c>
      <c r="E24" s="74" t="s">
        <v>30</v>
      </c>
      <c r="F24" s="75"/>
      <c r="G24" s="75">
        <f>12+16+8+10+3</f>
        <v>49</v>
      </c>
      <c r="H24" s="75">
        <f>60+80+78+20+20</f>
        <v>258</v>
      </c>
      <c r="I24" s="75"/>
      <c r="J24" s="75">
        <f>333+52+100+180+280</f>
        <v>945</v>
      </c>
      <c r="K24" s="76">
        <f t="shared" si="0"/>
        <v>1252</v>
      </c>
      <c r="L24" s="76">
        <f t="shared" si="1"/>
        <v>1252</v>
      </c>
      <c r="M24" s="77"/>
      <c r="N24" s="57">
        <f t="shared" si="2"/>
        <v>16276</v>
      </c>
      <c r="O24" s="58">
        <f t="shared" si="3"/>
        <v>16.276</v>
      </c>
      <c r="P24" s="39"/>
      <c r="Q24" s="39"/>
    </row>
    <row r="25" spans="1:17" x14ac:dyDescent="0.3">
      <c r="A25" s="120" t="s">
        <v>8</v>
      </c>
      <c r="B25" s="120"/>
      <c r="C25" s="120"/>
      <c r="D25" s="120"/>
      <c r="E25" s="120"/>
      <c r="F25" s="43">
        <f>SUM(F7:F24)</f>
        <v>0</v>
      </c>
      <c r="G25" s="43">
        <f t="shared" ref="G25:O25" si="9">SUM(G7:G24)</f>
        <v>2660</v>
      </c>
      <c r="H25" s="43">
        <f t="shared" si="9"/>
        <v>18983</v>
      </c>
      <c r="I25" s="43">
        <f t="shared" si="9"/>
        <v>0</v>
      </c>
      <c r="J25" s="43">
        <f t="shared" si="9"/>
        <v>48034</v>
      </c>
      <c r="K25" s="43">
        <f t="shared" si="9"/>
        <v>69677</v>
      </c>
      <c r="L25" s="43">
        <f t="shared" si="9"/>
        <v>69677</v>
      </c>
      <c r="M25" s="43">
        <f t="shared" si="9"/>
        <v>0</v>
      </c>
      <c r="N25" s="43">
        <f t="shared" si="9"/>
        <v>1620677.5</v>
      </c>
      <c r="O25" s="43">
        <f t="shared" si="9"/>
        <v>1620.6775</v>
      </c>
      <c r="P25" s="39"/>
    </row>
    <row r="26" spans="1:17" x14ac:dyDescent="0.3">
      <c r="A26" s="46"/>
      <c r="B26" s="46"/>
      <c r="C26" s="46"/>
      <c r="D26" s="47"/>
    </row>
    <row r="27" spans="1:17" x14ac:dyDescent="0.3">
      <c r="A27" s="112" t="s">
        <v>4</v>
      </c>
      <c r="B27" s="112"/>
      <c r="C27" s="112"/>
      <c r="D27" s="112"/>
      <c r="E27" s="44"/>
      <c r="F27" s="44"/>
      <c r="G27" s="44"/>
      <c r="H27" s="44"/>
      <c r="I27" s="44"/>
      <c r="J27" s="44"/>
      <c r="K27" s="44"/>
      <c r="L27" s="44"/>
    </row>
    <row r="28" spans="1:17" x14ac:dyDescent="0.3">
      <c r="A28" s="103" t="s">
        <v>6</v>
      </c>
      <c r="B28" s="103"/>
      <c r="C28" s="103"/>
      <c r="D28" s="103"/>
      <c r="E28" s="103"/>
      <c r="F28" s="103"/>
      <c r="G28" s="103"/>
      <c r="H28" s="103"/>
      <c r="I28" s="103"/>
      <c r="J28" s="103"/>
      <c r="K28" s="103"/>
      <c r="L28" s="103"/>
    </row>
    <row r="29" spans="1:17" x14ac:dyDescent="0.3">
      <c r="A29" s="103" t="s">
        <v>7</v>
      </c>
      <c r="B29" s="103"/>
      <c r="C29" s="103"/>
      <c r="D29" s="103"/>
      <c r="E29" s="103"/>
      <c r="F29" s="103"/>
      <c r="G29" s="103"/>
      <c r="H29" s="103"/>
      <c r="I29" s="103"/>
      <c r="J29" s="103"/>
      <c r="K29" s="103"/>
      <c r="L29" s="103"/>
    </row>
    <row r="30" spans="1:17" x14ac:dyDescent="0.3">
      <c r="A30" s="44"/>
      <c r="B30" s="44"/>
      <c r="C30" s="44"/>
      <c r="D30" s="44"/>
      <c r="E30" s="44"/>
      <c r="F30" s="44"/>
      <c r="G30" s="44"/>
      <c r="H30" s="44"/>
      <c r="I30" s="44"/>
      <c r="J30" s="44"/>
      <c r="K30" s="44"/>
      <c r="L30" s="44"/>
    </row>
    <row r="31" spans="1:17" x14ac:dyDescent="0.3">
      <c r="A31" s="41" t="s">
        <v>9</v>
      </c>
      <c r="B31" s="41"/>
      <c r="C31" s="41"/>
      <c r="D31" s="42" t="s">
        <v>5</v>
      </c>
      <c r="E31" s="45"/>
      <c r="F31" s="45"/>
      <c r="G31" s="45"/>
      <c r="H31" s="45"/>
      <c r="I31" s="45"/>
      <c r="J31" s="45"/>
      <c r="K31" s="45"/>
      <c r="L31" s="45"/>
    </row>
    <row r="32" spans="1:17" x14ac:dyDescent="0.3">
      <c r="A32" s="41" t="s">
        <v>3</v>
      </c>
      <c r="B32" s="64">
        <f>Declaration!C12</f>
        <v>45536</v>
      </c>
      <c r="C32" s="42"/>
      <c r="D32" s="42" t="s">
        <v>3</v>
      </c>
      <c r="E32" s="45"/>
      <c r="F32" s="45"/>
      <c r="G32" s="45"/>
      <c r="H32" s="45"/>
      <c r="I32" s="45"/>
      <c r="J32" s="45"/>
      <c r="K32" s="45"/>
      <c r="L32" s="45"/>
    </row>
  </sheetData>
  <mergeCells count="12">
    <mergeCell ref="B1:C1"/>
    <mergeCell ref="A29:L29"/>
    <mergeCell ref="B3:D3"/>
    <mergeCell ref="B4:D4"/>
    <mergeCell ref="G5:K5"/>
    <mergeCell ref="A27:D27"/>
    <mergeCell ref="A28:L28"/>
    <mergeCell ref="D1:E1"/>
    <mergeCell ref="E3:M4"/>
    <mergeCell ref="A2:M2"/>
    <mergeCell ref="A25:E25"/>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zoomScaleNormal="100" workbookViewId="0">
      <selection activeCell="G7" sqref="G7"/>
    </sheetView>
  </sheetViews>
  <sheetFormatPr defaultColWidth="24.21875" defaultRowHeight="14.4" x14ac:dyDescent="0.3"/>
  <cols>
    <col min="1" max="1" width="23.88671875" bestFit="1" customWidth="1"/>
    <col min="2" max="2" width="17.77734375" bestFit="1" customWidth="1"/>
    <col min="3" max="3" width="7.88671875" bestFit="1" customWidth="1"/>
    <col min="4" max="4" width="11.33203125" bestFit="1" customWidth="1"/>
    <col min="5" max="5" width="7.21875" bestFit="1" customWidth="1"/>
    <col min="6" max="6" width="8.33203125" bestFit="1" customWidth="1"/>
    <col min="7" max="7" width="15.77734375" bestFit="1" customWidth="1"/>
    <col min="8" max="8" width="18.6640625" bestFit="1" customWidth="1"/>
  </cols>
  <sheetData>
    <row r="1" spans="1:8" x14ac:dyDescent="0.3">
      <c r="A1" s="17" t="s">
        <v>32</v>
      </c>
      <c r="B1" s="18"/>
      <c r="C1" s="18"/>
      <c r="D1" s="19"/>
      <c r="E1" s="12"/>
      <c r="F1" s="12"/>
      <c r="G1" s="7" t="s">
        <v>16</v>
      </c>
      <c r="H1" s="78">
        <f>Declaration!C10</f>
        <v>45533</v>
      </c>
    </row>
    <row r="2" spans="1:8" x14ac:dyDescent="0.3">
      <c r="A2" s="3" t="s">
        <v>11</v>
      </c>
      <c r="B2" s="101" t="str">
        <f>Declaration!C3</f>
        <v>BINDAL TRADING COMPANY</v>
      </c>
      <c r="C2" s="101"/>
      <c r="D2" s="19"/>
      <c r="E2" s="12"/>
      <c r="F2" s="12"/>
      <c r="G2" s="7" t="s">
        <v>18</v>
      </c>
      <c r="H2" s="79">
        <f>Declaration!C12</f>
        <v>45536</v>
      </c>
    </row>
    <row r="3" spans="1:8" ht="24" x14ac:dyDescent="0.3">
      <c r="A3" s="59" t="s">
        <v>33</v>
      </c>
      <c r="B3" s="59" t="s">
        <v>41</v>
      </c>
      <c r="C3" s="59" t="s">
        <v>39</v>
      </c>
      <c r="D3" s="20" t="s">
        <v>34</v>
      </c>
      <c r="E3" s="21" t="s">
        <v>35</v>
      </c>
      <c r="F3" s="20" t="s">
        <v>36</v>
      </c>
      <c r="G3" s="21" t="s">
        <v>37</v>
      </c>
      <c r="H3" s="22" t="s">
        <v>38</v>
      </c>
    </row>
    <row r="4" spans="1:8" x14ac:dyDescent="0.3">
      <c r="A4" s="60">
        <v>1</v>
      </c>
      <c r="B4" s="61" t="s">
        <v>90</v>
      </c>
      <c r="C4" s="61">
        <v>1</v>
      </c>
      <c r="D4" s="80">
        <v>45533</v>
      </c>
      <c r="E4" s="81" t="s">
        <v>91</v>
      </c>
      <c r="F4" s="81" t="s">
        <v>92</v>
      </c>
      <c r="G4" s="62"/>
      <c r="H4" s="63"/>
    </row>
    <row r="5" spans="1:8" x14ac:dyDescent="0.3">
      <c r="A5" s="60">
        <f>A4+1</f>
        <v>2</v>
      </c>
      <c r="B5" s="61" t="s">
        <v>90</v>
      </c>
      <c r="C5" s="61">
        <v>1</v>
      </c>
      <c r="D5" s="80">
        <v>45534</v>
      </c>
      <c r="E5" s="81" t="s">
        <v>93</v>
      </c>
      <c r="F5" s="81" t="s">
        <v>96</v>
      </c>
      <c r="G5" s="62"/>
      <c r="H5" s="63"/>
    </row>
    <row r="6" spans="1:8" x14ac:dyDescent="0.3">
      <c r="A6" s="60">
        <f t="shared" ref="A6:A7" si="0">A5+1</f>
        <v>3</v>
      </c>
      <c r="B6" s="61" t="s">
        <v>90</v>
      </c>
      <c r="C6" s="61">
        <v>1</v>
      </c>
      <c r="D6" s="80">
        <v>45535</v>
      </c>
      <c r="E6" s="81" t="s">
        <v>97</v>
      </c>
      <c r="F6" s="81" t="s">
        <v>96</v>
      </c>
      <c r="G6" s="62"/>
      <c r="H6" s="63"/>
    </row>
    <row r="7" spans="1:8" x14ac:dyDescent="0.3">
      <c r="A7" s="60">
        <f t="shared" si="0"/>
        <v>4</v>
      </c>
      <c r="B7" s="61" t="s">
        <v>90</v>
      </c>
      <c r="C7" s="61">
        <v>1</v>
      </c>
      <c r="D7" s="80">
        <v>45536</v>
      </c>
      <c r="E7" s="81" t="s">
        <v>98</v>
      </c>
      <c r="F7" s="81" t="s">
        <v>108</v>
      </c>
      <c r="G7" s="62"/>
      <c r="H7" s="63"/>
    </row>
    <row r="8" spans="1:8" x14ac:dyDescent="0.3">
      <c r="B8" s="48" t="s">
        <v>68</v>
      </c>
      <c r="C8" s="49">
        <f>SUM(C4:C7)</f>
        <v>4</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3"/>
  <sheetViews>
    <sheetView tabSelected="1" zoomScale="96" zoomScaleNormal="96" workbookViewId="0">
      <selection activeCell="K17" sqref="K17"/>
    </sheetView>
  </sheetViews>
  <sheetFormatPr defaultColWidth="10" defaultRowHeight="14.4" x14ac:dyDescent="0.3"/>
  <cols>
    <col min="1" max="1" width="5.44140625" bestFit="1" customWidth="1"/>
    <col min="2" max="2" width="57.88671875" customWidth="1"/>
    <col min="3" max="3" width="24.44140625" bestFit="1" customWidth="1"/>
    <col min="4" max="4" width="16.5546875" bestFit="1" customWidth="1"/>
    <col min="5" max="5" width="7.77734375" bestFit="1" customWidth="1"/>
    <col min="6" max="6" width="12.6640625" bestFit="1" customWidth="1"/>
    <col min="7" max="7" width="11.109375" hidden="1" customWidth="1"/>
    <col min="8" max="8" width="10.44140625" bestFit="1" customWidth="1"/>
    <col min="9" max="9" width="7.6640625" bestFit="1" customWidth="1"/>
    <col min="10" max="10" width="20.21875" customWidth="1"/>
  </cols>
  <sheetData>
    <row r="2" spans="1:11" x14ac:dyDescent="0.3">
      <c r="B2" s="67">
        <f>Declaration!C10</f>
        <v>45533</v>
      </c>
      <c r="C2" s="68" t="str">
        <f>Declaration!C3</f>
        <v>BINDAL TRADING COMPANY</v>
      </c>
    </row>
    <row r="3" spans="1:11" x14ac:dyDescent="0.3">
      <c r="A3" s="51" t="s">
        <v>40</v>
      </c>
      <c r="B3" s="55" t="s">
        <v>72</v>
      </c>
      <c r="C3" s="52" t="s">
        <v>52</v>
      </c>
      <c r="D3" s="51" t="s">
        <v>42</v>
      </c>
      <c r="E3" s="70" t="s">
        <v>84</v>
      </c>
      <c r="F3" s="70" t="s">
        <v>85</v>
      </c>
      <c r="G3" s="70" t="s">
        <v>86</v>
      </c>
      <c r="H3" s="70" t="s">
        <v>87</v>
      </c>
      <c r="I3" s="51" t="s">
        <v>43</v>
      </c>
    </row>
    <row r="4" spans="1:11" x14ac:dyDescent="0.3">
      <c r="A4" s="24">
        <v>1</v>
      </c>
      <c r="B4" s="24" t="s">
        <v>83</v>
      </c>
      <c r="C4" s="25">
        <f>40.9+38.7+21.8+20.8+21.6+19.7+19.8+17.9+18.5+22.9+21.8+14.8+11.5+16.8+20.7+41.5+40.6+33.2</f>
        <v>443.5</v>
      </c>
      <c r="D4" s="24">
        <v>18</v>
      </c>
      <c r="E4" s="71">
        <v>20</v>
      </c>
      <c r="F4" s="71">
        <f t="shared" ref="F4:F7" si="0">C4*E4</f>
        <v>8870</v>
      </c>
      <c r="G4" s="71">
        <v>0</v>
      </c>
      <c r="H4" s="72">
        <f t="shared" ref="H4:H7" si="1">F4-G4</f>
        <v>8870</v>
      </c>
      <c r="I4" s="24"/>
    </row>
    <row r="5" spans="1:11" x14ac:dyDescent="0.3">
      <c r="A5" s="24">
        <f>A4+1</f>
        <v>2</v>
      </c>
      <c r="B5" s="24" t="s">
        <v>77</v>
      </c>
      <c r="C5" s="25">
        <f>35.9+39.1+35.6+21.2+21.6+17.9+36.5+35.8+40.6+25.6</f>
        <v>309.8</v>
      </c>
      <c r="D5" s="24">
        <v>10</v>
      </c>
      <c r="E5" s="71">
        <v>20</v>
      </c>
      <c r="F5" s="71">
        <f t="shared" si="0"/>
        <v>6196</v>
      </c>
      <c r="G5" s="71">
        <v>0</v>
      </c>
      <c r="H5" s="72">
        <f t="shared" si="1"/>
        <v>6196</v>
      </c>
      <c r="I5" s="24"/>
    </row>
    <row r="6" spans="1:11" x14ac:dyDescent="0.3">
      <c r="A6" s="24">
        <f t="shared" ref="A6:A7" si="2">A5+1</f>
        <v>3</v>
      </c>
      <c r="B6" s="24" t="s">
        <v>78</v>
      </c>
      <c r="C6" s="25">
        <v>36.799999999999997</v>
      </c>
      <c r="D6" s="24">
        <v>1</v>
      </c>
      <c r="E6" s="71">
        <v>20</v>
      </c>
      <c r="F6" s="71">
        <f t="shared" si="0"/>
        <v>736</v>
      </c>
      <c r="G6" s="71">
        <v>0</v>
      </c>
      <c r="H6" s="72">
        <f t="shared" si="1"/>
        <v>736</v>
      </c>
      <c r="I6" s="24"/>
    </row>
    <row r="7" spans="1:11" ht="35.4" customHeight="1" x14ac:dyDescent="0.3">
      <c r="A7" s="24">
        <f t="shared" si="2"/>
        <v>4</v>
      </c>
      <c r="B7" s="83" t="s">
        <v>109</v>
      </c>
      <c r="C7" s="25">
        <f>14.6+29.9+18.8+27.7+19.7+38.9+30.9+37.8+35</f>
        <v>253.3</v>
      </c>
      <c r="D7" s="24">
        <v>9</v>
      </c>
      <c r="E7" s="71">
        <v>10</v>
      </c>
      <c r="F7" s="71">
        <f t="shared" si="0"/>
        <v>2533</v>
      </c>
      <c r="G7" s="71">
        <v>0</v>
      </c>
      <c r="H7" s="72">
        <f t="shared" si="1"/>
        <v>2533</v>
      </c>
      <c r="I7" s="24"/>
    </row>
    <row r="8" spans="1:11" x14ac:dyDescent="0.3">
      <c r="A8" s="11"/>
      <c r="B8" s="11" t="s">
        <v>44</v>
      </c>
      <c r="C8" s="50">
        <f>SUM(C4:C7)</f>
        <v>1043.3999999999999</v>
      </c>
      <c r="D8" s="65">
        <f>SUM(D4:D7)</f>
        <v>38</v>
      </c>
      <c r="E8" s="73"/>
      <c r="F8" s="73">
        <f>SUM(F4:F7)</f>
        <v>18335</v>
      </c>
      <c r="G8" s="73">
        <f>SUM(G4:G7)</f>
        <v>0</v>
      </c>
      <c r="H8" s="73">
        <f>SUM(H4:H7)</f>
        <v>18335</v>
      </c>
      <c r="I8" s="24"/>
    </row>
    <row r="10" spans="1:11" ht="28.8" x14ac:dyDescent="0.3">
      <c r="B10" s="69" t="s">
        <v>53</v>
      </c>
      <c r="K10" s="23"/>
    </row>
    <row r="13" spans="1:11" x14ac:dyDescent="0.3">
      <c r="B13" t="s">
        <v>31</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3.xml><?xml version="1.0" encoding="utf-8"?>
<ds:datastoreItem xmlns:ds="http://schemas.openxmlformats.org/officeDocument/2006/customXml" ds:itemID="{61BC63A8-6981-45C2-A473-37306D3BAA09}">
  <ds:schemaRefs>
    <ds:schemaRef ds:uri="26f0e883-195c-4097-964b-4652bc177b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fa66f92d-833a-4cb8-a712-221909bdb10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2024-06-05T12:15:34Z</cp:lastPrinted>
  <dcterms:created xsi:type="dcterms:W3CDTF">2018-09-14T16:50:16Z</dcterms:created>
  <dcterms:modified xsi:type="dcterms:W3CDTF">2024-09-01T16:07:14Z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