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d.docs.live.net/42bfa40781cf34df/Desktop/YELLOW DAIMOND'S/"/>
    </mc:Choice>
  </mc:AlternateContent>
  <xr:revisionPtr revIDLastSave="92" documentId="11_C1BC11BE8B55958E96C0E55CFFAFAF6E5FA44356" xr6:coauthVersionLast="47" xr6:coauthVersionMax="47" xr10:uidLastSave="{F771B321-0FDB-4228-997D-93A363789936}"/>
  <bookViews>
    <workbookView xWindow="-108" yWindow="-108" windowWidth="23256" windowHeight="13176" activeTab="1" xr2:uid="{00000000-000D-0000-FFFF-FFFF00000000}"/>
  </bookViews>
  <sheets>
    <sheet name="Declaration" sheetId="1" r:id="rId1"/>
    <sheet name="Distributor Claim Sheet" sheetId="2" r:id="rId2"/>
    <sheet name="Mandays" sheetId="3" r:id="rId3"/>
    <sheet name="Scrap stock detail" sheetId="4" r:id="rId4"/>
  </sheets>
  <definedNames>
    <definedName name="_xlnm._FilterDatabase" localSheetId="0" hidden="1">Declaration!$B$2:$E$29</definedName>
    <definedName name="_xlnm._FilterDatabase" localSheetId="1" hidden="1">'Distributor Claim Sheet'!$A$6:$T$26</definedName>
    <definedName name="_xlnm._FilterDatabase" localSheetId="3" hidden="1">'Scrap stock detail'!$A$3:$I$8</definedName>
    <definedName name="BS">#REF!</definedName>
    <definedName name="da">#REF!</definedName>
    <definedName name="DB_DSM" localSheetId="1">#REF!</definedName>
    <definedName name="DB_DSM">#REF!</definedName>
    <definedName name="DB_DSM1" localSheetId="1">#REF!</definedName>
    <definedName name="DB_DSM1">#REF!</definedName>
    <definedName name="dfdg">#REF!</definedName>
    <definedName name="dsds">#REF!</definedName>
    <definedName name="dsgdg">#REF!</definedName>
    <definedName name="Harsh" localSheetId="1">#REF!</definedName>
    <definedName name="Harsh">#REF!</definedName>
    <definedName name="hs" localSheetId="1">#REF!</definedName>
    <definedName name="hs">#REF!</definedName>
    <definedName name="Kashik" localSheetId="1">#REF!</definedName>
    <definedName name="Kashik">#REF!</definedName>
    <definedName name="_xlnm.Print_Area" localSheetId="0">Declaration!$A$1:$D$34</definedName>
    <definedName name="_xlnm.Print_Area" localSheetId="1">'Distributor Claim Sheet'!$A$1:$P$33</definedName>
    <definedName name="Rahul" localSheetId="1">#REF!</definedName>
    <definedName name="Rahul">#REF!</definedName>
    <definedName name="slnwkfmmfwe\" localSheetId="1">#REF!</definedName>
    <definedName name="slnwkfmmfwe\">#REF!</definedName>
    <definedName name="unnamed" localSheetId="1">#REF!</definedName>
    <definedName name="unnamed">#REF!</definedName>
    <definedName name="unnamed_0" localSheetId="1">#REF!</definedName>
    <definedName name="unnamed_0">#REF!</definedName>
    <definedName name="unnamed_1" localSheetId="1">#REF!</definedName>
    <definedName name="unnamed_1">#REF!</definedName>
    <definedName name="unnamed_2" localSheetId="1">#REF!</definedName>
    <definedName name="unnamed_2">#REF!</definedName>
    <definedName name="unnamed_3" localSheetId="1">#REF!</definedName>
    <definedName name="unnamed_3">#REF!</definedName>
    <definedName name="unnamed_4" localSheetId="1">#REF!</definedName>
    <definedName name="unnamed_4">#REF!</definedName>
    <definedName name="unnamed_5" localSheetId="1">#REF!</definedName>
    <definedName name="unnamed_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 i="2" l="1"/>
  <c r="K20" i="2" s="1"/>
  <c r="N20" i="2" s="1"/>
  <c r="O20" i="2" s="1"/>
  <c r="H19" i="2"/>
  <c r="J19" i="2"/>
  <c r="J15" i="2"/>
  <c r="K15" i="2" s="1"/>
  <c r="N15" i="2" s="1"/>
  <c r="O15" i="2" s="1"/>
  <c r="G14" i="2"/>
  <c r="H14" i="2"/>
  <c r="J14" i="2"/>
  <c r="H23" i="2"/>
  <c r="J23" i="2"/>
  <c r="G16" i="2"/>
  <c r="H16" i="2"/>
  <c r="J16" i="2"/>
  <c r="G18" i="2"/>
  <c r="H18" i="2"/>
  <c r="J18" i="2"/>
  <c r="G12" i="2"/>
  <c r="H12" i="2"/>
  <c r="J12" i="2"/>
  <c r="H11" i="2"/>
  <c r="G11" i="2"/>
  <c r="J11" i="2"/>
  <c r="J9" i="2"/>
  <c r="G8" i="2"/>
  <c r="H8" i="2"/>
  <c r="J8" i="2"/>
  <c r="G7" i="2"/>
  <c r="H7" i="2"/>
  <c r="J7" i="2"/>
  <c r="C7" i="4"/>
  <c r="C6" i="4"/>
  <c r="C5" i="4"/>
  <c r="C4" i="4"/>
  <c r="H13" i="2"/>
  <c r="J13" i="2"/>
  <c r="K13" i="2" s="1"/>
  <c r="N13" i="2" s="1"/>
  <c r="O13" i="2" s="1"/>
  <c r="H9" i="2"/>
  <c r="K25" i="2"/>
  <c r="N25" i="2" s="1"/>
  <c r="O25" i="2" s="1"/>
  <c r="K24" i="2"/>
  <c r="N24" i="2" s="1"/>
  <c r="O24" i="2" s="1"/>
  <c r="K22" i="2"/>
  <c r="N22" i="2" s="1"/>
  <c r="O22" i="2" s="1"/>
  <c r="K21" i="2"/>
  <c r="N21" i="2" s="1"/>
  <c r="O21" i="2" s="1"/>
  <c r="K17" i="2"/>
  <c r="N17" i="2" s="1"/>
  <c r="O17" i="2" s="1"/>
  <c r="K10" i="2"/>
  <c r="N10" i="2" s="1"/>
  <c r="O10" i="2" s="1"/>
  <c r="M26" i="2"/>
  <c r="I26" i="2"/>
  <c r="F13" i="2"/>
  <c r="F23" i="2"/>
  <c r="F15" i="2"/>
  <c r="F17" i="2"/>
  <c r="F9" i="2"/>
  <c r="F14" i="2"/>
  <c r="F8" i="2"/>
  <c r="F12" i="2"/>
  <c r="F19" i="2"/>
  <c r="F16" i="2"/>
  <c r="F11" i="2"/>
  <c r="F22" i="2"/>
  <c r="F18" i="2"/>
  <c r="F7" i="2"/>
  <c r="K19" i="2" l="1"/>
  <c r="N19" i="2" s="1"/>
  <c r="O19" i="2" s="1"/>
  <c r="K14" i="2"/>
  <c r="N14" i="2" s="1"/>
  <c r="O14" i="2" s="1"/>
  <c r="K23" i="2"/>
  <c r="N23" i="2" s="1"/>
  <c r="O23" i="2" s="1"/>
  <c r="K16" i="2"/>
  <c r="N16" i="2" s="1"/>
  <c r="O16" i="2" s="1"/>
  <c r="K18" i="2"/>
  <c r="N18" i="2" s="1"/>
  <c r="O18" i="2" s="1"/>
  <c r="K12" i="2"/>
  <c r="N12" i="2" s="1"/>
  <c r="O12" i="2" s="1"/>
  <c r="G26" i="2"/>
  <c r="K8" i="2"/>
  <c r="N8" i="2" s="1"/>
  <c r="O8" i="2" s="1"/>
  <c r="H26" i="2"/>
  <c r="K11" i="2"/>
  <c r="N11" i="2" s="1"/>
  <c r="O11" i="2" s="1"/>
  <c r="K9" i="2"/>
  <c r="N9" i="2" s="1"/>
  <c r="O9" i="2" s="1"/>
  <c r="J26" i="2"/>
  <c r="L10" i="2"/>
  <c r="L22" i="2"/>
  <c r="L15" i="2"/>
  <c r="L16" i="2"/>
  <c r="L20" i="2"/>
  <c r="L24" i="2"/>
  <c r="L13" i="2"/>
  <c r="L17" i="2"/>
  <c r="L21" i="2"/>
  <c r="L25" i="2"/>
  <c r="F5" i="4"/>
  <c r="H5" i="4" s="1"/>
  <c r="F6" i="4"/>
  <c r="H6" i="4" s="1"/>
  <c r="F7" i="4"/>
  <c r="H7" i="4" s="1"/>
  <c r="G8" i="4"/>
  <c r="C8" i="4"/>
  <c r="D8" i="4"/>
  <c r="L19" i="2" l="1"/>
  <c r="L14" i="2"/>
  <c r="L23" i="2"/>
  <c r="L18" i="2"/>
  <c r="L12" i="2"/>
  <c r="L11" i="2"/>
  <c r="L9" i="2"/>
  <c r="L8" i="2"/>
  <c r="F4" i="4"/>
  <c r="F8" i="4" s="1"/>
  <c r="H4" i="4" l="1"/>
  <c r="H8" i="4" s="1"/>
  <c r="B30" i="1"/>
  <c r="C2" i="4" l="1"/>
  <c r="D23" i="1"/>
  <c r="B33" i="2"/>
  <c r="F26" i="2"/>
  <c r="H1" i="3" l="1"/>
  <c r="H2" i="3"/>
  <c r="B2" i="3"/>
  <c r="B2" i="4"/>
  <c r="C6" i="3"/>
  <c r="C30" i="1"/>
  <c r="D30" i="1"/>
  <c r="B5" i="2"/>
  <c r="B3" i="2"/>
  <c r="C19" i="1"/>
  <c r="C17" i="1"/>
  <c r="A5" i="4" l="1"/>
  <c r="A6" i="4" s="1"/>
  <c r="A7" i="4" s="1"/>
  <c r="A8" i="2"/>
  <c r="A9" i="2" s="1"/>
  <c r="A10" i="2" s="1"/>
  <c r="A11" i="2" s="1"/>
  <c r="A12" i="2" s="1"/>
  <c r="A13" i="2" s="1"/>
  <c r="A14" i="2" s="1"/>
  <c r="A15" i="2" s="1"/>
  <c r="A16" i="2" s="1"/>
  <c r="A17" i="2" s="1"/>
  <c r="A18" i="2" s="1"/>
  <c r="A19" i="2" s="1"/>
  <c r="A20" i="2" s="1"/>
  <c r="A21" i="2" s="1"/>
  <c r="A22" i="2" s="1"/>
  <c r="A23" i="2" s="1"/>
  <c r="A24" i="2" s="1"/>
  <c r="A25" i="2" s="1"/>
  <c r="C18" i="1" l="1"/>
  <c r="K7" i="2"/>
  <c r="K26" i="2" s="1"/>
  <c r="C20" i="1"/>
  <c r="L7" i="2" l="1"/>
  <c r="L26" i="2" s="1"/>
  <c r="C21" i="1"/>
  <c r="N7" i="2"/>
  <c r="N26" i="2" s="1"/>
  <c r="O7" i="2" l="1"/>
  <c r="O26" i="2" s="1"/>
</calcChain>
</file>

<file path=xl/sharedStrings.xml><?xml version="1.0" encoding="utf-8"?>
<sst xmlns="http://schemas.openxmlformats.org/spreadsheetml/2006/main" count="143" uniqueCount="102">
  <si>
    <t>Product Name/ description</t>
  </si>
  <si>
    <t>UOM</t>
  </si>
  <si>
    <t>MRP</t>
  </si>
  <si>
    <t>Date:</t>
  </si>
  <si>
    <t>Disclaimer:-</t>
  </si>
  <si>
    <t>SO/TM</t>
  </si>
  <si>
    <t>1. ASM will be accountable to tear &amp; loose the items from the packets.</t>
  </si>
  <si>
    <t>4.All the required documents as per Checklists are attached with claim summary.</t>
  </si>
  <si>
    <t>Total Customer Sale for mentioned Damage Period: INR</t>
  </si>
  <si>
    <t>DB/SS/SD</t>
  </si>
  <si>
    <t>SUMMARY - PHYSICAL  VERIFICATION  OF DAMAGED/EXPIRY STOCK</t>
  </si>
  <si>
    <t>Auditee Name (Distributor)</t>
  </si>
  <si>
    <t>ADDRESS</t>
  </si>
  <si>
    <t>NAME OF THE AUDITOR</t>
  </si>
  <si>
    <t>Key person Name (Auditee)</t>
  </si>
  <si>
    <t>Contact Number of Key person</t>
  </si>
  <si>
    <t>Start date</t>
  </si>
  <si>
    <t>Start time</t>
  </si>
  <si>
    <t>Completion date</t>
  </si>
  <si>
    <t>Completion time</t>
  </si>
  <si>
    <t>Summary and Confirmation as on Audit Date</t>
  </si>
  <si>
    <t>VALUE IN QUANTITY (pieces)</t>
  </si>
  <si>
    <t>DAMAGED STOCK</t>
  </si>
  <si>
    <t>CARTONS DETAIL   - STOCK PACKED AND SEALED IN AFTER VERIFICATION</t>
  </si>
  <si>
    <t xml:space="preserve">Signature </t>
  </si>
  <si>
    <t>Signature</t>
  </si>
  <si>
    <t>Seal/Stamp</t>
  </si>
  <si>
    <t>CONTACT NUMBER OF SO</t>
  </si>
  <si>
    <t>Book Qty</t>
  </si>
  <si>
    <t xml:space="preserve">This is to certify and confirm that Auditors have carried out a 100%  physical verification and packing of  all the damaged and expired stocks in the premises on the date as mentioned above and in relevant annexures.. We have produced and shown all the stocks to auditors and no stock has been left for verification and packing. All the stock verified have been packed in presence of me and auditors. The same has been reported in the respective  Stock Annexures. This is also to declare that we have produced the end claim up to till audit date. No stock is pending to claim on the date of sign-off.                                                                                                                                                                                                  We agree and confirm the report.                                                                                                         </t>
  </si>
  <si>
    <t>Pcs</t>
  </si>
  <si>
    <t>Scrapper sign</t>
  </si>
  <si>
    <t>Attendance Sheet</t>
  </si>
  <si>
    <t>Sl No.</t>
  </si>
  <si>
    <t>Date wise Entry</t>
  </si>
  <si>
    <t>In Timing</t>
  </si>
  <si>
    <t>Out Timing</t>
  </si>
  <si>
    <t xml:space="preserve">Name of DB  Incharge </t>
  </si>
  <si>
    <t xml:space="preserve">Sign off from DB Incharge </t>
  </si>
  <si>
    <t xml:space="preserve">Manday's </t>
  </si>
  <si>
    <t xml:space="preserve">S.no. </t>
  </si>
  <si>
    <t xml:space="preserve">Name Of Auditor </t>
  </si>
  <si>
    <t xml:space="preserve">Material Bags Qty. </t>
  </si>
  <si>
    <t xml:space="preserve">Remark </t>
  </si>
  <si>
    <t xml:space="preserve">Total  </t>
  </si>
  <si>
    <t>Weight (  GRM)</t>
  </si>
  <si>
    <t>Weight Per Pcs. (Gram)</t>
  </si>
  <si>
    <t>Total Weight Qty. (Kg)</t>
  </si>
  <si>
    <t>SO/ASM PRESENT DURING AUDIT (NAME)</t>
  </si>
  <si>
    <t>Customer Claim Sheet : For Damage /Expiry Stock</t>
  </si>
  <si>
    <t>Godown Expire</t>
  </si>
  <si>
    <t>Market Expire</t>
  </si>
  <si>
    <t>Actual weight KG</t>
  </si>
  <si>
    <t>Note:-  All  Wrapper bags  Handover to Db's for Submitted Back to Yellow Daimond</t>
  </si>
  <si>
    <t>Empty Packet/Rat Bitten</t>
  </si>
  <si>
    <t>EMPTY PACKET/RAT BITTEN STOCK</t>
  </si>
  <si>
    <t>BOOK QTY.</t>
  </si>
  <si>
    <t>PHYSICAL QTY.</t>
  </si>
  <si>
    <t>Damage Stock</t>
  </si>
  <si>
    <t>Short/Excess Qty.</t>
  </si>
  <si>
    <t>Total Physical Qty</t>
  </si>
  <si>
    <t>Expiry Date</t>
  </si>
  <si>
    <t>TOTAL NUMBER OF SEALED BAGS/CARTONS FOR SCRAPPER HANDED OVER TO DISTRIBUTOR</t>
  </si>
  <si>
    <t>GODOWN EXPIRY</t>
  </si>
  <si>
    <t>MARKET EXPIRY</t>
  </si>
  <si>
    <t>]</t>
  </si>
  <si>
    <t>S.No</t>
  </si>
  <si>
    <t>TOTAL QUANTITY</t>
  </si>
  <si>
    <t xml:space="preserve"> </t>
  </si>
  <si>
    <t>Total Staff For Audit</t>
  </si>
  <si>
    <t>Customer Name:-</t>
  </si>
  <si>
    <t>Customer Code:-</t>
  </si>
  <si>
    <t>Customer Address:-</t>
  </si>
  <si>
    <t>Product Name</t>
  </si>
  <si>
    <t>Auditor:</t>
  </si>
  <si>
    <t xml:space="preserve">SO: </t>
  </si>
  <si>
    <t xml:space="preserve">Name of Distributor: </t>
  </si>
  <si>
    <t xml:space="preserve">Chips </t>
  </si>
  <si>
    <t>Chulbule</t>
  </si>
  <si>
    <t>Namkeen</t>
  </si>
  <si>
    <t>Ring</t>
  </si>
  <si>
    <t>Avadh</t>
  </si>
  <si>
    <t>Cake</t>
  </si>
  <si>
    <t>WHEELS</t>
  </si>
  <si>
    <t>Popcorn</t>
  </si>
  <si>
    <t>Chips</t>
  </si>
  <si>
    <t>Rate/KG</t>
  </si>
  <si>
    <t>Scrap Amount</t>
  </si>
  <si>
    <t>Pay Amount</t>
  </si>
  <si>
    <t>Balance</t>
  </si>
  <si>
    <t>Stix</t>
  </si>
  <si>
    <t>Divaansh Enterprises</t>
  </si>
  <si>
    <t>Puff/Tricon</t>
  </si>
  <si>
    <t>Mini Bites</t>
  </si>
  <si>
    <t>Avadh,Ring,mini bites,cake</t>
  </si>
  <si>
    <t>RAJEEV KUMAR</t>
  </si>
  <si>
    <t>10:00AM</t>
  </si>
  <si>
    <t>6:00PM</t>
  </si>
  <si>
    <t>6:30PM</t>
  </si>
  <si>
    <t>FAIZAN RAZA</t>
  </si>
  <si>
    <t>N/A</t>
  </si>
  <si>
    <t>1023 BAZAR MOHALA TUGHALKABAD NEW DELHI 110044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</si>
</sst>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3" formatCode="_ * #,##0.00_ ;_ * \-#,##0.00_ ;_ * &quot;-&quot;??_ ;_ @_ "/>
    <numFmt numFmtId="164" formatCode="m/d/yyyy"/>
    <numFmt numFmtId="165" formatCode="_ * #,##0_ ;_ * \-#,##0_ ;_ * &quot;-&quot;??_ ;_ @_ "/>
    <numFmt numFmtId="166" formatCode="mmm\-yy"/>
    <numFmt numFmtId="167" formatCode="_ * #,##0.0_ ;_ * \-#,##0.0_ ;_ * &quot;-&quot;??_ ;_ @_ "/>
    <numFmt numFmtId="168" formatCode="h:mm"/>
    <numFmt numFmtId="169" formatCode="[$-409]d/mmm/yy;@"/>
  </numFmts>
  <fonts count="30">
    <font>
      <sz val="11"/>
      <name val="Calibri"/>
    </font>
    <font>
      <sz val="11"/>
      <color indexed="8"/>
      <name val="Calibri"/>
      <family val="2"/>
    </font>
    <font>
      <sz val="11"/>
      <name val="Calibri"/>
      <family val="2"/>
    </font>
    <font>
      <b/>
      <sz val="12"/>
      <color rgb="FFFFFFFF"/>
      <name val="Calibri"/>
      <family val="2"/>
    </font>
    <font>
      <b/>
      <sz val="11"/>
      <name val="Calibri"/>
      <family val="2"/>
    </font>
    <font>
      <b/>
      <sz val="10"/>
      <name val="Calibri"/>
      <family val="2"/>
    </font>
    <font>
      <b/>
      <sz val="9"/>
      <color rgb="FF000000"/>
      <name val="Arial"/>
      <family val="2"/>
    </font>
    <font>
      <b/>
      <sz val="11"/>
      <color indexed="8"/>
      <name val="Calibri"/>
      <family val="2"/>
    </font>
    <font>
      <sz val="11"/>
      <name val="Calibri"/>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10"/>
      <name val="Arial"/>
      <family val="2"/>
    </font>
    <font>
      <b/>
      <u/>
      <sz val="11"/>
      <color rgb="FF000000"/>
      <name val="Calibri"/>
      <family val="2"/>
    </font>
    <font>
      <b/>
      <sz val="9"/>
      <color indexed="8"/>
      <name val="Calibri"/>
      <family val="2"/>
    </font>
    <font>
      <b/>
      <sz val="9"/>
      <name val="Calibri"/>
      <family val="2"/>
    </font>
    <font>
      <sz val="10"/>
      <name val="Arial"/>
      <family val="2"/>
    </font>
    <font>
      <sz val="11"/>
      <name val="Calibri"/>
      <family val="2"/>
    </font>
    <font>
      <sz val="11"/>
      <color indexed="8"/>
      <name val="Calibri"/>
      <family val="2"/>
    </font>
    <font>
      <b/>
      <sz val="11"/>
      <name val="Calibri"/>
      <family val="2"/>
    </font>
    <font>
      <sz val="11"/>
      <name val="Calibri"/>
      <family val="2"/>
    </font>
    <font>
      <sz val="10"/>
      <color rgb="FF000000"/>
      <name val="Calibri"/>
      <family val="2"/>
      <scheme val="minor"/>
    </font>
    <font>
      <b/>
      <sz val="10"/>
      <name val="Calibri"/>
      <family val="2"/>
      <scheme val="minor"/>
    </font>
    <font>
      <b/>
      <sz val="10"/>
      <color rgb="FF000000"/>
      <name val="Calibri"/>
      <family val="2"/>
      <scheme val="minor"/>
    </font>
    <font>
      <sz val="10"/>
      <name val="Calibri"/>
      <family val="2"/>
      <scheme val="minor"/>
    </font>
    <font>
      <b/>
      <u/>
      <sz val="10"/>
      <color rgb="FF000000"/>
      <name val="Calibri"/>
      <family val="2"/>
      <scheme val="minor"/>
    </font>
    <font>
      <b/>
      <sz val="10"/>
      <color theme="0"/>
      <name val="Calibri"/>
      <family val="2"/>
      <scheme val="minor"/>
    </font>
    <font>
      <b/>
      <sz val="11"/>
      <color rgb="FFFF0000"/>
      <name val="Calibri"/>
      <family val="2"/>
    </font>
    <font>
      <b/>
      <sz val="9"/>
      <color rgb="FF000000"/>
      <name val="Calibri"/>
      <family val="2"/>
    </font>
  </fonts>
  <fills count="16">
    <fill>
      <patternFill patternType="none"/>
    </fill>
    <fill>
      <patternFill patternType="gray125"/>
    </fill>
    <fill>
      <patternFill patternType="solid">
        <fgColor indexed="9"/>
        <bgColor indexed="64"/>
      </patternFill>
    </fill>
    <fill>
      <patternFill patternType="solid">
        <fgColor rgb="FFFFFFFF"/>
        <bgColor indexed="64"/>
      </patternFill>
    </fill>
    <fill>
      <patternFill patternType="solid">
        <fgColor rgb="FF0F253F"/>
        <bgColor indexed="64"/>
      </patternFill>
    </fill>
    <fill>
      <patternFill patternType="solid">
        <fgColor rgb="FFFFFF00"/>
        <bgColor indexed="64"/>
      </patternFill>
    </fill>
    <fill>
      <patternFill patternType="solid">
        <fgColor rgb="FFFABF8F"/>
        <bgColor indexed="64"/>
      </patternFill>
    </fill>
    <fill>
      <patternFill patternType="solid">
        <fgColor rgb="FFFFC000"/>
        <bgColor indexed="64"/>
      </patternFill>
    </fill>
    <fill>
      <patternFill patternType="solid">
        <fgColor rgb="FFBFBFBF"/>
        <bgColor indexed="64"/>
      </patternFill>
    </fill>
    <fill>
      <patternFill patternType="solid">
        <fgColor rgb="FFDDD9C3"/>
        <bgColor indexed="64"/>
      </patternFill>
    </fill>
    <fill>
      <patternFill patternType="solid">
        <fgColor rgb="FFA5A5A5"/>
        <bgColor indexed="64"/>
      </patternFill>
    </fill>
    <fill>
      <patternFill patternType="solid">
        <fgColor rgb="FFFFFFFF"/>
        <bgColor indexed="41"/>
      </patternFill>
    </fill>
    <fill>
      <patternFill patternType="solid">
        <fgColor rgb="FFF2F2F2"/>
        <bgColor indexed="19"/>
      </patternFill>
    </fill>
    <fill>
      <patternFill patternType="solid">
        <fgColor theme="9" tint="0.39997558519241921"/>
        <bgColor indexed="64"/>
      </patternFill>
    </fill>
    <fill>
      <patternFill patternType="solid">
        <fgColor theme="0" tint="-0.499984740745262"/>
        <bgColor indexed="64"/>
      </patternFill>
    </fill>
    <fill>
      <patternFill patternType="solid">
        <fgColor rgb="FFFFFF9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s>
  <cellStyleXfs count="7">
    <xf numFmtId="0" fontId="0" fillId="0" borderId="0">
      <alignment vertical="center"/>
    </xf>
    <xf numFmtId="0" fontId="1" fillId="0" borderId="0">
      <protection locked="0"/>
    </xf>
    <xf numFmtId="0" fontId="17" fillId="0" borderId="0">
      <protection locked="0"/>
    </xf>
    <xf numFmtId="43" fontId="18" fillId="0" borderId="0">
      <protection locked="0"/>
    </xf>
    <xf numFmtId="0" fontId="13" fillId="0" borderId="0">
      <protection locked="0"/>
    </xf>
    <xf numFmtId="0" fontId="19" fillId="0" borderId="0">
      <protection locked="0"/>
    </xf>
    <xf numFmtId="0" fontId="13" fillId="0" borderId="0">
      <protection locked="0"/>
    </xf>
  </cellStyleXfs>
  <cellXfs count="122">
    <xf numFmtId="0" fontId="0" fillId="0" borderId="0" xfId="0">
      <alignment vertical="center"/>
    </xf>
    <xf numFmtId="0" fontId="1" fillId="2" borderId="0" xfId="1" applyFill="1" applyProtection="1"/>
    <xf numFmtId="0" fontId="2" fillId="3" borderId="0" xfId="0" applyFont="1" applyFill="1" applyAlignment="1"/>
    <xf numFmtId="0" fontId="4" fillId="2" borderId="1" xfId="0" applyFont="1" applyFill="1" applyBorder="1" applyProtection="1">
      <alignment vertical="center"/>
      <protection hidden="1"/>
    </xf>
    <xf numFmtId="0" fontId="4" fillId="2" borderId="1" xfId="0" applyFont="1" applyFill="1" applyBorder="1" applyAlignment="1" applyProtection="1">
      <alignment horizontal="left" wrapText="1"/>
      <protection hidden="1"/>
    </xf>
    <xf numFmtId="0" fontId="4" fillId="2" borderId="1" xfId="0" applyFont="1" applyFill="1" applyBorder="1" applyAlignment="1" applyProtection="1">
      <alignment horizontal="left" vertical="center" wrapText="1"/>
      <protection hidden="1"/>
    </xf>
    <xf numFmtId="0" fontId="5" fillId="2" borderId="1" xfId="0" applyFont="1" applyFill="1" applyBorder="1" applyAlignment="1" applyProtection="1">
      <protection hidden="1"/>
    </xf>
    <xf numFmtId="0" fontId="4" fillId="2" borderId="1" xfId="0" applyFont="1" applyFill="1" applyBorder="1" applyAlignment="1" applyProtection="1">
      <protection hidden="1"/>
    </xf>
    <xf numFmtId="0" fontId="7" fillId="2" borderId="1" xfId="1" applyFont="1" applyFill="1" applyBorder="1" applyAlignment="1" applyProtection="1">
      <alignment horizontal="right"/>
    </xf>
    <xf numFmtId="0" fontId="8" fillId="0" borderId="1" xfId="1" applyFont="1" applyBorder="1" applyProtection="1"/>
    <xf numFmtId="0" fontId="4" fillId="0" borderId="1" xfId="1" applyFont="1" applyBorder="1" applyProtection="1"/>
    <xf numFmtId="0" fontId="2" fillId="5" borderId="1" xfId="0" applyFont="1" applyFill="1" applyBorder="1">
      <alignment vertical="center"/>
    </xf>
    <xf numFmtId="0" fontId="10" fillId="3" borderId="1" xfId="0" applyFont="1" applyFill="1" applyBorder="1" applyAlignment="1"/>
    <xf numFmtId="0" fontId="6" fillId="3" borderId="1" xfId="0" applyFont="1" applyFill="1" applyBorder="1" applyAlignment="1"/>
    <xf numFmtId="0" fontId="11" fillId="3" borderId="1" xfId="0" applyFont="1" applyFill="1" applyBorder="1" applyAlignment="1"/>
    <xf numFmtId="0" fontId="12" fillId="3" borderId="1" xfId="0" applyFont="1" applyFill="1" applyBorder="1">
      <alignment vertical="center"/>
    </xf>
    <xf numFmtId="0" fontId="14" fillId="0" borderId="0" xfId="0" applyFont="1" applyAlignment="1">
      <alignment horizontal="left"/>
    </xf>
    <xf numFmtId="2" fontId="15" fillId="12" borderId="1" xfId="5" applyNumberFormat="1" applyFont="1" applyFill="1" applyBorder="1" applyAlignment="1" applyProtection="1">
      <alignment horizontal="center" vertical="center" wrapText="1"/>
    </xf>
    <xf numFmtId="0" fontId="15" fillId="12" borderId="1" xfId="5" applyFont="1" applyFill="1" applyBorder="1" applyAlignment="1" applyProtection="1">
      <alignment horizontal="center" vertical="center" wrapText="1"/>
    </xf>
    <xf numFmtId="0" fontId="16" fillId="12" borderId="1" xfId="5" applyFont="1" applyFill="1" applyBorder="1" applyAlignment="1" applyProtection="1">
      <alignment horizontal="center" vertical="center" wrapText="1"/>
    </xf>
    <xf numFmtId="0" fontId="8" fillId="0" borderId="0" xfId="0" applyFont="1">
      <alignment vertical="center"/>
    </xf>
    <xf numFmtId="0" fontId="2" fillId="0" borderId="1" xfId="0" applyFont="1" applyBorder="1">
      <alignment vertical="center"/>
    </xf>
    <xf numFmtId="43" fontId="2" fillId="0" borderId="1" xfId="3" applyFont="1" applyBorder="1" applyAlignment="1" applyProtection="1">
      <alignment vertical="center"/>
    </xf>
    <xf numFmtId="0" fontId="22" fillId="0" borderId="0" xfId="0" applyFont="1" applyAlignment="1">
      <alignment horizontal="center" vertical="top"/>
    </xf>
    <xf numFmtId="0" fontId="24" fillId="5" borderId="2" xfId="0" applyFont="1" applyFill="1" applyBorder="1" applyAlignment="1">
      <alignment horizontal="center" vertical="center"/>
    </xf>
    <xf numFmtId="166" fontId="22" fillId="7" borderId="1" xfId="0" applyNumberFormat="1" applyFont="1" applyFill="1" applyBorder="1" applyAlignment="1">
      <alignment vertical="top"/>
    </xf>
    <xf numFmtId="166" fontId="22" fillId="0" borderId="15" xfId="0" applyNumberFormat="1" applyFont="1" applyBorder="1" applyAlignment="1">
      <alignment vertical="top"/>
    </xf>
    <xf numFmtId="0" fontId="24" fillId="8" borderId="1" xfId="0" applyFont="1" applyFill="1" applyBorder="1" applyAlignment="1">
      <alignment horizontal="center" vertical="center" wrapText="1"/>
    </xf>
    <xf numFmtId="0" fontId="24" fillId="5"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24" fillId="9" borderId="1" xfId="0" applyFont="1" applyFill="1" applyBorder="1" applyAlignment="1">
      <alignment horizontal="center" vertical="center" wrapText="1"/>
    </xf>
    <xf numFmtId="0" fontId="24" fillId="5" borderId="1" xfId="0" applyFont="1" applyFill="1" applyBorder="1" applyAlignment="1">
      <alignment horizontal="center" vertical="top" wrapText="1"/>
    </xf>
    <xf numFmtId="0" fontId="22" fillId="0" borderId="0" xfId="0" applyFont="1" applyAlignment="1">
      <alignment horizontal="center" vertical="top" wrapText="1"/>
    </xf>
    <xf numFmtId="0" fontId="22" fillId="0" borderId="1" xfId="0" applyFont="1" applyBorder="1" applyAlignment="1">
      <alignment horizontal="center" vertical="center"/>
    </xf>
    <xf numFmtId="0" fontId="25" fillId="0" borderId="1" xfId="4" applyFont="1" applyBorder="1" applyAlignment="1" applyProtection="1">
      <alignment horizontal="center" vertical="top"/>
    </xf>
    <xf numFmtId="0" fontId="22" fillId="0" borderId="1" xfId="0" applyFont="1" applyBorder="1" applyAlignment="1">
      <alignment horizontal="center" vertical="center" wrapText="1"/>
    </xf>
    <xf numFmtId="43" fontId="22" fillId="0" borderId="1" xfId="3" applyFont="1" applyBorder="1" applyAlignment="1" applyProtection="1">
      <alignment horizontal="center" vertical="center" wrapText="1"/>
    </xf>
    <xf numFmtId="164" fontId="22" fillId="0" borderId="1" xfId="0" applyNumberFormat="1" applyFont="1" applyBorder="1" applyAlignment="1">
      <alignment horizontal="center" vertical="center" wrapText="1"/>
    </xf>
    <xf numFmtId="0" fontId="22" fillId="0" borderId="1" xfId="0" applyFont="1" applyBorder="1" applyAlignment="1">
      <alignment horizontal="center" vertical="top"/>
    </xf>
    <xf numFmtId="0" fontId="24" fillId="0" borderId="1" xfId="0" applyFont="1" applyBorder="1">
      <alignment vertical="center"/>
    </xf>
    <xf numFmtId="0" fontId="24" fillId="0" borderId="1" xfId="0" applyFont="1" applyBorder="1" applyAlignment="1">
      <alignment horizontal="center" vertical="center"/>
    </xf>
    <xf numFmtId="43" fontId="24" fillId="10" borderId="1" xfId="3" applyFont="1" applyFill="1" applyBorder="1" applyAlignment="1" applyProtection="1">
      <alignment horizontal="center" vertical="top"/>
    </xf>
    <xf numFmtId="0" fontId="24" fillId="0" borderId="0" xfId="0" applyFont="1" applyAlignment="1">
      <alignment horizontal="center" vertical="top"/>
    </xf>
    <xf numFmtId="0" fontId="24" fillId="0" borderId="0" xfId="0" applyFont="1">
      <alignment vertical="center"/>
    </xf>
    <xf numFmtId="0" fontId="22" fillId="0" borderId="16" xfId="0" applyFont="1" applyBorder="1" applyAlignment="1">
      <alignment horizontal="center" vertical="top"/>
    </xf>
    <xf numFmtId="0" fontId="22" fillId="0" borderId="17" xfId="0" applyFont="1" applyBorder="1" applyAlignment="1">
      <alignment horizontal="center" vertical="top"/>
    </xf>
    <xf numFmtId="167" fontId="25" fillId="0" borderId="1" xfId="3" applyNumberFormat="1" applyFont="1" applyBorder="1">
      <protection locked="0"/>
    </xf>
    <xf numFmtId="43" fontId="20" fillId="5" borderId="1" xfId="3" applyFont="1" applyFill="1" applyBorder="1" applyAlignment="1" applyProtection="1">
      <alignment vertical="center"/>
    </xf>
    <xf numFmtId="0" fontId="2" fillId="10" borderId="1" xfId="0" applyFont="1" applyFill="1" applyBorder="1">
      <alignment vertical="center"/>
    </xf>
    <xf numFmtId="0" fontId="2" fillId="10" borderId="1" xfId="0" applyFont="1" applyFill="1" applyBorder="1" applyAlignment="1">
      <alignment horizontal="center" vertical="center" wrapText="1"/>
    </xf>
    <xf numFmtId="0" fontId="27" fillId="14" borderId="7" xfId="0" applyFont="1" applyFill="1" applyBorder="1" applyAlignment="1">
      <alignment horizontal="left" vertical="top"/>
    </xf>
    <xf numFmtId="0" fontId="27" fillId="14" borderId="13" xfId="0" applyFont="1" applyFill="1" applyBorder="1" applyAlignment="1">
      <alignment horizontal="left" vertical="center"/>
    </xf>
    <xf numFmtId="0" fontId="2" fillId="10" borderId="1" xfId="0" applyFont="1" applyFill="1" applyBorder="1" applyAlignment="1">
      <alignment horizontal="center" vertical="center"/>
    </xf>
    <xf numFmtId="0" fontId="23" fillId="0" borderId="1" xfId="4" applyFont="1" applyBorder="1" applyAlignment="1" applyProtection="1">
      <alignment horizontal="left" vertical="top"/>
    </xf>
    <xf numFmtId="165" fontId="24" fillId="15" borderId="1" xfId="3" applyNumberFormat="1" applyFont="1" applyFill="1" applyBorder="1" applyAlignment="1" applyProtection="1">
      <alignment horizontal="center" vertical="center" wrapText="1"/>
    </xf>
    <xf numFmtId="165" fontId="24" fillId="15" borderId="1" xfId="3" applyNumberFormat="1" applyFont="1" applyFill="1" applyBorder="1" applyAlignment="1" applyProtection="1">
      <alignment horizontal="center" vertical="top"/>
    </xf>
    <xf numFmtId="43" fontId="24" fillId="15" borderId="1" xfId="3" applyFont="1" applyFill="1" applyBorder="1" applyAlignment="1" applyProtection="1">
      <alignment horizontal="center" vertical="top"/>
    </xf>
    <xf numFmtId="0" fontId="15" fillId="12" borderId="1" xfId="5" applyFont="1" applyFill="1" applyBorder="1" applyAlignment="1" applyProtection="1">
      <alignment horizontal="center" vertical="center"/>
    </xf>
    <xf numFmtId="0" fontId="15" fillId="0" borderId="1" xfId="5" applyFont="1" applyBorder="1" applyAlignment="1" applyProtection="1">
      <alignment horizontal="center" vertical="center"/>
    </xf>
    <xf numFmtId="15" fontId="24" fillId="0" borderId="1" xfId="0" applyNumberFormat="1" applyFont="1" applyBorder="1" applyAlignment="1">
      <alignment horizontal="center" vertical="center"/>
    </xf>
    <xf numFmtId="165" fontId="20" fillId="5" borderId="1" xfId="3" applyNumberFormat="1" applyFont="1" applyFill="1" applyBorder="1" applyAlignment="1" applyProtection="1">
      <alignment vertical="center"/>
    </xf>
    <xf numFmtId="165" fontId="20" fillId="5" borderId="1" xfId="0" applyNumberFormat="1" applyFont="1" applyFill="1" applyBorder="1" applyAlignment="1">
      <alignment horizontal="center" vertical="center"/>
    </xf>
    <xf numFmtId="15" fontId="4"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0" xfId="0" applyAlignment="1">
      <alignment vertical="center" wrapText="1"/>
    </xf>
    <xf numFmtId="0" fontId="4" fillId="5" borderId="1" xfId="0" applyFont="1" applyFill="1" applyBorder="1" applyAlignment="1">
      <alignment horizontal="center" vertical="center"/>
    </xf>
    <xf numFmtId="43" fontId="2" fillId="0" borderId="1" xfId="3" applyFont="1" applyBorder="1" applyAlignment="1" applyProtection="1">
      <alignment vertical="center" wrapText="1"/>
    </xf>
    <xf numFmtId="43" fontId="28" fillId="0" borderId="1" xfId="3" applyFont="1" applyBorder="1" applyAlignment="1" applyProtection="1">
      <alignment vertical="center" wrapText="1"/>
    </xf>
    <xf numFmtId="43" fontId="4" fillId="5" borderId="1" xfId="3" applyFont="1" applyFill="1" applyBorder="1" applyAlignment="1" applyProtection="1">
      <alignment vertical="center"/>
    </xf>
    <xf numFmtId="0" fontId="4" fillId="13" borderId="0" xfId="0" applyFont="1" applyFill="1">
      <alignment vertical="center"/>
    </xf>
    <xf numFmtId="0" fontId="4" fillId="0" borderId="0" xfId="0" applyFont="1" applyAlignment="1">
      <alignment wrapText="1"/>
    </xf>
    <xf numFmtId="0" fontId="4" fillId="0" borderId="0" xfId="0" applyFont="1" applyAlignment="1"/>
    <xf numFmtId="15" fontId="29" fillId="0" borderId="1" xfId="0" applyNumberFormat="1" applyFont="1" applyBorder="1" applyAlignment="1"/>
    <xf numFmtId="15" fontId="15" fillId="11" borderId="1" xfId="5" applyNumberFormat="1" applyFont="1" applyFill="1" applyBorder="1" applyProtection="1"/>
    <xf numFmtId="169" fontId="29" fillId="0" borderId="1" xfId="0" applyNumberFormat="1" applyFont="1" applyBorder="1" applyAlignment="1">
      <alignment horizontal="center" vertical="center"/>
    </xf>
    <xf numFmtId="168" fontId="15" fillId="0" borderId="1" xfId="5" applyNumberFormat="1" applyFont="1" applyBorder="1" applyAlignment="1" applyProtection="1">
      <alignment horizontal="center" vertical="center" wrapText="1"/>
    </xf>
    <xf numFmtId="0" fontId="15" fillId="0" borderId="1" xfId="5" applyFont="1" applyBorder="1" applyAlignment="1" applyProtection="1">
      <alignment horizontal="center" vertical="center" wrapText="1"/>
    </xf>
    <xf numFmtId="0" fontId="4" fillId="0" borderId="0" xfId="0" applyFont="1">
      <alignment vertical="center"/>
    </xf>
    <xf numFmtId="0" fontId="4" fillId="13" borderId="0" xfId="0" applyFont="1" applyFill="1" applyAlignment="1">
      <alignment horizontal="center" vertical="center"/>
    </xf>
    <xf numFmtId="0" fontId="7" fillId="2" borderId="2" xfId="1" applyFont="1" applyFill="1" applyBorder="1" applyAlignment="1" applyProtection="1">
      <alignment horizontal="center"/>
    </xf>
    <xf numFmtId="0" fontId="7" fillId="2" borderId="3" xfId="1" applyFont="1" applyFill="1" applyBorder="1" applyAlignment="1" applyProtection="1">
      <alignment horizontal="center"/>
    </xf>
    <xf numFmtId="0" fontId="3" fillId="4" borderId="1" xfId="2" applyFont="1" applyFill="1" applyBorder="1" applyAlignment="1" applyProtection="1">
      <alignment horizontal="center" vertical="center"/>
    </xf>
    <xf numFmtId="0" fontId="4" fillId="2" borderId="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1" fillId="2" borderId="1" xfId="0" applyFont="1" applyFill="1" applyBorder="1" applyAlignment="1" applyProtection="1">
      <alignment horizontal="center" vertical="center" wrapText="1"/>
      <protection hidden="1"/>
    </xf>
    <xf numFmtId="165" fontId="4" fillId="0" borderId="2" xfId="3" applyNumberFormat="1" applyFont="1" applyBorder="1" applyAlignment="1" applyProtection="1">
      <alignment horizontal="center"/>
    </xf>
    <xf numFmtId="165" fontId="4" fillId="0" borderId="3" xfId="3" applyNumberFormat="1" applyFont="1" applyBorder="1" applyAlignment="1" applyProtection="1">
      <alignment horizontal="center"/>
    </xf>
    <xf numFmtId="2" fontId="9" fillId="3" borderId="1" xfId="0" applyNumberFormat="1" applyFont="1" applyFill="1" applyBorder="1" applyAlignment="1">
      <alignment horizontal="left" vertical="center" wrapText="1"/>
    </xf>
    <xf numFmtId="0" fontId="7" fillId="3" borderId="1" xfId="1" applyFont="1" applyFill="1" applyBorder="1" applyAlignment="1" applyProtection="1">
      <alignment horizontal="center" vertical="center"/>
    </xf>
    <xf numFmtId="165" fontId="4" fillId="0" borderId="2" xfId="3" applyNumberFormat="1" applyFont="1" applyBorder="1" applyProtection="1"/>
    <xf numFmtId="165" fontId="4" fillId="0" borderId="3" xfId="3" applyNumberFormat="1" applyFont="1" applyBorder="1" applyProtection="1"/>
    <xf numFmtId="15" fontId="21" fillId="2" borderId="1" xfId="0" applyNumberFormat="1" applyFont="1" applyFill="1" applyBorder="1" applyAlignment="1" applyProtection="1">
      <alignment horizontal="center" vertical="center" wrapText="1"/>
      <protection hidden="1"/>
    </xf>
    <xf numFmtId="15" fontId="2" fillId="2" borderId="1" xfId="0" applyNumberFormat="1" applyFont="1" applyFill="1" applyBorder="1" applyAlignment="1" applyProtection="1">
      <alignment horizontal="center" vertical="center" wrapText="1"/>
      <protection hidden="1"/>
    </xf>
    <xf numFmtId="0" fontId="4" fillId="0" borderId="1" xfId="1" applyFont="1" applyBorder="1" applyAlignment="1" applyProtection="1">
      <alignment horizontal="left"/>
    </xf>
    <xf numFmtId="2" fontId="4" fillId="0" borderId="2" xfId="3" applyNumberFormat="1" applyFont="1" applyBorder="1" applyAlignment="1" applyProtection="1">
      <alignment horizontal="center"/>
    </xf>
    <xf numFmtId="2" fontId="4" fillId="0" borderId="3" xfId="3" applyNumberFormat="1" applyFont="1" applyBorder="1" applyAlignment="1" applyProtection="1">
      <alignment horizontal="center"/>
    </xf>
    <xf numFmtId="0" fontId="7" fillId="2" borderId="1" xfId="1" applyFont="1" applyFill="1" applyBorder="1" applyAlignment="1" applyProtection="1">
      <alignment horizontal="center"/>
    </xf>
    <xf numFmtId="0" fontId="23" fillId="2" borderId="1" xfId="0" applyFont="1" applyFill="1" applyBorder="1" applyAlignment="1" applyProtection="1">
      <alignment horizontal="center" vertical="center" wrapText="1"/>
      <protection hidden="1"/>
    </xf>
    <xf numFmtId="0" fontId="24" fillId="0" borderId="1" xfId="0" applyFont="1" applyBorder="1" applyAlignment="1">
      <alignment horizontal="left"/>
    </xf>
    <xf numFmtId="0" fontId="27" fillId="14" borderId="8" xfId="0" applyFont="1" applyFill="1" applyBorder="1" applyAlignment="1">
      <alignment horizontal="center" vertical="center"/>
    </xf>
    <xf numFmtId="0" fontId="27" fillId="14" borderId="9" xfId="0" applyFont="1" applyFill="1" applyBorder="1" applyAlignment="1">
      <alignment horizontal="center" vertical="center"/>
    </xf>
    <xf numFmtId="0" fontId="27" fillId="14" borderId="10" xfId="0" applyFont="1" applyFill="1" applyBorder="1" applyAlignment="1">
      <alignment horizontal="center" vertical="center"/>
    </xf>
    <xf numFmtId="0" fontId="27" fillId="14" borderId="2" xfId="0" applyFont="1" applyFill="1" applyBorder="1" applyAlignment="1">
      <alignment horizontal="center"/>
    </xf>
    <xf numFmtId="0" fontId="27" fillId="14" borderId="14" xfId="0" applyFont="1" applyFill="1" applyBorder="1" applyAlignment="1">
      <alignment horizontal="center"/>
    </xf>
    <xf numFmtId="0" fontId="27" fillId="14" borderId="3" xfId="0" applyFont="1" applyFill="1" applyBorder="1" applyAlignment="1">
      <alignment horizontal="center"/>
    </xf>
    <xf numFmtId="166" fontId="24" fillId="6" borderId="2" xfId="0" applyNumberFormat="1" applyFont="1" applyFill="1" applyBorder="1" applyAlignment="1">
      <alignment horizontal="center" vertical="top"/>
    </xf>
    <xf numFmtId="166" fontId="24" fillId="6" borderId="14" xfId="0" applyNumberFormat="1" applyFont="1" applyFill="1" applyBorder="1" applyAlignment="1">
      <alignment horizontal="center" vertical="top"/>
    </xf>
    <xf numFmtId="0" fontId="26" fillId="0" borderId="1" xfId="0" applyFont="1" applyBorder="1" applyAlignment="1">
      <alignment horizontal="left" vertical="top"/>
    </xf>
    <xf numFmtId="0" fontId="22" fillId="3" borderId="11" xfId="0" applyFont="1" applyFill="1" applyBorder="1" applyAlignment="1">
      <alignment horizontal="left" vertical="center"/>
    </xf>
    <xf numFmtId="0" fontId="22" fillId="3" borderId="12" xfId="0" applyFont="1" applyFill="1" applyBorder="1" applyAlignment="1">
      <alignment horizontal="left" vertical="center"/>
    </xf>
    <xf numFmtId="0" fontId="22" fillId="3" borderId="1" xfId="0" applyFont="1" applyFill="1" applyBorder="1" applyAlignment="1">
      <alignment horizontal="left" vertical="center"/>
    </xf>
    <xf numFmtId="0" fontId="22" fillId="3" borderId="15" xfId="0" applyFont="1" applyFill="1" applyBorder="1" applyAlignment="1">
      <alignment horizontal="left" vertical="center"/>
    </xf>
    <xf numFmtId="0" fontId="24" fillId="3" borderId="4" xfId="0" applyFont="1" applyFill="1" applyBorder="1" applyAlignment="1">
      <alignment horizontal="center" vertical="center"/>
    </xf>
    <xf numFmtId="0" fontId="24" fillId="3" borderId="5" xfId="0" applyFont="1" applyFill="1" applyBorder="1" applyAlignment="1">
      <alignment horizontal="center" vertical="center"/>
    </xf>
    <xf numFmtId="0" fontId="24" fillId="3" borderId="6" xfId="0" applyFont="1" applyFill="1" applyBorder="1" applyAlignment="1">
      <alignment horizontal="center" vertical="center"/>
    </xf>
    <xf numFmtId="0" fontId="24" fillId="10" borderId="1" xfId="0" applyFont="1" applyFill="1" applyBorder="1" applyAlignment="1">
      <alignment horizontal="center"/>
    </xf>
    <xf numFmtId="0" fontId="27" fillId="14" borderId="2" xfId="0" applyFont="1" applyFill="1" applyBorder="1" applyProtection="1">
      <alignment vertical="center"/>
      <protection hidden="1"/>
    </xf>
    <xf numFmtId="0" fontId="27" fillId="14" borderId="14" xfId="0" applyFont="1" applyFill="1" applyBorder="1" applyProtection="1">
      <alignment vertical="center"/>
      <protection hidden="1"/>
    </xf>
    <xf numFmtId="0" fontId="27" fillId="14" borderId="3" xfId="0" applyFont="1" applyFill="1" applyBorder="1" applyProtection="1">
      <alignment vertical="center"/>
      <protection hidden="1"/>
    </xf>
    <xf numFmtId="0" fontId="16" fillId="12" borderId="18" xfId="5" applyFont="1" applyFill="1" applyBorder="1" applyAlignment="1" applyProtection="1">
      <alignment horizontal="center" vertical="center" wrapText="1"/>
    </xf>
    <xf numFmtId="0" fontId="16" fillId="12" borderId="11" xfId="5" applyFont="1" applyFill="1" applyBorder="1" applyAlignment="1" applyProtection="1">
      <alignment horizontal="center" vertical="center" wrapText="1"/>
    </xf>
  </cellXfs>
  <cellStyles count="7">
    <cellStyle name="Comma" xfId="3" builtinId="3"/>
    <cellStyle name="Normal" xfId="0" builtinId="0"/>
    <cellStyle name="Normal 2" xfId="4" xr:uid="{00000000-0005-0000-0000-000002000000}"/>
    <cellStyle name="Normal 2 10" xfId="2" xr:uid="{00000000-0005-0000-0000-000003000000}"/>
    <cellStyle name="Normal 3" xfId="6" xr:uid="{00000000-0005-0000-0000-000004000000}"/>
    <cellStyle name="Normal_D&amp;D REPORT OF B.S.N TRADERS FOR THE MONTH OF DEC-08" xfId="5" xr:uid="{00000000-0005-0000-0000-000005000000}"/>
    <cellStyle name="Normal_MI20(1)" xfId="1" xr:uid="{00000000-0005-0000-0000-000006000000}"/>
  </cellStyles>
  <dxfs count="1">
    <dxf>
      <font>
        <color rgb="FF9C0006"/>
      </font>
      <fill>
        <patternFill>
          <bgColor rgb="FFFFC7CE"/>
        </patternFill>
      </fill>
    </dxf>
  </dxfs>
  <tableStyles count="1" defaultTableStyle="TableStyleMedium2" defaultPivotStyle="PivotStyleLight16">
    <tableStyle name="Invisible" pivot="0" table="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microsoft.com/office/2017/10/relationships/person" Target="persons/person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5" Type="http://www.wps.cn/officeDocument/2020/cellImage" Target="NUL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 Id="rId14"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4"/>
  <sheetViews>
    <sheetView topLeftCell="A25" zoomScaleNormal="100" workbookViewId="0">
      <selection activeCell="C11" sqref="C11:D11"/>
    </sheetView>
  </sheetViews>
  <sheetFormatPr defaultColWidth="10.44140625" defaultRowHeight="14.4"/>
  <cols>
    <col min="1" max="1" width="3.5546875" style="1" customWidth="1"/>
    <col min="2" max="2" width="44.5546875" style="1" customWidth="1"/>
    <col min="3" max="3" width="36.5546875" style="1" bestFit="1" customWidth="1"/>
    <col min="4" max="4" width="46" style="1" customWidth="1"/>
    <col min="5" max="16384" width="10.44140625" style="1"/>
  </cols>
  <sheetData>
    <row r="1" spans="1:4">
      <c r="A1" s="1" t="s">
        <v>68</v>
      </c>
    </row>
    <row r="2" spans="1:4" s="2" customFormat="1" ht="15.6">
      <c r="B2" s="82" t="s">
        <v>10</v>
      </c>
      <c r="C2" s="82"/>
      <c r="D2" s="82"/>
    </row>
    <row r="3" spans="1:4">
      <c r="B3" s="3" t="s">
        <v>11</v>
      </c>
      <c r="C3" s="83" t="s">
        <v>91</v>
      </c>
      <c r="D3" s="83"/>
    </row>
    <row r="4" spans="1:4">
      <c r="B4" s="4" t="s">
        <v>12</v>
      </c>
      <c r="C4" s="83" t="s">
        <v>101</v>
      </c>
      <c r="D4" s="83"/>
    </row>
    <row r="5" spans="1:4">
      <c r="B5" s="5" t="s">
        <v>13</v>
      </c>
      <c r="C5" s="84" t="s">
        <v>95</v>
      </c>
      <c r="D5" s="85"/>
    </row>
    <row r="6" spans="1:4">
      <c r="B6" s="6" t="s">
        <v>14</v>
      </c>
      <c r="C6" s="84" t="s">
        <v>99</v>
      </c>
      <c r="D6" s="85"/>
    </row>
    <row r="7" spans="1:4">
      <c r="B7" s="6" t="s">
        <v>15</v>
      </c>
      <c r="C7" s="85">
        <v>9911296274</v>
      </c>
      <c r="D7" s="85"/>
    </row>
    <row r="8" spans="1:4">
      <c r="B8" s="6" t="s">
        <v>48</v>
      </c>
      <c r="C8" s="84" t="s">
        <v>100</v>
      </c>
      <c r="D8" s="85"/>
    </row>
    <row r="9" spans="1:4">
      <c r="B9" s="6" t="s">
        <v>27</v>
      </c>
      <c r="C9" s="84" t="s">
        <v>100</v>
      </c>
      <c r="D9" s="85"/>
    </row>
    <row r="10" spans="1:4">
      <c r="B10" s="7" t="s">
        <v>16</v>
      </c>
      <c r="C10" s="93">
        <v>45398</v>
      </c>
      <c r="D10" s="92"/>
    </row>
    <row r="11" spans="1:4">
      <c r="B11" s="7" t="s">
        <v>17</v>
      </c>
      <c r="C11" s="93" t="s">
        <v>96</v>
      </c>
      <c r="D11" s="92"/>
    </row>
    <row r="12" spans="1:4">
      <c r="B12" s="7" t="s">
        <v>18</v>
      </c>
      <c r="C12" s="92">
        <v>45399</v>
      </c>
      <c r="D12" s="92"/>
    </row>
    <row r="13" spans="1:4">
      <c r="B13" s="7" t="s">
        <v>19</v>
      </c>
      <c r="C13" s="93" t="s">
        <v>97</v>
      </c>
      <c r="D13" s="92"/>
    </row>
    <row r="14" spans="1:4">
      <c r="B14" s="89" t="s">
        <v>20</v>
      </c>
      <c r="C14" s="89"/>
      <c r="D14" s="89"/>
    </row>
    <row r="15" spans="1:4">
      <c r="B15" s="89"/>
      <c r="C15" s="89"/>
      <c r="D15" s="89"/>
    </row>
    <row r="16" spans="1:4">
      <c r="B16" s="8"/>
      <c r="C16" s="80" t="s">
        <v>21</v>
      </c>
      <c r="D16" s="81"/>
    </row>
    <row r="17" spans="2:4">
      <c r="B17" s="9" t="s">
        <v>22</v>
      </c>
      <c r="C17" s="90">
        <f>'Distributor Claim Sheet'!G26</f>
        <v>979</v>
      </c>
      <c r="D17" s="91"/>
    </row>
    <row r="18" spans="2:4">
      <c r="B18" s="9" t="s">
        <v>55</v>
      </c>
      <c r="C18" s="86">
        <f>'Distributor Claim Sheet'!H26</f>
        <v>2749</v>
      </c>
      <c r="D18" s="87"/>
    </row>
    <row r="19" spans="2:4">
      <c r="B19" s="9" t="s">
        <v>63</v>
      </c>
      <c r="C19" s="86">
        <f>'Distributor Claim Sheet'!I26</f>
        <v>0</v>
      </c>
      <c r="D19" s="87"/>
    </row>
    <row r="20" spans="2:4">
      <c r="B20" s="9" t="s">
        <v>64</v>
      </c>
      <c r="C20" s="86">
        <f>'Distributor Claim Sheet'!J26</f>
        <v>18959</v>
      </c>
      <c r="D20" s="87"/>
    </row>
    <row r="21" spans="2:4">
      <c r="B21" s="10" t="s">
        <v>67</v>
      </c>
      <c r="C21" s="95">
        <f>SUM(C17:C20)</f>
        <v>22687</v>
      </c>
      <c r="D21" s="96"/>
    </row>
    <row r="22" spans="2:4">
      <c r="B22" s="97" t="s">
        <v>23</v>
      </c>
      <c r="C22" s="97"/>
      <c r="D22" s="97"/>
    </row>
    <row r="23" spans="2:4">
      <c r="B23" s="94" t="s">
        <v>62</v>
      </c>
      <c r="C23" s="94"/>
      <c r="D23" s="62">
        <f>'Scrap stock detail'!D8</f>
        <v>26</v>
      </c>
    </row>
    <row r="24" spans="2:4" s="2" customFormat="1">
      <c r="B24" s="88" t="s">
        <v>29</v>
      </c>
      <c r="C24" s="88"/>
      <c r="D24" s="88"/>
    </row>
    <row r="25" spans="2:4" s="2" customFormat="1">
      <c r="B25" s="88"/>
      <c r="C25" s="88"/>
      <c r="D25" s="88"/>
    </row>
    <row r="26" spans="2:4" s="2" customFormat="1">
      <c r="B26" s="88"/>
      <c r="C26" s="88"/>
      <c r="D26" s="88"/>
    </row>
    <row r="27" spans="2:4" s="2" customFormat="1">
      <c r="B27" s="88"/>
      <c r="C27" s="88"/>
      <c r="D27" s="88"/>
    </row>
    <row r="28" spans="2:4">
      <c r="B28" s="88"/>
      <c r="C28" s="88"/>
      <c r="D28" s="88"/>
    </row>
    <row r="29" spans="2:4" s="2" customFormat="1">
      <c r="B29" s="12" t="s">
        <v>76</v>
      </c>
      <c r="C29" s="12" t="s">
        <v>75</v>
      </c>
      <c r="D29" s="12" t="s">
        <v>74</v>
      </c>
    </row>
    <row r="30" spans="2:4" s="2" customFormat="1">
      <c r="B30" s="13" t="str">
        <f>C3</f>
        <v>Divaansh Enterprises</v>
      </c>
      <c r="C30" s="13" t="str">
        <f>C8</f>
        <v>N/A</v>
      </c>
      <c r="D30" s="13" t="str">
        <f>C5</f>
        <v>RAJEEV KUMAR</v>
      </c>
    </row>
    <row r="31" spans="2:4" s="2" customFormat="1">
      <c r="B31" s="12" t="s">
        <v>24</v>
      </c>
      <c r="C31" s="12" t="s">
        <v>25</v>
      </c>
      <c r="D31" s="12" t="s">
        <v>24</v>
      </c>
    </row>
    <row r="32" spans="2:4" s="2" customFormat="1">
      <c r="B32" s="12"/>
      <c r="C32" s="12"/>
      <c r="D32" s="12"/>
    </row>
    <row r="33" spans="2:4" s="2" customFormat="1">
      <c r="B33" s="14"/>
      <c r="C33" s="14"/>
      <c r="D33" s="14"/>
    </row>
    <row r="34" spans="2:4" s="2" customFormat="1">
      <c r="B34" s="15" t="s">
        <v>26</v>
      </c>
      <c r="C34" s="15"/>
      <c r="D34" s="15" t="s">
        <v>26</v>
      </c>
    </row>
  </sheetData>
  <mergeCells count="22">
    <mergeCell ref="C18:D18"/>
    <mergeCell ref="B24:D28"/>
    <mergeCell ref="C7:D7"/>
    <mergeCell ref="B14:D15"/>
    <mergeCell ref="C19:D19"/>
    <mergeCell ref="C17:D17"/>
    <mergeCell ref="C12:D12"/>
    <mergeCell ref="C11:D11"/>
    <mergeCell ref="B23:C23"/>
    <mergeCell ref="C8:D8"/>
    <mergeCell ref="C9:D9"/>
    <mergeCell ref="C21:D21"/>
    <mergeCell ref="C20:D20"/>
    <mergeCell ref="B22:D22"/>
    <mergeCell ref="C10:D10"/>
    <mergeCell ref="C13:D13"/>
    <mergeCell ref="C16:D16"/>
    <mergeCell ref="B2:D2"/>
    <mergeCell ref="C3:D3"/>
    <mergeCell ref="C4:D4"/>
    <mergeCell ref="C5:D5"/>
    <mergeCell ref="C6:D6"/>
  </mergeCells>
  <pageMargins left="0.24" right="0.24" top="0.63" bottom="0.74803149606299213" header="0.31496062992125984" footer="0.31496062992125984"/>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99694"/>
    <pageSetUpPr fitToPage="1"/>
  </sheetPr>
  <dimension ref="A1:T33"/>
  <sheetViews>
    <sheetView showGridLines="0" tabSelected="1" topLeftCell="B8" zoomScaleNormal="100" workbookViewId="0">
      <selection activeCell="Q7" sqref="Q7"/>
    </sheetView>
  </sheetViews>
  <sheetFormatPr defaultColWidth="16" defaultRowHeight="13.8"/>
  <cols>
    <col min="1" max="1" width="16.6640625" style="23" bestFit="1" customWidth="1"/>
    <col min="2" max="2" width="9.6640625" style="23" bestFit="1" customWidth="1"/>
    <col min="3" max="3" width="7.6640625" style="23" bestFit="1" customWidth="1"/>
    <col min="4" max="4" width="6.44140625" style="23" bestFit="1" customWidth="1"/>
    <col min="5" max="5" width="4.109375" style="23" bestFit="1" customWidth="1"/>
    <col min="6" max="6" width="10" style="23" bestFit="1" customWidth="1"/>
    <col min="7" max="7" width="7.33203125" style="23" bestFit="1" customWidth="1"/>
    <col min="8" max="8" width="9.5546875" style="23" bestFit="1" customWidth="1"/>
    <col min="9" max="9" width="7.5546875" style="23" bestFit="1" customWidth="1"/>
    <col min="10" max="10" width="9.88671875" style="23" bestFit="1" customWidth="1"/>
    <col min="11" max="11" width="11.33203125" style="23" bestFit="1" customWidth="1"/>
    <col min="12" max="12" width="11" style="23" bestFit="1" customWidth="1"/>
    <col min="13" max="13" width="5.6640625" style="23" bestFit="1" customWidth="1"/>
    <col min="14" max="14" width="11.33203125" style="23" bestFit="1" customWidth="1"/>
    <col min="15" max="15" width="11" style="23" bestFit="1" customWidth="1"/>
    <col min="16" max="19" width="16" style="23"/>
    <col min="20" max="20" width="1.5546875" style="23" bestFit="1" customWidth="1"/>
    <col min="21" max="16384" width="16" style="23"/>
  </cols>
  <sheetData>
    <row r="1" spans="1:20">
      <c r="B1" s="98"/>
      <c r="C1" s="98"/>
      <c r="D1" s="98"/>
      <c r="E1" s="98"/>
    </row>
    <row r="2" spans="1:20">
      <c r="A2" s="113" t="s">
        <v>49</v>
      </c>
      <c r="B2" s="114"/>
      <c r="C2" s="114"/>
      <c r="D2" s="114"/>
      <c r="E2" s="114"/>
      <c r="F2" s="114"/>
      <c r="G2" s="114"/>
      <c r="H2" s="114"/>
      <c r="I2" s="114"/>
      <c r="J2" s="114"/>
      <c r="K2" s="114"/>
      <c r="L2" s="114"/>
      <c r="M2" s="115"/>
    </row>
    <row r="3" spans="1:20">
      <c r="A3" s="51" t="s">
        <v>70</v>
      </c>
      <c r="B3" s="100" t="str">
        <f>Declaration!C3</f>
        <v>Divaansh Enterprises</v>
      </c>
      <c r="C3" s="101"/>
      <c r="D3" s="102"/>
      <c r="E3" s="109"/>
      <c r="F3" s="109"/>
      <c r="G3" s="109"/>
      <c r="H3" s="109"/>
      <c r="I3" s="109"/>
      <c r="J3" s="109"/>
      <c r="K3" s="109"/>
      <c r="L3" s="109"/>
      <c r="M3" s="110"/>
    </row>
    <row r="4" spans="1:20">
      <c r="A4" s="52" t="s">
        <v>71</v>
      </c>
      <c r="B4" s="103"/>
      <c r="C4" s="104"/>
      <c r="D4" s="105"/>
      <c r="E4" s="111"/>
      <c r="F4" s="111"/>
      <c r="G4" s="111"/>
      <c r="H4" s="111"/>
      <c r="I4" s="111"/>
      <c r="J4" s="111"/>
      <c r="K4" s="111"/>
      <c r="L4" s="111"/>
      <c r="M4" s="112"/>
    </row>
    <row r="5" spans="1:20">
      <c r="A5" s="52" t="s">
        <v>72</v>
      </c>
      <c r="B5" s="117" t="str">
        <f>Declaration!C4</f>
        <v>1023 BAZAR MOHALA TUGHALKABAD NEW DELHI 110044</v>
      </c>
      <c r="C5" s="118"/>
      <c r="D5" s="118"/>
      <c r="E5" s="119"/>
      <c r="F5" s="24" t="s">
        <v>56</v>
      </c>
      <c r="G5" s="106" t="s">
        <v>57</v>
      </c>
      <c r="H5" s="107"/>
      <c r="I5" s="107"/>
      <c r="J5" s="107"/>
      <c r="K5" s="107"/>
      <c r="L5" s="25"/>
      <c r="M5" s="26"/>
    </row>
    <row r="6" spans="1:20" s="33" customFormat="1" ht="55.2">
      <c r="A6" s="27" t="s">
        <v>66</v>
      </c>
      <c r="B6" s="27" t="s">
        <v>0</v>
      </c>
      <c r="C6" s="27" t="s">
        <v>45</v>
      </c>
      <c r="D6" s="27" t="s">
        <v>2</v>
      </c>
      <c r="E6" s="27" t="s">
        <v>1</v>
      </c>
      <c r="F6" s="28" t="s">
        <v>28</v>
      </c>
      <c r="G6" s="29" t="s">
        <v>58</v>
      </c>
      <c r="H6" s="29" t="s">
        <v>54</v>
      </c>
      <c r="I6" s="29" t="s">
        <v>50</v>
      </c>
      <c r="J6" s="29" t="s">
        <v>51</v>
      </c>
      <c r="K6" s="29" t="s">
        <v>60</v>
      </c>
      <c r="L6" s="30" t="s">
        <v>59</v>
      </c>
      <c r="M6" s="31" t="s">
        <v>61</v>
      </c>
      <c r="N6" s="32" t="s">
        <v>46</v>
      </c>
      <c r="O6" s="32" t="s">
        <v>47</v>
      </c>
      <c r="P6" s="23"/>
      <c r="Q6" s="23"/>
    </row>
    <row r="7" spans="1:20">
      <c r="A7" s="34">
        <v>1</v>
      </c>
      <c r="B7" s="54" t="s">
        <v>77</v>
      </c>
      <c r="C7" s="35">
        <v>15</v>
      </c>
      <c r="D7" s="36">
        <v>5</v>
      </c>
      <c r="E7" s="37" t="s">
        <v>30</v>
      </c>
      <c r="F7" s="47">
        <f>4815</f>
        <v>4815</v>
      </c>
      <c r="G7" s="47">
        <f>100+55+60+36+36</f>
        <v>287</v>
      </c>
      <c r="H7" s="47">
        <f>100+50+10+150+50+100+50+60+60+50+9</f>
        <v>689</v>
      </c>
      <c r="I7" s="47"/>
      <c r="J7" s="47">
        <f>300+300+40+500+350+500+500+500+500+300+400+200+250+200+200+70</f>
        <v>5110</v>
      </c>
      <c r="K7" s="55">
        <f>SUM(G7:J7)</f>
        <v>6086</v>
      </c>
      <c r="L7" s="55">
        <f>K7-F7</f>
        <v>1271</v>
      </c>
      <c r="M7" s="38"/>
      <c r="N7" s="56">
        <f>K7*C7</f>
        <v>91290</v>
      </c>
      <c r="O7" s="57">
        <f>N7/1000</f>
        <v>91.29</v>
      </c>
    </row>
    <row r="8" spans="1:20">
      <c r="A8" s="36">
        <f>1+A7</f>
        <v>2</v>
      </c>
      <c r="B8" s="54" t="s">
        <v>77</v>
      </c>
      <c r="C8" s="35">
        <v>32.5</v>
      </c>
      <c r="D8" s="39">
        <v>10</v>
      </c>
      <c r="E8" s="37" t="s">
        <v>30</v>
      </c>
      <c r="F8" s="47">
        <f>2053</f>
        <v>2053</v>
      </c>
      <c r="G8" s="47">
        <f>10+50+40+10+20</f>
        <v>130</v>
      </c>
      <c r="H8" s="47">
        <f>50+50+50+40+50+20+30+3</f>
        <v>293</v>
      </c>
      <c r="I8" s="47"/>
      <c r="J8" s="47">
        <f>250+300+200+300+150+150+200+10+30</f>
        <v>1590</v>
      </c>
      <c r="K8" s="55">
        <f t="shared" ref="K8:K25" si="0">SUM(G8:J8)</f>
        <v>2013</v>
      </c>
      <c r="L8" s="55">
        <f t="shared" ref="L8:L25" si="1">K8-F8</f>
        <v>-40</v>
      </c>
      <c r="M8" s="38"/>
      <c r="N8" s="56">
        <f t="shared" ref="N8:N25" si="2">K8*C8</f>
        <v>65422.5</v>
      </c>
      <c r="O8" s="57">
        <f t="shared" ref="O8:O25" si="3">N8/1000</f>
        <v>65.422499999999999</v>
      </c>
    </row>
    <row r="9" spans="1:20">
      <c r="A9" s="36">
        <f t="shared" ref="A9:A25" si="4">1+A8</f>
        <v>3</v>
      </c>
      <c r="B9" s="54" t="s">
        <v>77</v>
      </c>
      <c r="C9" s="35">
        <v>75</v>
      </c>
      <c r="D9" s="39">
        <v>20</v>
      </c>
      <c r="E9" s="37" t="s">
        <v>30</v>
      </c>
      <c r="F9" s="47">
        <f>260</f>
        <v>260</v>
      </c>
      <c r="G9" s="47"/>
      <c r="H9" s="47">
        <f>3+5+7+3+8</f>
        <v>26</v>
      </c>
      <c r="I9" s="47"/>
      <c r="J9" s="47">
        <f>65+4+25+55+32+25+11</f>
        <v>217</v>
      </c>
      <c r="K9" s="55">
        <f t="shared" si="0"/>
        <v>243</v>
      </c>
      <c r="L9" s="55">
        <f t="shared" si="1"/>
        <v>-17</v>
      </c>
      <c r="M9" s="38"/>
      <c r="N9" s="56">
        <f t="shared" si="2"/>
        <v>18225</v>
      </c>
      <c r="O9" s="57">
        <f t="shared" si="3"/>
        <v>18.225000000000001</v>
      </c>
    </row>
    <row r="10" spans="1:20">
      <c r="A10" s="36">
        <f t="shared" si="4"/>
        <v>4</v>
      </c>
      <c r="B10" s="54" t="s">
        <v>77</v>
      </c>
      <c r="C10" s="35">
        <v>62.5</v>
      </c>
      <c r="D10" s="39">
        <v>30</v>
      </c>
      <c r="E10" s="37" t="s">
        <v>30</v>
      </c>
      <c r="F10" s="47"/>
      <c r="G10" s="47"/>
      <c r="H10" s="47"/>
      <c r="I10" s="47"/>
      <c r="J10" s="47"/>
      <c r="K10" s="55">
        <f t="shared" si="0"/>
        <v>0</v>
      </c>
      <c r="L10" s="55">
        <f t="shared" si="1"/>
        <v>0</v>
      </c>
      <c r="M10" s="38"/>
      <c r="N10" s="56">
        <f t="shared" si="2"/>
        <v>0</v>
      </c>
      <c r="O10" s="57">
        <f t="shared" si="3"/>
        <v>0</v>
      </c>
    </row>
    <row r="11" spans="1:20">
      <c r="A11" s="36">
        <f t="shared" si="4"/>
        <v>5</v>
      </c>
      <c r="B11" s="54" t="s">
        <v>78</v>
      </c>
      <c r="C11" s="35">
        <v>20</v>
      </c>
      <c r="D11" s="39">
        <v>5</v>
      </c>
      <c r="E11" s="37" t="s">
        <v>30</v>
      </c>
      <c r="F11" s="47">
        <f>3167</f>
        <v>3167</v>
      </c>
      <c r="G11" s="47">
        <f>20+28</f>
        <v>48</v>
      </c>
      <c r="H11" s="47">
        <f>50+60+100+30+100+100+50+46+40+45</f>
        <v>621</v>
      </c>
      <c r="I11" s="47"/>
      <c r="J11" s="47">
        <f>300+200+20+98+500+300+500+300+500+60+200+160+400+200+25</f>
        <v>3763</v>
      </c>
      <c r="K11" s="55">
        <f t="shared" si="0"/>
        <v>4432</v>
      </c>
      <c r="L11" s="55">
        <f t="shared" si="1"/>
        <v>1265</v>
      </c>
      <c r="M11" s="38"/>
      <c r="N11" s="56">
        <f t="shared" si="2"/>
        <v>88640</v>
      </c>
      <c r="O11" s="57">
        <f t="shared" si="3"/>
        <v>88.64</v>
      </c>
      <c r="T11" s="23" t="s">
        <v>65</v>
      </c>
    </row>
    <row r="12" spans="1:20">
      <c r="A12" s="36">
        <f t="shared" si="4"/>
        <v>6</v>
      </c>
      <c r="B12" s="54" t="s">
        <v>78</v>
      </c>
      <c r="C12" s="35">
        <v>42</v>
      </c>
      <c r="D12" s="39">
        <v>10</v>
      </c>
      <c r="E12" s="37" t="s">
        <v>30</v>
      </c>
      <c r="F12" s="47">
        <f>1067</f>
        <v>1067</v>
      </c>
      <c r="G12" s="47">
        <f>20+25+25</f>
        <v>70</v>
      </c>
      <c r="H12" s="47">
        <f>36+20+10+4+10+55+20</f>
        <v>155</v>
      </c>
      <c r="I12" s="47"/>
      <c r="J12" s="47">
        <f>100+70+150+50+200+200+200+100+26</f>
        <v>1096</v>
      </c>
      <c r="K12" s="55">
        <f t="shared" si="0"/>
        <v>1321</v>
      </c>
      <c r="L12" s="55">
        <f t="shared" si="1"/>
        <v>254</v>
      </c>
      <c r="M12" s="38"/>
      <c r="N12" s="56">
        <f t="shared" si="2"/>
        <v>55482</v>
      </c>
      <c r="O12" s="57">
        <f t="shared" si="3"/>
        <v>55.481999999999999</v>
      </c>
    </row>
    <row r="13" spans="1:20">
      <c r="A13" s="36">
        <f t="shared" si="4"/>
        <v>7</v>
      </c>
      <c r="B13" s="54" t="s">
        <v>78</v>
      </c>
      <c r="C13" s="35">
        <v>85</v>
      </c>
      <c r="D13" s="39">
        <v>20</v>
      </c>
      <c r="E13" s="37" t="s">
        <v>30</v>
      </c>
      <c r="F13" s="47">
        <f>65</f>
        <v>65</v>
      </c>
      <c r="G13" s="47"/>
      <c r="H13" s="47">
        <f>3+3</f>
        <v>6</v>
      </c>
      <c r="I13" s="47"/>
      <c r="J13" s="47">
        <f>13+15+15</f>
        <v>43</v>
      </c>
      <c r="K13" s="55">
        <f t="shared" si="0"/>
        <v>49</v>
      </c>
      <c r="L13" s="55">
        <f t="shared" si="1"/>
        <v>-16</v>
      </c>
      <c r="M13" s="38"/>
      <c r="N13" s="56">
        <f t="shared" si="2"/>
        <v>4165</v>
      </c>
      <c r="O13" s="57">
        <f t="shared" si="3"/>
        <v>4.165</v>
      </c>
    </row>
    <row r="14" spans="1:20">
      <c r="A14" s="36">
        <f t="shared" si="4"/>
        <v>8</v>
      </c>
      <c r="B14" s="54" t="s">
        <v>79</v>
      </c>
      <c r="C14" s="35">
        <v>22</v>
      </c>
      <c r="D14" s="39">
        <v>5</v>
      </c>
      <c r="E14" s="37" t="s">
        <v>30</v>
      </c>
      <c r="F14" s="47">
        <f>2178</f>
        <v>2178</v>
      </c>
      <c r="G14" s="47">
        <f>26+40+40</f>
        <v>106</v>
      </c>
      <c r="H14" s="47">
        <f>50+100+25+100+40+56</f>
        <v>371</v>
      </c>
      <c r="I14" s="47"/>
      <c r="J14" s="47">
        <f>30+200+150+200+200+140+200+200+400</f>
        <v>1720</v>
      </c>
      <c r="K14" s="55">
        <f t="shared" si="0"/>
        <v>2197</v>
      </c>
      <c r="L14" s="55">
        <f t="shared" si="1"/>
        <v>19</v>
      </c>
      <c r="M14" s="38"/>
      <c r="N14" s="56">
        <f t="shared" si="2"/>
        <v>48334</v>
      </c>
      <c r="O14" s="57">
        <f t="shared" si="3"/>
        <v>48.334000000000003</v>
      </c>
    </row>
    <row r="15" spans="1:20">
      <c r="A15" s="36">
        <f t="shared" si="4"/>
        <v>9</v>
      </c>
      <c r="B15" s="54" t="s">
        <v>79</v>
      </c>
      <c r="C15" s="35">
        <v>34</v>
      </c>
      <c r="D15" s="39">
        <v>10</v>
      </c>
      <c r="E15" s="37" t="s">
        <v>30</v>
      </c>
      <c r="F15" s="47">
        <f>227</f>
        <v>227</v>
      </c>
      <c r="G15" s="47"/>
      <c r="H15" s="47">
        <v>30</v>
      </c>
      <c r="I15" s="47"/>
      <c r="J15" s="47">
        <f>200+30</f>
        <v>230</v>
      </c>
      <c r="K15" s="55">
        <f t="shared" si="0"/>
        <v>260</v>
      </c>
      <c r="L15" s="55">
        <f t="shared" si="1"/>
        <v>33</v>
      </c>
      <c r="M15" s="38"/>
      <c r="N15" s="56">
        <f t="shared" si="2"/>
        <v>8840</v>
      </c>
      <c r="O15" s="57">
        <f t="shared" si="3"/>
        <v>8.84</v>
      </c>
    </row>
    <row r="16" spans="1:20">
      <c r="A16" s="36">
        <f t="shared" si="4"/>
        <v>10</v>
      </c>
      <c r="B16" s="54" t="s">
        <v>80</v>
      </c>
      <c r="C16" s="35">
        <v>12</v>
      </c>
      <c r="D16" s="39">
        <v>5</v>
      </c>
      <c r="E16" s="37" t="s">
        <v>30</v>
      </c>
      <c r="F16" s="47">
        <f>1434</f>
        <v>1434</v>
      </c>
      <c r="G16" s="47">
        <f>30+40+50+48</f>
        <v>168</v>
      </c>
      <c r="H16" s="47">
        <f>10+15+50+100+50</f>
        <v>225</v>
      </c>
      <c r="I16" s="47"/>
      <c r="J16" s="47">
        <f>150+75+300+250+500+200+200+20</f>
        <v>1695</v>
      </c>
      <c r="K16" s="55">
        <f t="shared" si="0"/>
        <v>2088</v>
      </c>
      <c r="L16" s="55">
        <f t="shared" si="1"/>
        <v>654</v>
      </c>
      <c r="M16" s="38"/>
      <c r="N16" s="56">
        <f t="shared" si="2"/>
        <v>25056</v>
      </c>
      <c r="O16" s="57">
        <f t="shared" si="3"/>
        <v>25.056000000000001</v>
      </c>
    </row>
    <row r="17" spans="1:15">
      <c r="A17" s="36">
        <f t="shared" si="4"/>
        <v>11</v>
      </c>
      <c r="B17" s="54" t="s">
        <v>80</v>
      </c>
      <c r="C17" s="35">
        <v>45</v>
      </c>
      <c r="D17" s="39">
        <v>10</v>
      </c>
      <c r="E17" s="37"/>
      <c r="F17" s="47">
        <f>158</f>
        <v>158</v>
      </c>
      <c r="G17" s="47"/>
      <c r="H17" s="47"/>
      <c r="I17" s="47"/>
      <c r="J17" s="47"/>
      <c r="K17" s="55">
        <f t="shared" si="0"/>
        <v>0</v>
      </c>
      <c r="L17" s="55">
        <f t="shared" si="1"/>
        <v>-158</v>
      </c>
      <c r="M17" s="38"/>
      <c r="N17" s="56">
        <f t="shared" si="2"/>
        <v>0</v>
      </c>
      <c r="O17" s="57">
        <f t="shared" si="3"/>
        <v>0</v>
      </c>
    </row>
    <row r="18" spans="1:15">
      <c r="A18" s="36">
        <f t="shared" si="4"/>
        <v>12</v>
      </c>
      <c r="B18" s="54" t="s">
        <v>81</v>
      </c>
      <c r="C18" s="35">
        <v>22</v>
      </c>
      <c r="D18" s="39">
        <v>5</v>
      </c>
      <c r="E18" s="37" t="s">
        <v>30</v>
      </c>
      <c r="F18" s="47">
        <f>1182</f>
        <v>1182</v>
      </c>
      <c r="G18" s="47">
        <f>20+40+50+40</f>
        <v>150</v>
      </c>
      <c r="H18" s="47">
        <f>35+30+10+50</f>
        <v>125</v>
      </c>
      <c r="I18" s="47"/>
      <c r="J18" s="47">
        <f>200+200+600+300+200+100+100+200+50+132</f>
        <v>2082</v>
      </c>
      <c r="K18" s="55">
        <f t="shared" si="0"/>
        <v>2357</v>
      </c>
      <c r="L18" s="55">
        <f t="shared" si="1"/>
        <v>1175</v>
      </c>
      <c r="M18" s="38"/>
      <c r="N18" s="56">
        <f t="shared" si="2"/>
        <v>51854</v>
      </c>
      <c r="O18" s="57">
        <f t="shared" si="3"/>
        <v>51.853999999999999</v>
      </c>
    </row>
    <row r="19" spans="1:15">
      <c r="A19" s="36">
        <f t="shared" si="4"/>
        <v>13</v>
      </c>
      <c r="B19" s="54" t="s">
        <v>82</v>
      </c>
      <c r="C19" s="35">
        <v>15</v>
      </c>
      <c r="D19" s="39">
        <v>5</v>
      </c>
      <c r="E19" s="37" t="s">
        <v>30</v>
      </c>
      <c r="F19" s="47">
        <f>669</f>
        <v>669</v>
      </c>
      <c r="G19" s="47"/>
      <c r="H19" s="47">
        <f>30+20+50+28</f>
        <v>128</v>
      </c>
      <c r="I19" s="47"/>
      <c r="J19" s="47">
        <f>30+100+135+200+200+136</f>
        <v>801</v>
      </c>
      <c r="K19" s="55">
        <f t="shared" si="0"/>
        <v>929</v>
      </c>
      <c r="L19" s="55">
        <f t="shared" si="1"/>
        <v>260</v>
      </c>
      <c r="M19" s="38"/>
      <c r="N19" s="56">
        <f t="shared" si="2"/>
        <v>13935</v>
      </c>
      <c r="O19" s="57">
        <f t="shared" si="3"/>
        <v>13.935</v>
      </c>
    </row>
    <row r="20" spans="1:15">
      <c r="A20" s="36">
        <f t="shared" si="4"/>
        <v>14</v>
      </c>
      <c r="B20" s="54" t="s">
        <v>82</v>
      </c>
      <c r="C20" s="35">
        <v>36</v>
      </c>
      <c r="D20" s="39">
        <v>10</v>
      </c>
      <c r="E20" s="37" t="s">
        <v>30</v>
      </c>
      <c r="F20" s="47"/>
      <c r="G20" s="47"/>
      <c r="H20" s="47"/>
      <c r="I20" s="47"/>
      <c r="J20" s="47">
        <f>15+10+25</f>
        <v>50</v>
      </c>
      <c r="K20" s="55">
        <f t="shared" si="0"/>
        <v>50</v>
      </c>
      <c r="L20" s="55">
        <f t="shared" si="1"/>
        <v>50</v>
      </c>
      <c r="M20" s="38"/>
      <c r="N20" s="56">
        <f t="shared" si="2"/>
        <v>1800</v>
      </c>
      <c r="O20" s="57">
        <f t="shared" si="3"/>
        <v>1.8</v>
      </c>
    </row>
    <row r="21" spans="1:15">
      <c r="A21" s="36">
        <f t="shared" si="4"/>
        <v>15</v>
      </c>
      <c r="B21" s="54" t="s">
        <v>90</v>
      </c>
      <c r="C21" s="35">
        <v>18</v>
      </c>
      <c r="D21" s="39">
        <v>5</v>
      </c>
      <c r="E21" s="37" t="s">
        <v>30</v>
      </c>
      <c r="F21" s="47"/>
      <c r="G21" s="47"/>
      <c r="H21" s="47"/>
      <c r="I21" s="47"/>
      <c r="J21" s="47"/>
      <c r="K21" s="55">
        <f t="shared" si="0"/>
        <v>0</v>
      </c>
      <c r="L21" s="55">
        <f t="shared" si="1"/>
        <v>0</v>
      </c>
      <c r="M21" s="38"/>
      <c r="N21" s="56">
        <f t="shared" si="2"/>
        <v>0</v>
      </c>
      <c r="O21" s="57">
        <f t="shared" si="3"/>
        <v>0</v>
      </c>
    </row>
    <row r="22" spans="1:15">
      <c r="A22" s="36">
        <f t="shared" si="4"/>
        <v>16</v>
      </c>
      <c r="B22" s="54" t="s">
        <v>92</v>
      </c>
      <c r="C22" s="35">
        <v>17</v>
      </c>
      <c r="D22" s="39">
        <v>5</v>
      </c>
      <c r="E22" s="37" t="s">
        <v>30</v>
      </c>
      <c r="F22" s="47">
        <f>687</f>
        <v>687</v>
      </c>
      <c r="G22" s="47"/>
      <c r="H22" s="47"/>
      <c r="I22" s="47"/>
      <c r="J22" s="47"/>
      <c r="K22" s="55">
        <f t="shared" si="0"/>
        <v>0</v>
      </c>
      <c r="L22" s="55">
        <f t="shared" si="1"/>
        <v>-687</v>
      </c>
      <c r="M22" s="38"/>
      <c r="N22" s="56">
        <f t="shared" si="2"/>
        <v>0</v>
      </c>
      <c r="O22" s="57">
        <f t="shared" si="3"/>
        <v>0</v>
      </c>
    </row>
    <row r="23" spans="1:15">
      <c r="A23" s="36">
        <f t="shared" si="4"/>
        <v>17</v>
      </c>
      <c r="B23" s="54" t="s">
        <v>93</v>
      </c>
      <c r="C23" s="35">
        <v>25</v>
      </c>
      <c r="D23" s="39">
        <v>5</v>
      </c>
      <c r="E23" s="37"/>
      <c r="F23" s="47">
        <f>486</f>
        <v>486</v>
      </c>
      <c r="G23" s="47">
        <v>20</v>
      </c>
      <c r="H23" s="47">
        <f>50+30</f>
        <v>80</v>
      </c>
      <c r="I23" s="47"/>
      <c r="J23" s="47">
        <f>12+200+300+50</f>
        <v>562</v>
      </c>
      <c r="K23" s="55">
        <f t="shared" si="0"/>
        <v>662</v>
      </c>
      <c r="L23" s="55">
        <f t="shared" si="1"/>
        <v>176</v>
      </c>
      <c r="M23" s="38"/>
      <c r="N23" s="56">
        <f t="shared" si="2"/>
        <v>16550</v>
      </c>
      <c r="O23" s="57">
        <f t="shared" si="3"/>
        <v>16.55</v>
      </c>
    </row>
    <row r="24" spans="1:15">
      <c r="A24" s="36">
        <f t="shared" si="4"/>
        <v>18</v>
      </c>
      <c r="B24" s="54" t="s">
        <v>83</v>
      </c>
      <c r="C24" s="35">
        <v>22</v>
      </c>
      <c r="D24" s="39">
        <v>5</v>
      </c>
      <c r="E24" s="37" t="s">
        <v>30</v>
      </c>
      <c r="F24" s="47"/>
      <c r="G24" s="47"/>
      <c r="H24" s="47"/>
      <c r="I24" s="47"/>
      <c r="J24" s="47"/>
      <c r="K24" s="55">
        <f t="shared" si="0"/>
        <v>0</v>
      </c>
      <c r="L24" s="55">
        <f t="shared" si="1"/>
        <v>0</v>
      </c>
      <c r="M24" s="38"/>
      <c r="N24" s="56">
        <f t="shared" si="2"/>
        <v>0</v>
      </c>
      <c r="O24" s="57">
        <f t="shared" si="3"/>
        <v>0</v>
      </c>
    </row>
    <row r="25" spans="1:15">
      <c r="A25" s="36">
        <f t="shared" si="4"/>
        <v>19</v>
      </c>
      <c r="B25" s="54" t="s">
        <v>84</v>
      </c>
      <c r="C25" s="35">
        <v>13</v>
      </c>
      <c r="D25" s="39">
        <v>5</v>
      </c>
      <c r="E25" s="37" t="s">
        <v>30</v>
      </c>
      <c r="F25" s="47"/>
      <c r="G25" s="47"/>
      <c r="H25" s="47"/>
      <c r="I25" s="47"/>
      <c r="J25" s="47"/>
      <c r="K25" s="55">
        <f t="shared" si="0"/>
        <v>0</v>
      </c>
      <c r="L25" s="55">
        <f t="shared" si="1"/>
        <v>0</v>
      </c>
      <c r="M25" s="38"/>
      <c r="N25" s="56">
        <f t="shared" si="2"/>
        <v>0</v>
      </c>
      <c r="O25" s="57">
        <f t="shared" si="3"/>
        <v>0</v>
      </c>
    </row>
    <row r="26" spans="1:15">
      <c r="A26" s="116" t="s">
        <v>8</v>
      </c>
      <c r="B26" s="116"/>
      <c r="C26" s="116"/>
      <c r="D26" s="116"/>
      <c r="E26" s="116"/>
      <c r="F26" s="42">
        <f>SUM(F7:F25)</f>
        <v>18448</v>
      </c>
      <c r="G26" s="42">
        <f t="shared" ref="G26:O26" si="5">SUM(G7:G25)</f>
        <v>979</v>
      </c>
      <c r="H26" s="42">
        <f t="shared" si="5"/>
        <v>2749</v>
      </c>
      <c r="I26" s="42">
        <f t="shared" si="5"/>
        <v>0</v>
      </c>
      <c r="J26" s="42">
        <f t="shared" si="5"/>
        <v>18959</v>
      </c>
      <c r="K26" s="42">
        <f t="shared" si="5"/>
        <v>22687</v>
      </c>
      <c r="L26" s="42">
        <f t="shared" si="5"/>
        <v>4239</v>
      </c>
      <c r="M26" s="42">
        <f t="shared" si="5"/>
        <v>0</v>
      </c>
      <c r="N26" s="42">
        <f t="shared" si="5"/>
        <v>489593.5</v>
      </c>
      <c r="O26" s="42">
        <f t="shared" si="5"/>
        <v>489.59349999999995</v>
      </c>
    </row>
    <row r="27" spans="1:15">
      <c r="A27" s="45"/>
      <c r="B27" s="45"/>
      <c r="C27" s="45"/>
      <c r="D27" s="46"/>
    </row>
    <row r="28" spans="1:15">
      <c r="A28" s="108" t="s">
        <v>4</v>
      </c>
      <c r="B28" s="108"/>
      <c r="C28" s="108"/>
      <c r="D28" s="108"/>
      <c r="E28" s="43"/>
      <c r="F28" s="43"/>
      <c r="G28" s="43"/>
      <c r="H28" s="43"/>
      <c r="I28" s="43"/>
      <c r="J28" s="43"/>
      <c r="K28" s="43"/>
      <c r="L28" s="43"/>
    </row>
    <row r="29" spans="1:15">
      <c r="A29" s="99" t="s">
        <v>6</v>
      </c>
      <c r="B29" s="99"/>
      <c r="C29" s="99"/>
      <c r="D29" s="99"/>
      <c r="E29" s="99"/>
      <c r="F29" s="99"/>
      <c r="G29" s="99"/>
      <c r="H29" s="99"/>
      <c r="I29" s="99"/>
      <c r="J29" s="99"/>
      <c r="K29" s="99"/>
      <c r="L29" s="99"/>
    </row>
    <row r="30" spans="1:15">
      <c r="A30" s="99" t="s">
        <v>7</v>
      </c>
      <c r="B30" s="99"/>
      <c r="C30" s="99"/>
      <c r="D30" s="99"/>
      <c r="E30" s="99"/>
      <c r="F30" s="99"/>
      <c r="G30" s="99"/>
      <c r="H30" s="99"/>
      <c r="I30" s="99"/>
      <c r="J30" s="99"/>
      <c r="K30" s="99"/>
      <c r="L30" s="99"/>
    </row>
    <row r="31" spans="1:15">
      <c r="A31" s="43"/>
      <c r="B31" s="43"/>
      <c r="C31" s="43"/>
      <c r="D31" s="43"/>
      <c r="E31" s="43"/>
      <c r="F31" s="43"/>
      <c r="G31" s="43"/>
      <c r="H31" s="43"/>
      <c r="I31" s="43"/>
      <c r="J31" s="43"/>
      <c r="K31" s="43"/>
      <c r="L31" s="43"/>
    </row>
    <row r="32" spans="1:15">
      <c r="A32" s="40" t="s">
        <v>9</v>
      </c>
      <c r="B32" s="40"/>
      <c r="C32" s="40"/>
      <c r="D32" s="41" t="s">
        <v>5</v>
      </c>
      <c r="E32" s="44"/>
      <c r="F32" s="44"/>
      <c r="G32" s="44"/>
      <c r="H32" s="44"/>
      <c r="I32" s="44"/>
      <c r="J32" s="44"/>
      <c r="K32" s="44"/>
      <c r="L32" s="44"/>
    </row>
    <row r="33" spans="1:12">
      <c r="A33" s="40" t="s">
        <v>3</v>
      </c>
      <c r="B33" s="60">
        <f>Declaration!C12</f>
        <v>45399</v>
      </c>
      <c r="C33" s="41"/>
      <c r="D33" s="41" t="s">
        <v>3</v>
      </c>
      <c r="E33" s="44"/>
      <c r="F33" s="44"/>
      <c r="G33" s="44"/>
      <c r="H33" s="44"/>
      <c r="I33" s="44"/>
      <c r="J33" s="44"/>
      <c r="K33" s="44"/>
      <c r="L33" s="44"/>
    </row>
  </sheetData>
  <mergeCells count="12">
    <mergeCell ref="B1:C1"/>
    <mergeCell ref="A30:L30"/>
    <mergeCell ref="B3:D3"/>
    <mergeCell ref="B4:D4"/>
    <mergeCell ref="G5:K5"/>
    <mergeCell ref="A28:D28"/>
    <mergeCell ref="A29:L29"/>
    <mergeCell ref="D1:E1"/>
    <mergeCell ref="E3:M4"/>
    <mergeCell ref="A2:M2"/>
    <mergeCell ref="A26:E26"/>
    <mergeCell ref="B5:E5"/>
  </mergeCells>
  <conditionalFormatting sqref="B4">
    <cfRule type="duplicateValues" dxfId="0" priority="1"/>
  </conditionalFormatting>
  <pageMargins left="0.19685039370078741" right="0.15748031496062992" top="0.35433070866141736" bottom="0.23622047244094491" header="0.31496062992125984" footer="0.31496062992125984"/>
  <pageSetup paperSize="9" scale="57"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zoomScaleNormal="100" workbookViewId="0">
      <selection activeCell="J13" sqref="J13"/>
    </sheetView>
  </sheetViews>
  <sheetFormatPr defaultColWidth="24.33203125" defaultRowHeight="14.4"/>
  <cols>
    <col min="1" max="1" width="25.88671875" bestFit="1" customWidth="1"/>
    <col min="2" max="2" width="18.88671875" bestFit="1" customWidth="1"/>
    <col min="3" max="3" width="8.33203125" bestFit="1" customWidth="1"/>
    <col min="4" max="4" width="12.33203125" bestFit="1" customWidth="1"/>
    <col min="5" max="5" width="7.5546875" bestFit="1" customWidth="1"/>
    <col min="6" max="6" width="8.88671875" bestFit="1" customWidth="1"/>
    <col min="7" max="7" width="16.6640625" bestFit="1" customWidth="1"/>
    <col min="8" max="8" width="19.5546875" bestFit="1" customWidth="1"/>
  </cols>
  <sheetData>
    <row r="1" spans="1:8">
      <c r="A1" s="16" t="s">
        <v>32</v>
      </c>
      <c r="B1" s="71"/>
      <c r="C1" s="71"/>
      <c r="D1" s="72"/>
      <c r="E1" s="72"/>
      <c r="F1" s="72"/>
      <c r="G1" s="7" t="s">
        <v>16</v>
      </c>
      <c r="H1" s="73">
        <f>Declaration!C10</f>
        <v>45398</v>
      </c>
    </row>
    <row r="2" spans="1:8">
      <c r="A2" s="3" t="s">
        <v>11</v>
      </c>
      <c r="B2" s="83" t="str">
        <f>Declaration!C3</f>
        <v>Divaansh Enterprises</v>
      </c>
      <c r="C2" s="83"/>
      <c r="D2" s="72"/>
      <c r="E2" s="72"/>
      <c r="F2" s="72"/>
      <c r="G2" s="7" t="s">
        <v>18</v>
      </c>
      <c r="H2" s="74">
        <f>Declaration!C12</f>
        <v>45399</v>
      </c>
    </row>
    <row r="3" spans="1:8">
      <c r="A3" s="58" t="s">
        <v>33</v>
      </c>
      <c r="B3" s="58" t="s">
        <v>41</v>
      </c>
      <c r="C3" s="58" t="s">
        <v>39</v>
      </c>
      <c r="D3" s="17" t="s">
        <v>34</v>
      </c>
      <c r="E3" s="18" t="s">
        <v>35</v>
      </c>
      <c r="F3" s="17" t="s">
        <v>36</v>
      </c>
      <c r="G3" s="18" t="s">
        <v>37</v>
      </c>
      <c r="H3" s="19" t="s">
        <v>38</v>
      </c>
    </row>
    <row r="4" spans="1:8">
      <c r="A4" s="58">
        <v>1</v>
      </c>
      <c r="B4" s="58" t="s">
        <v>41</v>
      </c>
      <c r="C4" s="58" t="s">
        <v>39</v>
      </c>
      <c r="D4" s="75">
        <v>45398</v>
      </c>
      <c r="E4" s="76" t="s">
        <v>96</v>
      </c>
      <c r="F4" s="76" t="s">
        <v>98</v>
      </c>
      <c r="G4" s="77" t="s">
        <v>99</v>
      </c>
      <c r="H4" s="120"/>
    </row>
    <row r="5" spans="1:8">
      <c r="A5" s="59">
        <v>2</v>
      </c>
      <c r="B5" s="59" t="s">
        <v>95</v>
      </c>
      <c r="C5" s="59">
        <v>1</v>
      </c>
      <c r="D5" s="75">
        <v>45399</v>
      </c>
      <c r="E5" s="76" t="s">
        <v>96</v>
      </c>
      <c r="F5" s="76" t="s">
        <v>98</v>
      </c>
      <c r="G5" s="77" t="s">
        <v>99</v>
      </c>
      <c r="H5" s="121"/>
    </row>
    <row r="6" spans="1:8">
      <c r="A6" s="78"/>
      <c r="B6" s="70" t="s">
        <v>69</v>
      </c>
      <c r="C6" s="79">
        <f>SUM(C5:C5)</f>
        <v>1</v>
      </c>
      <c r="D6" s="78"/>
      <c r="E6" s="78"/>
      <c r="F6" s="78"/>
      <c r="G6" s="78"/>
      <c r="H6" s="78"/>
    </row>
  </sheetData>
  <mergeCells count="2">
    <mergeCell ref="B2:C2"/>
    <mergeCell ref="H4:H5"/>
  </mergeCells>
  <pageMargins left="0.7" right="0.7" top="0.75" bottom="0.75" header="0.3" footer="0.3"/>
  <pageSetup paperSize="9" scale="77"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K13"/>
  <sheetViews>
    <sheetView zoomScale="83" zoomScaleNormal="96" workbookViewId="0">
      <selection activeCell="C7" sqref="C7"/>
    </sheetView>
  </sheetViews>
  <sheetFormatPr defaultColWidth="10" defaultRowHeight="14.4"/>
  <cols>
    <col min="1" max="1" width="5.88671875" bestFit="1" customWidth="1"/>
    <col min="2" max="2" width="50.5546875" bestFit="1" customWidth="1"/>
    <col min="3" max="3" width="16.109375" bestFit="1" customWidth="1"/>
    <col min="4" max="4" width="17.6640625" bestFit="1" customWidth="1"/>
    <col min="5" max="5" width="8.44140625" bestFit="1" customWidth="1"/>
    <col min="6" max="6" width="13.6640625" bestFit="1" customWidth="1"/>
    <col min="7" max="7" width="11.6640625" bestFit="1" customWidth="1"/>
    <col min="8" max="8" width="9.44140625" bestFit="1" customWidth="1"/>
    <col min="9" max="9" width="8.109375" bestFit="1" customWidth="1"/>
    <col min="10" max="10" width="20.109375" customWidth="1"/>
  </cols>
  <sheetData>
    <row r="2" spans="1:11">
      <c r="B2" s="63">
        <f>Declaration!C10</f>
        <v>45398</v>
      </c>
      <c r="C2" s="64" t="str">
        <f>Declaration!C3</f>
        <v>Divaansh Enterprises</v>
      </c>
    </row>
    <row r="3" spans="1:11">
      <c r="A3" s="49" t="s">
        <v>40</v>
      </c>
      <c r="B3" s="53" t="s">
        <v>73</v>
      </c>
      <c r="C3" s="50" t="s">
        <v>52</v>
      </c>
      <c r="D3" s="49" t="s">
        <v>42</v>
      </c>
      <c r="E3" s="66" t="s">
        <v>86</v>
      </c>
      <c r="F3" s="66" t="s">
        <v>87</v>
      </c>
      <c r="G3" s="66" t="s">
        <v>88</v>
      </c>
      <c r="H3" s="66" t="s">
        <v>89</v>
      </c>
      <c r="I3" s="49" t="s">
        <v>43</v>
      </c>
    </row>
    <row r="4" spans="1:11">
      <c r="A4" s="21">
        <v>1</v>
      </c>
      <c r="B4" s="21" t="s">
        <v>85</v>
      </c>
      <c r="C4" s="22">
        <f>8.55+15.45+17.3+13.95+15.6+18.15+18.1+15.8+17.2+16.3</f>
        <v>156.4</v>
      </c>
      <c r="D4" s="21">
        <v>10</v>
      </c>
      <c r="E4" s="67">
        <v>20</v>
      </c>
      <c r="F4" s="67">
        <f t="shared" ref="F4:F7" si="0">C4*E4</f>
        <v>3128</v>
      </c>
      <c r="G4" s="67">
        <v>0</v>
      </c>
      <c r="H4" s="68">
        <f t="shared" ref="H4:H7" si="1">F4-G4</f>
        <v>3128</v>
      </c>
      <c r="I4" s="21"/>
    </row>
    <row r="5" spans="1:11">
      <c r="A5" s="21">
        <f>A4+1</f>
        <v>2</v>
      </c>
      <c r="B5" s="21" t="s">
        <v>78</v>
      </c>
      <c r="C5" s="22">
        <f>18.95+19.2+19.8+19.9+20.9+19.65+16.85</f>
        <v>135.25</v>
      </c>
      <c r="D5" s="21">
        <v>7</v>
      </c>
      <c r="E5" s="67">
        <v>20</v>
      </c>
      <c r="F5" s="67">
        <f t="shared" si="0"/>
        <v>2705</v>
      </c>
      <c r="G5" s="67">
        <v>0</v>
      </c>
      <c r="H5" s="68">
        <f t="shared" si="1"/>
        <v>2705</v>
      </c>
      <c r="I5" s="21"/>
    </row>
    <row r="6" spans="1:11">
      <c r="A6" s="21">
        <f t="shared" ref="A6:A7" si="2">A5+1</f>
        <v>3</v>
      </c>
      <c r="B6" s="21" t="s">
        <v>79</v>
      </c>
      <c r="C6" s="22">
        <f>20.3+24.55</f>
        <v>44.85</v>
      </c>
      <c r="D6" s="21">
        <v>2</v>
      </c>
      <c r="E6" s="67">
        <v>20</v>
      </c>
      <c r="F6" s="67">
        <f t="shared" si="0"/>
        <v>897</v>
      </c>
      <c r="G6" s="67">
        <v>0</v>
      </c>
      <c r="H6" s="68">
        <f t="shared" si="1"/>
        <v>897</v>
      </c>
      <c r="I6" s="21"/>
    </row>
    <row r="7" spans="1:11">
      <c r="A7" s="21">
        <f t="shared" si="2"/>
        <v>4</v>
      </c>
      <c r="B7" s="21" t="s">
        <v>94</v>
      </c>
      <c r="C7" s="22">
        <f>8.85+13.65+13.75+16.1+15.15+16.25+14.9</f>
        <v>98.65</v>
      </c>
      <c r="D7" s="21">
        <v>7</v>
      </c>
      <c r="E7" s="67">
        <v>10</v>
      </c>
      <c r="F7" s="67">
        <f t="shared" si="0"/>
        <v>986.5</v>
      </c>
      <c r="G7" s="67">
        <v>0</v>
      </c>
      <c r="H7" s="68">
        <f t="shared" si="1"/>
        <v>986.5</v>
      </c>
      <c r="I7" s="21"/>
    </row>
    <row r="8" spans="1:11">
      <c r="A8" s="11"/>
      <c r="B8" s="11" t="s">
        <v>44</v>
      </c>
      <c r="C8" s="48">
        <f>SUM(C4:C7)</f>
        <v>435.15</v>
      </c>
      <c r="D8" s="61">
        <f>SUM(D4:D7)</f>
        <v>26</v>
      </c>
      <c r="E8" s="69"/>
      <c r="F8" s="69">
        <f>SUM(F4:F7)</f>
        <v>7716.5</v>
      </c>
      <c r="G8" s="69">
        <f>SUM(G4:G7)</f>
        <v>0</v>
      </c>
      <c r="H8" s="69">
        <f>SUM(H4:H7)</f>
        <v>7716.5</v>
      </c>
      <c r="I8" s="21"/>
    </row>
    <row r="10" spans="1:11" ht="28.8">
      <c r="B10" s="65" t="s">
        <v>53</v>
      </c>
      <c r="K10" s="20"/>
    </row>
    <row r="13" spans="1:11">
      <c r="B13" t="s">
        <v>31</v>
      </c>
    </row>
  </sheetData>
  <pageMargins left="0.7" right="0.7" top="0.75" bottom="0.75" header="0.3" footer="0.3"/>
  <pageSetup paperSize="9" fitToWidth="0"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35C1913E97074C8197778633064682" ma:contentTypeVersion="9" ma:contentTypeDescription="Create a new document." ma:contentTypeScope="" ma:versionID="1a46fe3fdbccbecd6978e8a7c1da2b41">
  <xsd:schema xmlns:xsd="http://www.w3.org/2001/XMLSchema" xmlns:xs="http://www.w3.org/2001/XMLSchema" xmlns:p="http://schemas.microsoft.com/office/2006/metadata/properties" xmlns:ns3="26f0e883-195c-4097-964b-4652bc177b58" xmlns:ns4="fa66f92d-833a-4cb8-a712-221909bdb10d" targetNamespace="http://schemas.microsoft.com/office/2006/metadata/properties" ma:root="true" ma:fieldsID="74d229db0194cd571674d4f50795fcf6" ns3:_="" ns4:_="">
    <xsd:import namespace="26f0e883-195c-4097-964b-4652bc177b58"/>
    <xsd:import namespace="fa66f92d-833a-4cb8-a712-221909bdb10d"/>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f0e883-195c-4097-964b-4652bc177b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66f92d-833a-4cb8-a712-221909bdb10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6f0e883-195c-4097-964b-4652bc177b5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8B6933-6A78-4AE9-940E-2DDD5A7E52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f0e883-195c-4097-964b-4652bc177b58"/>
    <ds:schemaRef ds:uri="fa66f92d-833a-4cb8-a712-221909bdb1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BC63A8-6981-45C2-A473-37306D3BAA09}">
  <ds:schemaRefs>
    <ds:schemaRef ds:uri="26f0e883-195c-4097-964b-4652bc177b58"/>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http://www.w3.org/XML/1998/namespace"/>
    <ds:schemaRef ds:uri="http://schemas.microsoft.com/office/2006/metadata/properties"/>
    <ds:schemaRef ds:uri="http://purl.org/dc/terms/"/>
    <ds:schemaRef ds:uri="fa66f92d-833a-4cb8-a712-221909bdb10d"/>
    <ds:schemaRef ds:uri="http://purl.org/dc/dcmitype/"/>
  </ds:schemaRefs>
</ds:datastoreItem>
</file>

<file path=customXml/itemProps3.xml><?xml version="1.0" encoding="utf-8"?>
<ds:datastoreItem xmlns:ds="http://schemas.openxmlformats.org/officeDocument/2006/customXml" ds:itemID="{687618BF-4687-456E-9C4B-C593496D95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Declaration</vt:lpstr>
      <vt:lpstr>Distributor Claim Sheet</vt:lpstr>
      <vt:lpstr>Mandays</vt:lpstr>
      <vt:lpstr>Scrap stock detail</vt:lpstr>
      <vt:lpstr>Declaration!Print_Area</vt:lpstr>
      <vt:lpstr>'Distributor Claim 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OYE VILLAIN</cp:lastModifiedBy>
  <dcterms:created xsi:type="dcterms:W3CDTF">2018-09-14T16:50:16Z</dcterms:created>
  <dcterms:modified xsi:type="dcterms:W3CDTF">2024-04-21T06:27:51Z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0x010100C235C1913E97074C8197778633064682</vt:lpwstr>
  </property>
  <property fmtid="{D5CDD505-2E9C-101B-9397-08002B2CF9AE}" pid="3" name="ICV">
    <vt:lpwstr>a77c150bf2c54ea9a138ff892a5f1d4f</vt:lpwstr>
  </property>
</Properties>
</file>