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42bfa40781cf34df/Desktop/YELLOW DAIMOND'S/"/>
    </mc:Choice>
  </mc:AlternateContent>
  <xr:revisionPtr revIDLastSave="0" documentId="8_{26009F6F-3059-435B-AA51-038E085825F7}"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Sheet'!$A$2:$O$26</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F5" i="4" s="1"/>
  <c r="H5" i="4" s="1"/>
  <c r="C4" i="4"/>
  <c r="F4" i="4" s="1"/>
  <c r="H4" i="4" s="1"/>
  <c r="J11" i="2"/>
  <c r="J8" i="2"/>
  <c r="C7" i="4"/>
  <c r="F7" i="4" s="1"/>
  <c r="H7" i="4" s="1"/>
  <c r="C6" i="4"/>
  <c r="G24" i="2"/>
  <c r="H24" i="2"/>
  <c r="G25" i="2"/>
  <c r="H25" i="2"/>
  <c r="F6" i="4"/>
  <c r="H6" i="4" s="1"/>
  <c r="J13" i="2"/>
  <c r="H13" i="2"/>
  <c r="G13" i="2"/>
  <c r="K13" i="2" s="1"/>
  <c r="L13" i="2" s="1"/>
  <c r="J25" i="2"/>
  <c r="G17" i="2"/>
  <c r="H17" i="2"/>
  <c r="J17" i="2"/>
  <c r="J15" i="2"/>
  <c r="J18" i="2"/>
  <c r="G16" i="2"/>
  <c r="H16" i="2"/>
  <c r="J16" i="2"/>
  <c r="G14" i="2"/>
  <c r="H14" i="2"/>
  <c r="J14" i="2"/>
  <c r="H20" i="2"/>
  <c r="J20" i="2"/>
  <c r="J12" i="2"/>
  <c r="K12" i="2" s="1"/>
  <c r="L12" i="2" s="1"/>
  <c r="G11" i="2"/>
  <c r="H11" i="2"/>
  <c r="G10" i="2"/>
  <c r="H10" i="2"/>
  <c r="J10" i="2"/>
  <c r="J9" i="2"/>
  <c r="K9" i="2" s="1"/>
  <c r="N9" i="2" s="1"/>
  <c r="O9" i="2" s="1"/>
  <c r="G8" i="2"/>
  <c r="H8" i="2"/>
  <c r="G7" i="2"/>
  <c r="H7" i="2"/>
  <c r="J7" i="2"/>
  <c r="J22" i="2"/>
  <c r="K22" i="2" s="1"/>
  <c r="N22" i="2" s="1"/>
  <c r="O22" i="2" s="1"/>
  <c r="J24" i="2"/>
  <c r="G21" i="2"/>
  <c r="H21" i="2"/>
  <c r="J21" i="2"/>
  <c r="G15" i="2"/>
  <c r="H15" i="2"/>
  <c r="G18" i="2"/>
  <c r="I10" i="2"/>
  <c r="K23" i="2"/>
  <c r="L23" i="2" s="1"/>
  <c r="C8" i="3"/>
  <c r="A6" i="3"/>
  <c r="A7" i="3" s="1"/>
  <c r="A5" i="3"/>
  <c r="G8" i="4"/>
  <c r="N13" i="2" l="1"/>
  <c r="O13" i="2" s="1"/>
  <c r="K21" i="2"/>
  <c r="N21" i="2" s="1"/>
  <c r="O21" i="2" s="1"/>
  <c r="K18" i="2"/>
  <c r="L18" i="2" s="1"/>
  <c r="K25" i="2"/>
  <c r="L25" i="2" s="1"/>
  <c r="K24" i="2"/>
  <c r="L24" i="2" s="1"/>
  <c r="K15" i="2"/>
  <c r="L15" i="2" s="1"/>
  <c r="K14" i="2"/>
  <c r="N14" i="2" s="1"/>
  <c r="O14" i="2" s="1"/>
  <c r="K19" i="2"/>
  <c r="L19" i="2" s="1"/>
  <c r="K20" i="2"/>
  <c r="L22" i="2"/>
  <c r="K11" i="2"/>
  <c r="L11" i="2" s="1"/>
  <c r="K16" i="2"/>
  <c r="N16" i="2" s="1"/>
  <c r="O16" i="2" s="1"/>
  <c r="K17" i="2"/>
  <c r="N17" i="2" s="1"/>
  <c r="O17" i="2" s="1"/>
  <c r="N23" i="2"/>
  <c r="O23" i="2" s="1"/>
  <c r="N18" i="2"/>
  <c r="O18" i="2" s="1"/>
  <c r="L9" i="2"/>
  <c r="K10" i="2"/>
  <c r="L10" i="2" s="1"/>
  <c r="N12" i="2"/>
  <c r="O12" i="2" s="1"/>
  <c r="H8" i="4"/>
  <c r="F8" i="4"/>
  <c r="D8" i="4"/>
  <c r="D23" i="1" s="1"/>
  <c r="C8" i="4"/>
  <c r="J26" i="2"/>
  <c r="I26" i="2"/>
  <c r="H26" i="2"/>
  <c r="G26" i="2"/>
  <c r="F26" i="2"/>
  <c r="N24" i="2" l="1"/>
  <c r="O24" i="2" s="1"/>
  <c r="L21" i="2"/>
  <c r="N25" i="2"/>
  <c r="O25" i="2" s="1"/>
  <c r="N15" i="2"/>
  <c r="O15" i="2" s="1"/>
  <c r="L14" i="2"/>
  <c r="N19" i="2"/>
  <c r="O19" i="2" s="1"/>
  <c r="L20" i="2"/>
  <c r="N20" i="2"/>
  <c r="O20" i="2" s="1"/>
  <c r="N11" i="2"/>
  <c r="O11" i="2" s="1"/>
  <c r="L16" i="2"/>
  <c r="L17" i="2"/>
  <c r="N10" i="2"/>
  <c r="O10" i="2" s="1"/>
  <c r="H1" i="3"/>
  <c r="H2" i="3"/>
  <c r="B2" i="3"/>
  <c r="C2" i="4"/>
  <c r="B2" i="4"/>
  <c r="B30" i="1"/>
  <c r="C30" i="1"/>
  <c r="D30" i="1"/>
  <c r="B5" i="2"/>
  <c r="B3" i="2"/>
  <c r="K8" i="2"/>
  <c r="N8" i="2" s="1"/>
  <c r="O8" i="2" s="1"/>
  <c r="C19" i="1"/>
  <c r="C17" i="1"/>
  <c r="L8" i="2" l="1"/>
  <c r="A5" i="4"/>
  <c r="A6" i="4" s="1"/>
  <c r="A7" i="4" s="1"/>
  <c r="A8" i="2"/>
  <c r="A9" i="2" s="1"/>
  <c r="A10" i="2" s="1"/>
  <c r="A11" i="2" s="1"/>
  <c r="A12" i="2" s="1"/>
  <c r="A13" i="2" s="1"/>
  <c r="A14" i="2" s="1"/>
  <c r="A15" i="2" s="1"/>
  <c r="A16" i="2" s="1"/>
  <c r="A17" i="2" s="1"/>
  <c r="A18" i="2" s="1"/>
  <c r="A19" i="2" s="1"/>
  <c r="A20" i="2" s="1"/>
  <c r="A21" i="2" s="1"/>
  <c r="A22" i="2" s="1"/>
  <c r="A23" i="2" s="1"/>
  <c r="A24" i="2" s="1"/>
  <c r="A25" i="2" s="1"/>
  <c r="C18" i="1" l="1"/>
  <c r="K7" i="2"/>
  <c r="C20" i="1"/>
  <c r="L7" i="2" l="1"/>
  <c r="L26" i="2" s="1"/>
  <c r="K26" i="2"/>
  <c r="C21" i="1"/>
  <c r="N7" i="2"/>
  <c r="N26" i="2" s="1"/>
  <c r="O7" i="2" l="1"/>
  <c r="O26" i="2" s="1"/>
</calcChain>
</file>

<file path=xl/sharedStrings.xml><?xml version="1.0" encoding="utf-8"?>
<sst xmlns="http://schemas.openxmlformats.org/spreadsheetml/2006/main" count="150" uniqueCount="108">
  <si>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</si>
  <si>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</si>
  <si>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</si>
  <si>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</si>
  <si>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</si>
  <si>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</si>
  <si>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</si>
  <si>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</si>
  <si>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</si>
  <si>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</si>
  <si>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</si>
  <si>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</si>
  <si>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</si>
  <si>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</si>
  <si>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</si>
  <si>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</si>
  <si>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</si>
  <si>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</si>
  <si>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</si>
  <si>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</si>
  <si>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</si>
  <si>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</si>
  <si>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</si>
  <si>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</si>
  <si>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</si>
  <si>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</si>
  <si>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</si>
  <si>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</si>
  <si>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</si>
  <si>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</si>
  <si>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</si>
  <si>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</si>
  <si>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</si>
  <si>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</si>
  <si>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</si>
  <si>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</si>
  <si>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</si>
  <si>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</si>
  <si>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</si>
  <si>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</si>
  <si>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</si>
  <si>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</si>
  <si>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</si>
  <si>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</si>
  <si>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</si>
  <si>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</si>
  <si>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</si>
  <si>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</si>
  <si>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</si>
  <si>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</si>
  <si>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</si>
  <si>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</si>
  <si>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</si>
  <si>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</si>
  <si>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</si>
  <si>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</si>
  <si>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</si>
  <si>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</si>
  <si>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</si>
  <si>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</si>
  <si>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</si>
  <si>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</si>
  <si>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</si>
  <si>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</si>
  <si>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</si>
  <si>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</si>
  <si>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</si>
  <si>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</si>
  <si>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</si>
  <si>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</si>
  <si>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</si>
  <si>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</si>
  <si>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</si>
  <si>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</si>
  <si>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</si>
  <si>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</si>
  <si>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</si>
  <si>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</si>
  <si>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</si>
  <si>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</si>
  <si>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</si>
  <si>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</si>
  <si>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RAJEEV KUMAR</t>
  </si>
  <si>
    <t>10:00AM</t>
  </si>
  <si>
    <t>06:30PM</t>
  </si>
  <si>
    <t>Date:-</t>
  </si>
  <si>
    <t>CHIPS</t>
  </si>
  <si>
    <t>CHULULE</t>
  </si>
  <si>
    <t>Pcs</t>
  </si>
  <si>
    <t>JAIN TRADERS</t>
  </si>
  <si>
    <t>PRADEEP JAIN</t>
  </si>
  <si>
    <t>AVADH</t>
  </si>
  <si>
    <t>NAMKEEN</t>
  </si>
  <si>
    <t>CAKE</t>
  </si>
  <si>
    <t>RING</t>
  </si>
  <si>
    <t>STIX</t>
  </si>
  <si>
    <t>SCOOP</t>
  </si>
  <si>
    <t>POPCORN</t>
  </si>
  <si>
    <t>WHEELS</t>
  </si>
  <si>
    <t>MINI BITES</t>
  </si>
  <si>
    <t>PUFF</t>
  </si>
  <si>
    <t>RUSK</t>
  </si>
  <si>
    <t>pradeep jain</t>
  </si>
  <si>
    <t>C-48 LAWRENCE ROAD TRI NAGAR DELHI</t>
  </si>
  <si>
    <t>SUNIL SHARMA</t>
  </si>
  <si>
    <t>Avadh,ring,wheels,stix,cake,mini bite,popcorn,scoop,puff</t>
  </si>
  <si>
    <t>RAJEEV KUMAR,SUMIT</t>
  </si>
  <si>
    <t>08:00PM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</si>
</sst>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4" fontId="28" fillId="0" borderId="1" xfId="0" applyNumberFormat="1" applyFont="1" applyBorder="1" applyAlignment="1">
      <alignment horizontal="center"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96" zoomScaleNormal="100" workbookViewId="0">
      <selection activeCell="H19" sqref="H19"/>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83" t="s">
        <v>10</v>
      </c>
      <c r="C2" s="83"/>
      <c r="D2" s="83"/>
    </row>
    <row r="3" spans="1:4" x14ac:dyDescent="0.3">
      <c r="B3" s="3" t="s">
        <v>11</v>
      </c>
      <c r="C3" s="84" t="s">
        <v>89</v>
      </c>
      <c r="D3" s="84"/>
    </row>
    <row r="4" spans="1:4" x14ac:dyDescent="0.3">
      <c r="B4" s="4" t="s">
        <v>12</v>
      </c>
      <c r="C4" s="84" t="s">
        <v>103</v>
      </c>
      <c r="D4" s="84"/>
    </row>
    <row r="5" spans="1:4" x14ac:dyDescent="0.3">
      <c r="B5" s="5" t="s">
        <v>13</v>
      </c>
      <c r="C5" s="85" t="s">
        <v>82</v>
      </c>
      <c r="D5" s="86"/>
    </row>
    <row r="6" spans="1:4" x14ac:dyDescent="0.3">
      <c r="B6" s="6" t="s">
        <v>14</v>
      </c>
      <c r="C6" s="85" t="s">
        <v>90</v>
      </c>
      <c r="D6" s="86"/>
    </row>
    <row r="7" spans="1:4" x14ac:dyDescent="0.3">
      <c r="B7" s="6" t="s">
        <v>15</v>
      </c>
      <c r="C7" s="86">
        <v>9313672272</v>
      </c>
      <c r="D7" s="86"/>
    </row>
    <row r="8" spans="1:4" x14ac:dyDescent="0.3">
      <c r="B8" s="6" t="s">
        <v>46</v>
      </c>
      <c r="C8" s="96" t="s">
        <v>104</v>
      </c>
      <c r="D8" s="97"/>
    </row>
    <row r="9" spans="1:4" x14ac:dyDescent="0.3">
      <c r="B9" s="6" t="s">
        <v>27</v>
      </c>
      <c r="C9" s="96">
        <v>9354886909</v>
      </c>
      <c r="D9" s="97"/>
    </row>
    <row r="10" spans="1:4" x14ac:dyDescent="0.3">
      <c r="B10" s="7" t="s">
        <v>16</v>
      </c>
      <c r="C10" s="93">
        <v>45525</v>
      </c>
      <c r="D10" s="93"/>
    </row>
    <row r="11" spans="1:4" x14ac:dyDescent="0.3">
      <c r="B11" s="7" t="s">
        <v>17</v>
      </c>
      <c r="C11" s="94" t="s">
        <v>83</v>
      </c>
      <c r="D11" s="86"/>
    </row>
    <row r="12" spans="1:4" x14ac:dyDescent="0.3">
      <c r="B12" s="7" t="s">
        <v>18</v>
      </c>
      <c r="C12" s="93">
        <v>45528</v>
      </c>
      <c r="D12" s="93"/>
    </row>
    <row r="13" spans="1:4" x14ac:dyDescent="0.3">
      <c r="B13" s="7" t="s">
        <v>19</v>
      </c>
      <c r="C13" s="94" t="s">
        <v>107</v>
      </c>
      <c r="D13" s="86"/>
    </row>
    <row r="14" spans="1:4" x14ac:dyDescent="0.3">
      <c r="B14" s="90" t="s">
        <v>20</v>
      </c>
      <c r="C14" s="90"/>
      <c r="D14" s="90"/>
    </row>
    <row r="15" spans="1:4" x14ac:dyDescent="0.3">
      <c r="B15" s="90"/>
      <c r="C15" s="90"/>
      <c r="D15" s="90"/>
    </row>
    <row r="16" spans="1:4" x14ac:dyDescent="0.3">
      <c r="B16" s="8"/>
      <c r="C16" s="81" t="s">
        <v>21</v>
      </c>
      <c r="D16" s="82"/>
    </row>
    <row r="17" spans="2:4" x14ac:dyDescent="0.3">
      <c r="B17" s="9" t="s">
        <v>22</v>
      </c>
      <c r="C17" s="91">
        <f>'Distributor Claim Sheet'!G26</f>
        <v>1905</v>
      </c>
      <c r="D17" s="92"/>
    </row>
    <row r="18" spans="2:4" x14ac:dyDescent="0.3">
      <c r="B18" s="9" t="s">
        <v>53</v>
      </c>
      <c r="C18" s="87">
        <f>'Distributor Claim Sheet'!H26</f>
        <v>3796</v>
      </c>
      <c r="D18" s="88"/>
    </row>
    <row r="19" spans="2:4" x14ac:dyDescent="0.3">
      <c r="B19" s="9" t="s">
        <v>61</v>
      </c>
      <c r="C19" s="87">
        <f>'Distributor Claim Sheet'!I26</f>
        <v>2800</v>
      </c>
      <c r="D19" s="88"/>
    </row>
    <row r="20" spans="2:4" x14ac:dyDescent="0.3">
      <c r="B20" s="9" t="s">
        <v>62</v>
      </c>
      <c r="C20" s="87">
        <f>'Distributor Claim Sheet'!J26</f>
        <v>35908</v>
      </c>
      <c r="D20" s="88"/>
    </row>
    <row r="21" spans="2:4" x14ac:dyDescent="0.3">
      <c r="B21" s="10" t="s">
        <v>64</v>
      </c>
      <c r="C21" s="98">
        <f>SUM(C17:C20)</f>
        <v>44409</v>
      </c>
      <c r="D21" s="99"/>
    </row>
    <row r="22" spans="2:4" x14ac:dyDescent="0.3">
      <c r="B22" s="100" t="s">
        <v>23</v>
      </c>
      <c r="C22" s="100"/>
      <c r="D22" s="100"/>
    </row>
    <row r="23" spans="2:4" x14ac:dyDescent="0.3">
      <c r="B23" s="95" t="s">
        <v>60</v>
      </c>
      <c r="C23" s="95"/>
      <c r="D23" s="75">
        <f>'Scrap stock detail'!D8</f>
        <v>48</v>
      </c>
    </row>
    <row r="24" spans="2:4" s="2" customFormat="1" x14ac:dyDescent="0.3">
      <c r="B24" s="89" t="s">
        <v>29</v>
      </c>
      <c r="C24" s="89"/>
      <c r="D24" s="89"/>
    </row>
    <row r="25" spans="2:4" s="2" customFormat="1" x14ac:dyDescent="0.3">
      <c r="B25" s="89"/>
      <c r="C25" s="89"/>
      <c r="D25" s="89"/>
    </row>
    <row r="26" spans="2:4" s="2" customFormat="1" x14ac:dyDescent="0.3">
      <c r="B26" s="89"/>
      <c r="C26" s="89"/>
      <c r="D26" s="89"/>
    </row>
    <row r="27" spans="2:4" s="2" customFormat="1" x14ac:dyDescent="0.3">
      <c r="B27" s="89"/>
      <c r="C27" s="89"/>
      <c r="D27" s="89"/>
    </row>
    <row r="28" spans="2:4" x14ac:dyDescent="0.3">
      <c r="B28" s="89"/>
      <c r="C28" s="89"/>
      <c r="D28" s="89"/>
    </row>
    <row r="29" spans="2:4" s="2" customFormat="1" x14ac:dyDescent="0.3">
      <c r="B29" s="13" t="s">
        <v>73</v>
      </c>
      <c r="C29" s="13" t="s">
        <v>72</v>
      </c>
      <c r="D29" s="13" t="s">
        <v>71</v>
      </c>
    </row>
    <row r="30" spans="2:4" s="2" customFormat="1" x14ac:dyDescent="0.3">
      <c r="B30" s="14" t="str">
        <f>C3</f>
        <v>JAIN TRADERS</v>
      </c>
      <c r="C30" s="14" t="str">
        <f>C8</f>
        <v>SUNIL SHARMA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3"/>
  <sheetViews>
    <sheetView showGridLines="0" zoomScale="90" zoomScaleNormal="100" workbookViewId="0">
      <selection activeCell="R13" sqref="R13"/>
    </sheetView>
  </sheetViews>
  <sheetFormatPr defaultColWidth="16" defaultRowHeight="13.8" x14ac:dyDescent="0.3"/>
  <cols>
    <col min="1" max="1" width="16.77734375" style="27" bestFit="1" customWidth="1"/>
    <col min="2" max="2" width="10.109375" style="27" bestFit="1" customWidth="1"/>
    <col min="3" max="3" width="7.88671875" style="27" bestFit="1" customWidth="1"/>
    <col min="4" max="4" width="6.6640625" style="27" bestFit="1" customWidth="1"/>
    <col min="5" max="5" width="4.109375" style="27" bestFit="1" customWidth="1"/>
    <col min="6" max="6" width="9.88671875" style="27" bestFit="1" customWidth="1"/>
    <col min="7" max="7" width="11.5546875" style="27" bestFit="1" customWidth="1"/>
    <col min="8" max="9" width="11.88671875" style="27" bestFit="1" customWidth="1"/>
    <col min="10" max="10" width="13.109375" style="27" bestFit="1" customWidth="1"/>
    <col min="11" max="12" width="12.77734375" style="27" bestFit="1" customWidth="1"/>
    <col min="13" max="13" width="5.6640625" style="27" bestFit="1" customWidth="1"/>
    <col min="14" max="14" width="15.21875" style="27" bestFit="1" customWidth="1"/>
    <col min="15" max="15" width="11.21875" style="27" bestFit="1" customWidth="1"/>
    <col min="16" max="17" width="16.109375" style="27" bestFit="1" customWidth="1"/>
    <col min="18" max="19" width="16" style="27"/>
    <col min="20" max="20" width="1.5546875" style="27" bestFit="1" customWidth="1"/>
    <col min="21" max="16384" width="16" style="27"/>
  </cols>
  <sheetData>
    <row r="1" spans="1:17" x14ac:dyDescent="0.3">
      <c r="B1" s="101"/>
      <c r="C1" s="101"/>
      <c r="D1" s="101"/>
      <c r="E1" s="101"/>
    </row>
    <row r="2" spans="1:17" x14ac:dyDescent="0.3">
      <c r="A2" s="116" t="s">
        <v>47</v>
      </c>
      <c r="B2" s="117"/>
      <c r="C2" s="117"/>
      <c r="D2" s="117"/>
      <c r="E2" s="117"/>
      <c r="F2" s="117"/>
      <c r="G2" s="117"/>
      <c r="H2" s="117"/>
      <c r="I2" s="117"/>
      <c r="J2" s="117"/>
      <c r="K2" s="117"/>
      <c r="L2" s="117"/>
      <c r="M2" s="118"/>
    </row>
    <row r="3" spans="1:17" x14ac:dyDescent="0.3">
      <c r="A3" s="64" t="s">
        <v>67</v>
      </c>
      <c r="B3" s="103" t="str">
        <f>Declaration!C3</f>
        <v>JAIN TRADERS</v>
      </c>
      <c r="C3" s="104"/>
      <c r="D3" s="105"/>
      <c r="E3" s="112"/>
      <c r="F3" s="112"/>
      <c r="G3" s="112"/>
      <c r="H3" s="112"/>
      <c r="I3" s="112"/>
      <c r="J3" s="112"/>
      <c r="K3" s="112"/>
      <c r="L3" s="112"/>
      <c r="M3" s="113"/>
    </row>
    <row r="4" spans="1:17" x14ac:dyDescent="0.3">
      <c r="A4" s="65" t="s">
        <v>68</v>
      </c>
      <c r="B4" s="106"/>
      <c r="C4" s="107"/>
      <c r="D4" s="108"/>
      <c r="E4" s="114"/>
      <c r="F4" s="114"/>
      <c r="G4" s="114"/>
      <c r="H4" s="114"/>
      <c r="I4" s="114"/>
      <c r="J4" s="114"/>
      <c r="K4" s="114"/>
      <c r="L4" s="114"/>
      <c r="M4" s="115"/>
    </row>
    <row r="5" spans="1:17" ht="27" customHeight="1" x14ac:dyDescent="0.3">
      <c r="A5" s="65" t="s">
        <v>69</v>
      </c>
      <c r="B5" s="120" t="str">
        <f>Declaration!C4</f>
        <v>C-48 LAWRENCE ROAD TRI NAGAR DELHI</v>
      </c>
      <c r="C5" s="121"/>
      <c r="D5" s="121"/>
      <c r="E5" s="122"/>
      <c r="F5" s="28" t="s">
        <v>54</v>
      </c>
      <c r="G5" s="109" t="s">
        <v>55</v>
      </c>
      <c r="H5" s="110"/>
      <c r="I5" s="110"/>
      <c r="J5" s="110"/>
      <c r="K5" s="110"/>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86</v>
      </c>
      <c r="C7" s="39">
        <v>14</v>
      </c>
      <c r="D7" s="40">
        <v>5</v>
      </c>
      <c r="E7" s="41" t="s">
        <v>88</v>
      </c>
      <c r="F7" s="52">
        <v>8377</v>
      </c>
      <c r="G7" s="52">
        <f>80+40+20+30+40+20+20+40+20+150</f>
        <v>460</v>
      </c>
      <c r="H7" s="52">
        <f>100+60+30+70+60+30+30+50+40+200+100</f>
        <v>770</v>
      </c>
      <c r="I7" s="52"/>
      <c r="J7" s="52">
        <f>600+300+500+300+400+150+600+450+150+700+700+900+400</f>
        <v>6150</v>
      </c>
      <c r="K7" s="72">
        <f>SUM(G7:J7)</f>
        <v>7380</v>
      </c>
      <c r="L7" s="72">
        <f>K7-F7</f>
        <v>-997</v>
      </c>
      <c r="M7" s="42"/>
      <c r="N7" s="73">
        <f>K7*C7</f>
        <v>103320</v>
      </c>
      <c r="O7" s="74">
        <f>N7/1000</f>
        <v>103.32</v>
      </c>
      <c r="P7" s="43"/>
      <c r="Q7" s="43"/>
    </row>
    <row r="8" spans="1:17" x14ac:dyDescent="0.3">
      <c r="A8" s="40">
        <f>1+A7</f>
        <v>2</v>
      </c>
      <c r="B8" s="71" t="s">
        <v>86</v>
      </c>
      <c r="C8" s="39">
        <v>32.5</v>
      </c>
      <c r="D8" s="44">
        <v>10</v>
      </c>
      <c r="E8" s="41" t="s">
        <v>88</v>
      </c>
      <c r="F8" s="52">
        <v>5428</v>
      </c>
      <c r="G8" s="52">
        <f>10+20+10+5+10+40+20</f>
        <v>115</v>
      </c>
      <c r="H8" s="52">
        <f>20+40+30+40+60+60+40+20</f>
        <v>310</v>
      </c>
      <c r="I8" s="52"/>
      <c r="J8" s="52">
        <f>250+300+250+190+200+130+100+300+300+200+100+100+1000+1000</f>
        <v>4420</v>
      </c>
      <c r="K8" s="72">
        <f>SUM(G8:J8)</f>
        <v>4845</v>
      </c>
      <c r="L8" s="72">
        <f>K8-F8</f>
        <v>-583</v>
      </c>
      <c r="M8" s="42"/>
      <c r="N8" s="73">
        <f>K8*C8</f>
        <v>157462.5</v>
      </c>
      <c r="O8" s="74">
        <f>N8/1000</f>
        <v>157.46250000000001</v>
      </c>
      <c r="P8" s="43"/>
      <c r="Q8" s="43"/>
    </row>
    <row r="9" spans="1:17" x14ac:dyDescent="0.3">
      <c r="A9" s="40">
        <f t="shared" ref="A9:A25" si="0">1+A8</f>
        <v>3</v>
      </c>
      <c r="B9" s="71" t="s">
        <v>86</v>
      </c>
      <c r="C9" s="39">
        <v>75</v>
      </c>
      <c r="D9" s="44">
        <v>20</v>
      </c>
      <c r="E9" s="41" t="s">
        <v>88</v>
      </c>
      <c r="F9" s="52">
        <v>327</v>
      </c>
      <c r="G9" s="52">
        <v>10</v>
      </c>
      <c r="H9" s="52">
        <v>10</v>
      </c>
      <c r="I9" s="52"/>
      <c r="J9" s="52">
        <f>20+50+40+10+130</f>
        <v>250</v>
      </c>
      <c r="K9" s="72">
        <f t="shared" ref="K9:K14" si="1">SUM(G9:J9)</f>
        <v>270</v>
      </c>
      <c r="L9" s="72">
        <f t="shared" ref="L9:L14" si="2">K9-F9</f>
        <v>-57</v>
      </c>
      <c r="M9" s="42"/>
      <c r="N9" s="73">
        <f t="shared" ref="N9:N14" si="3">K9*C9</f>
        <v>20250</v>
      </c>
      <c r="O9" s="74">
        <f t="shared" ref="O9:O14" si="4">N9/1000</f>
        <v>20.25</v>
      </c>
      <c r="P9" s="43"/>
      <c r="Q9" s="43"/>
    </row>
    <row r="10" spans="1:17" x14ac:dyDescent="0.3">
      <c r="A10" s="40">
        <f t="shared" si="0"/>
        <v>4</v>
      </c>
      <c r="B10" s="71" t="s">
        <v>87</v>
      </c>
      <c r="C10" s="39">
        <v>20</v>
      </c>
      <c r="D10" s="44">
        <v>5</v>
      </c>
      <c r="E10" s="41" t="s">
        <v>88</v>
      </c>
      <c r="F10" s="52">
        <v>10300</v>
      </c>
      <c r="G10" s="52">
        <f>30+40+40+30+40+40+30+30+100+20+20+50</f>
        <v>470</v>
      </c>
      <c r="H10" s="52">
        <f>50+60+50+30+60+40+100+30+100+80+30+30+100</f>
        <v>760</v>
      </c>
      <c r="I10" s="52">
        <f>840+560+560+560+280</f>
        <v>2800</v>
      </c>
      <c r="J10" s="52">
        <f>560+560+560+400+200+500+400+400+560+500+650+800+100+250+200+300+80+50</f>
        <v>7070</v>
      </c>
      <c r="K10" s="72">
        <f t="shared" si="1"/>
        <v>11100</v>
      </c>
      <c r="L10" s="72">
        <f t="shared" si="2"/>
        <v>800</v>
      </c>
      <c r="M10" s="42"/>
      <c r="N10" s="73">
        <f t="shared" si="3"/>
        <v>222000</v>
      </c>
      <c r="O10" s="74">
        <f t="shared" si="4"/>
        <v>222</v>
      </c>
      <c r="P10" s="43"/>
      <c r="Q10" s="43"/>
    </row>
    <row r="11" spans="1:17" x14ac:dyDescent="0.3">
      <c r="A11" s="40">
        <f t="shared" si="0"/>
        <v>5</v>
      </c>
      <c r="B11" s="71" t="s">
        <v>87</v>
      </c>
      <c r="C11" s="39">
        <v>42</v>
      </c>
      <c r="D11" s="44">
        <v>10</v>
      </c>
      <c r="E11" s="41" t="s">
        <v>88</v>
      </c>
      <c r="F11" s="52">
        <v>2195</v>
      </c>
      <c r="G11" s="52">
        <f>10+10+15+20</f>
        <v>55</v>
      </c>
      <c r="H11" s="52">
        <f>20+20+30+10+10+19+30</f>
        <v>139</v>
      </c>
      <c r="I11" s="52"/>
      <c r="J11" s="52">
        <f>110+70+80+200+40+100+56+36+100+180+300+200+100+500+500+400</f>
        <v>2972</v>
      </c>
      <c r="K11" s="72">
        <f t="shared" si="1"/>
        <v>3166</v>
      </c>
      <c r="L11" s="72">
        <f t="shared" si="2"/>
        <v>971</v>
      </c>
      <c r="M11" s="42"/>
      <c r="N11" s="73">
        <f t="shared" si="3"/>
        <v>132972</v>
      </c>
      <c r="O11" s="74">
        <f t="shared" si="4"/>
        <v>132.97200000000001</v>
      </c>
      <c r="P11" s="43"/>
      <c r="Q11" s="43"/>
    </row>
    <row r="12" spans="1:17" x14ac:dyDescent="0.3">
      <c r="A12" s="40">
        <f t="shared" si="0"/>
        <v>6</v>
      </c>
      <c r="B12" s="71" t="s">
        <v>87</v>
      </c>
      <c r="C12" s="39">
        <v>85</v>
      </c>
      <c r="D12" s="44">
        <v>20</v>
      </c>
      <c r="E12" s="41" t="s">
        <v>88</v>
      </c>
      <c r="F12" s="52"/>
      <c r="G12" s="52"/>
      <c r="H12" s="52">
        <v>5</v>
      </c>
      <c r="I12" s="52"/>
      <c r="J12" s="52">
        <f>38+6+8+20</f>
        <v>72</v>
      </c>
      <c r="K12" s="72">
        <f t="shared" si="1"/>
        <v>77</v>
      </c>
      <c r="L12" s="72">
        <f t="shared" si="2"/>
        <v>77</v>
      </c>
      <c r="M12" s="42"/>
      <c r="N12" s="73">
        <f t="shared" si="3"/>
        <v>6545</v>
      </c>
      <c r="O12" s="74">
        <f t="shared" si="4"/>
        <v>6.5449999999999999</v>
      </c>
      <c r="P12" s="43"/>
      <c r="Q12" s="43"/>
    </row>
    <row r="13" spans="1:17" x14ac:dyDescent="0.3">
      <c r="A13" s="40">
        <f t="shared" si="0"/>
        <v>7</v>
      </c>
      <c r="B13" s="71" t="s">
        <v>100</v>
      </c>
      <c r="C13" s="39">
        <v>21</v>
      </c>
      <c r="D13" s="44">
        <v>5</v>
      </c>
      <c r="E13" s="41" t="s">
        <v>88</v>
      </c>
      <c r="F13" s="52">
        <v>1200</v>
      </c>
      <c r="G13" s="52">
        <f>20</f>
        <v>20</v>
      </c>
      <c r="H13" s="52">
        <f>40</f>
        <v>40</v>
      </c>
      <c r="I13" s="52"/>
      <c r="J13" s="52">
        <f>140+50+400+100</f>
        <v>690</v>
      </c>
      <c r="K13" s="72">
        <f t="shared" si="1"/>
        <v>750</v>
      </c>
      <c r="L13" s="72">
        <f t="shared" si="2"/>
        <v>-450</v>
      </c>
      <c r="M13" s="42"/>
      <c r="N13" s="73">
        <f t="shared" si="3"/>
        <v>15750</v>
      </c>
      <c r="O13" s="74">
        <f t="shared" si="4"/>
        <v>15.75</v>
      </c>
      <c r="P13" s="43"/>
      <c r="Q13" s="43"/>
    </row>
    <row r="14" spans="1:17" x14ac:dyDescent="0.3">
      <c r="A14" s="40">
        <f t="shared" si="0"/>
        <v>8</v>
      </c>
      <c r="B14" s="71" t="s">
        <v>94</v>
      </c>
      <c r="C14" s="39">
        <v>12</v>
      </c>
      <c r="D14" s="44">
        <v>5</v>
      </c>
      <c r="E14" s="41" t="s">
        <v>88</v>
      </c>
      <c r="F14" s="52">
        <v>5110</v>
      </c>
      <c r="G14" s="52">
        <f>50+30+20</f>
        <v>100</v>
      </c>
      <c r="H14" s="52">
        <f>20+20+30+60+20+30+50</f>
        <v>230</v>
      </c>
      <c r="I14" s="52"/>
      <c r="J14" s="52">
        <f>60+150+100+140+200+400+70+150+200+200</f>
        <v>1670</v>
      </c>
      <c r="K14" s="72">
        <f t="shared" si="1"/>
        <v>2000</v>
      </c>
      <c r="L14" s="72">
        <f t="shared" si="2"/>
        <v>-3110</v>
      </c>
      <c r="M14" s="42"/>
      <c r="N14" s="73">
        <f t="shared" si="3"/>
        <v>24000</v>
      </c>
      <c r="O14" s="74">
        <f t="shared" si="4"/>
        <v>24</v>
      </c>
      <c r="P14" s="43"/>
      <c r="Q14" s="43"/>
    </row>
    <row r="15" spans="1:17" x14ac:dyDescent="0.3">
      <c r="A15" s="40">
        <f t="shared" si="0"/>
        <v>9</v>
      </c>
      <c r="B15" s="71" t="s">
        <v>95</v>
      </c>
      <c r="C15" s="39">
        <v>18</v>
      </c>
      <c r="D15" s="44">
        <v>5</v>
      </c>
      <c r="E15" s="41" t="s">
        <v>88</v>
      </c>
      <c r="F15" s="52"/>
      <c r="G15" s="52">
        <f>30+20+20</f>
        <v>70</v>
      </c>
      <c r="H15" s="52">
        <f>50+30+40</f>
        <v>120</v>
      </c>
      <c r="I15" s="52"/>
      <c r="J15" s="52">
        <f>300+200+400+200+500+180</f>
        <v>1780</v>
      </c>
      <c r="K15" s="72">
        <f t="shared" ref="K15:K25" si="5">SUM(G15:J15)</f>
        <v>1970</v>
      </c>
      <c r="L15" s="72">
        <f t="shared" ref="L15:L25" si="6">K15-F15</f>
        <v>1970</v>
      </c>
      <c r="M15" s="42"/>
      <c r="N15" s="73">
        <f t="shared" ref="N15:N25" si="7">K15*C15</f>
        <v>35460</v>
      </c>
      <c r="O15" s="74">
        <f t="shared" ref="O15:O25" si="8">N15/1000</f>
        <v>35.46</v>
      </c>
      <c r="P15" s="43"/>
      <c r="Q15" s="43"/>
    </row>
    <row r="16" spans="1:17" x14ac:dyDescent="0.3">
      <c r="A16" s="40">
        <f t="shared" si="0"/>
        <v>10</v>
      </c>
      <c r="B16" s="71" t="s">
        <v>91</v>
      </c>
      <c r="C16" s="39">
        <v>21</v>
      </c>
      <c r="D16" s="44">
        <v>5</v>
      </c>
      <c r="E16" s="41" t="s">
        <v>88</v>
      </c>
      <c r="F16" s="52">
        <v>5419</v>
      </c>
      <c r="G16" s="52">
        <f>30+20+40+30+30</f>
        <v>150</v>
      </c>
      <c r="H16" s="52">
        <f>60+32+30+60+5+50+60+70</f>
        <v>367</v>
      </c>
      <c r="I16" s="52"/>
      <c r="J16" s="52">
        <f>600+600+400+200+400+30+400+400+600</f>
        <v>3630</v>
      </c>
      <c r="K16" s="72">
        <f t="shared" si="5"/>
        <v>4147</v>
      </c>
      <c r="L16" s="72">
        <f t="shared" si="6"/>
        <v>-1272</v>
      </c>
      <c r="M16" s="42"/>
      <c r="N16" s="73">
        <f t="shared" si="7"/>
        <v>87087</v>
      </c>
      <c r="O16" s="74">
        <f t="shared" si="8"/>
        <v>87.087000000000003</v>
      </c>
      <c r="P16" s="43"/>
      <c r="Q16" s="43"/>
    </row>
    <row r="17" spans="1:17" x14ac:dyDescent="0.3">
      <c r="A17" s="40">
        <f t="shared" si="0"/>
        <v>11</v>
      </c>
      <c r="B17" s="71" t="s">
        <v>93</v>
      </c>
      <c r="C17" s="39">
        <v>15</v>
      </c>
      <c r="D17" s="44">
        <v>5</v>
      </c>
      <c r="E17" s="41" t="s">
        <v>88</v>
      </c>
      <c r="F17" s="52">
        <v>2372</v>
      </c>
      <c r="G17" s="52">
        <f>20+40+50</f>
        <v>110</v>
      </c>
      <c r="H17" s="52">
        <f>10+20+30+50+60+50</f>
        <v>220</v>
      </c>
      <c r="I17" s="52"/>
      <c r="J17" s="52">
        <f>300+550+500+100+250+400+400</f>
        <v>2500</v>
      </c>
      <c r="K17" s="72">
        <f t="shared" si="5"/>
        <v>2830</v>
      </c>
      <c r="L17" s="72">
        <f t="shared" si="6"/>
        <v>458</v>
      </c>
      <c r="M17" s="42"/>
      <c r="N17" s="73">
        <f t="shared" si="7"/>
        <v>42450</v>
      </c>
      <c r="O17" s="74">
        <f t="shared" si="8"/>
        <v>42.45</v>
      </c>
      <c r="P17" s="43"/>
      <c r="Q17" s="43"/>
    </row>
    <row r="18" spans="1:17" x14ac:dyDescent="0.3">
      <c r="A18" s="40">
        <f t="shared" si="0"/>
        <v>12</v>
      </c>
      <c r="B18" s="71" t="s">
        <v>93</v>
      </c>
      <c r="C18" s="39">
        <v>22</v>
      </c>
      <c r="D18" s="44">
        <v>10</v>
      </c>
      <c r="E18" s="41" t="s">
        <v>88</v>
      </c>
      <c r="F18" s="52"/>
      <c r="G18" s="52">
        <f>5</f>
        <v>5</v>
      </c>
      <c r="H18" s="52"/>
      <c r="I18" s="52"/>
      <c r="J18" s="52">
        <f>50+100+500</f>
        <v>650</v>
      </c>
      <c r="K18" s="72">
        <f t="shared" si="5"/>
        <v>655</v>
      </c>
      <c r="L18" s="72">
        <f t="shared" si="6"/>
        <v>655</v>
      </c>
      <c r="M18" s="42"/>
      <c r="N18" s="73">
        <f t="shared" si="7"/>
        <v>14410</v>
      </c>
      <c r="O18" s="74">
        <f t="shared" si="8"/>
        <v>14.41</v>
      </c>
      <c r="P18" s="43"/>
      <c r="Q18" s="43"/>
    </row>
    <row r="19" spans="1:17" x14ac:dyDescent="0.3">
      <c r="A19" s="40">
        <f t="shared" si="0"/>
        <v>13</v>
      </c>
      <c r="B19" s="71" t="s">
        <v>96</v>
      </c>
      <c r="C19" s="39">
        <v>20</v>
      </c>
      <c r="D19" s="44">
        <v>5</v>
      </c>
      <c r="E19" s="41" t="s">
        <v>88</v>
      </c>
      <c r="F19" s="52"/>
      <c r="G19" s="52"/>
      <c r="H19" s="52"/>
      <c r="I19" s="52"/>
      <c r="J19" s="52">
        <v>56</v>
      </c>
      <c r="K19" s="72">
        <f t="shared" si="5"/>
        <v>56</v>
      </c>
      <c r="L19" s="72">
        <f t="shared" si="6"/>
        <v>56</v>
      </c>
      <c r="M19" s="42"/>
      <c r="N19" s="73">
        <f t="shared" si="7"/>
        <v>1120</v>
      </c>
      <c r="O19" s="74">
        <f t="shared" si="8"/>
        <v>1.1200000000000001</v>
      </c>
      <c r="P19" s="43"/>
      <c r="Q19" s="43"/>
    </row>
    <row r="20" spans="1:17" x14ac:dyDescent="0.3">
      <c r="A20" s="40">
        <f t="shared" si="0"/>
        <v>14</v>
      </c>
      <c r="B20" s="71" t="s">
        <v>97</v>
      </c>
      <c r="C20" s="39">
        <v>26</v>
      </c>
      <c r="D20" s="44">
        <v>10</v>
      </c>
      <c r="E20" s="41" t="s">
        <v>88</v>
      </c>
      <c r="F20" s="52"/>
      <c r="G20" s="52"/>
      <c r="H20" s="52">
        <f>10+20</f>
        <v>30</v>
      </c>
      <c r="I20" s="52"/>
      <c r="J20" s="52">
        <f>40+40+250</f>
        <v>330</v>
      </c>
      <c r="K20" s="72">
        <f t="shared" si="5"/>
        <v>360</v>
      </c>
      <c r="L20" s="72">
        <f t="shared" si="6"/>
        <v>360</v>
      </c>
      <c r="M20" s="42"/>
      <c r="N20" s="73">
        <f>K20*C20</f>
        <v>9360</v>
      </c>
      <c r="O20" s="74">
        <f t="shared" si="8"/>
        <v>9.36</v>
      </c>
      <c r="P20" s="43"/>
      <c r="Q20" s="43"/>
    </row>
    <row r="21" spans="1:17" x14ac:dyDescent="0.3">
      <c r="A21" s="40">
        <f t="shared" si="0"/>
        <v>15</v>
      </c>
      <c r="B21" s="71" t="s">
        <v>98</v>
      </c>
      <c r="C21" s="39">
        <v>20</v>
      </c>
      <c r="D21" s="44">
        <v>5</v>
      </c>
      <c r="E21" s="41" t="s">
        <v>88</v>
      </c>
      <c r="F21" s="52"/>
      <c r="G21" s="52">
        <f>10</f>
        <v>10</v>
      </c>
      <c r="H21" s="52">
        <f>30</f>
        <v>30</v>
      </c>
      <c r="I21" s="52"/>
      <c r="J21" s="52">
        <f>460</f>
        <v>460</v>
      </c>
      <c r="K21" s="72">
        <f>SUM(G21:J21)</f>
        <v>500</v>
      </c>
      <c r="L21" s="72">
        <f t="shared" si="6"/>
        <v>500</v>
      </c>
      <c r="M21" s="42"/>
      <c r="N21" s="73">
        <f>K21*C21</f>
        <v>10000</v>
      </c>
      <c r="O21" s="74">
        <f t="shared" si="8"/>
        <v>10</v>
      </c>
      <c r="P21" s="43"/>
      <c r="Q21" s="43"/>
    </row>
    <row r="22" spans="1:17" x14ac:dyDescent="0.3">
      <c r="A22" s="40">
        <f t="shared" si="0"/>
        <v>16</v>
      </c>
      <c r="B22" s="71" t="s">
        <v>99</v>
      </c>
      <c r="C22" s="39">
        <v>25</v>
      </c>
      <c r="D22" s="44">
        <v>5</v>
      </c>
      <c r="E22" s="41" t="s">
        <v>88</v>
      </c>
      <c r="F22" s="52"/>
      <c r="G22" s="52"/>
      <c r="H22" s="52"/>
      <c r="I22" s="52"/>
      <c r="J22" s="52">
        <f>48+30</f>
        <v>78</v>
      </c>
      <c r="K22" s="72">
        <f t="shared" si="5"/>
        <v>78</v>
      </c>
      <c r="L22" s="72">
        <f t="shared" si="6"/>
        <v>78</v>
      </c>
      <c r="M22" s="42"/>
      <c r="N22" s="73">
        <f t="shared" si="7"/>
        <v>1950</v>
      </c>
      <c r="O22" s="74">
        <f t="shared" si="8"/>
        <v>1.95</v>
      </c>
      <c r="P22" s="43"/>
      <c r="Q22" s="43"/>
    </row>
    <row r="23" spans="1:17" x14ac:dyDescent="0.3">
      <c r="A23" s="40">
        <f t="shared" si="0"/>
        <v>17</v>
      </c>
      <c r="B23" s="71" t="s">
        <v>101</v>
      </c>
      <c r="C23" s="39">
        <v>75</v>
      </c>
      <c r="D23" s="44">
        <v>10</v>
      </c>
      <c r="E23" s="41" t="s">
        <v>88</v>
      </c>
      <c r="F23" s="52">
        <v>920</v>
      </c>
      <c r="G23" s="52"/>
      <c r="H23" s="52"/>
      <c r="I23" s="52"/>
      <c r="J23" s="52"/>
      <c r="K23" s="72">
        <f t="shared" si="5"/>
        <v>0</v>
      </c>
      <c r="L23" s="72">
        <f t="shared" si="6"/>
        <v>-920</v>
      </c>
      <c r="M23" s="42"/>
      <c r="N23" s="73">
        <f t="shared" si="7"/>
        <v>0</v>
      </c>
      <c r="O23" s="74">
        <f t="shared" si="8"/>
        <v>0</v>
      </c>
      <c r="P23" s="43"/>
      <c r="Q23" s="43"/>
    </row>
    <row r="24" spans="1:17" x14ac:dyDescent="0.3">
      <c r="A24" s="40">
        <f t="shared" si="0"/>
        <v>18</v>
      </c>
      <c r="B24" s="71" t="s">
        <v>92</v>
      </c>
      <c r="C24" s="39">
        <v>18</v>
      </c>
      <c r="D24" s="44">
        <v>5</v>
      </c>
      <c r="E24" s="41" t="s">
        <v>88</v>
      </c>
      <c r="F24" s="52">
        <v>3564</v>
      </c>
      <c r="G24" s="52">
        <f>10+40+100</f>
        <v>150</v>
      </c>
      <c r="H24" s="52">
        <f>200+15+40+60+100</f>
        <v>415</v>
      </c>
      <c r="I24" s="52"/>
      <c r="J24" s="52">
        <f>400+150+460+350+350</f>
        <v>1710</v>
      </c>
      <c r="K24" s="72">
        <f t="shared" si="5"/>
        <v>2275</v>
      </c>
      <c r="L24" s="72">
        <f t="shared" si="6"/>
        <v>-1289</v>
      </c>
      <c r="M24" s="42"/>
      <c r="N24" s="73">
        <f t="shared" si="7"/>
        <v>40950</v>
      </c>
      <c r="O24" s="74">
        <f t="shared" si="8"/>
        <v>40.950000000000003</v>
      </c>
      <c r="P24" s="43"/>
      <c r="Q24" s="43"/>
    </row>
    <row r="25" spans="1:17" x14ac:dyDescent="0.3">
      <c r="A25" s="40">
        <f t="shared" si="0"/>
        <v>19</v>
      </c>
      <c r="B25" s="71" t="s">
        <v>92</v>
      </c>
      <c r="C25" s="27">
        <v>36</v>
      </c>
      <c r="D25" s="44">
        <v>10</v>
      </c>
      <c r="E25" s="41" t="s">
        <v>88</v>
      </c>
      <c r="F25" s="52">
        <v>120</v>
      </c>
      <c r="G25" s="52">
        <f>10+30+50+50+40</f>
        <v>180</v>
      </c>
      <c r="H25" s="52">
        <f>20+100+100+30+100</f>
        <v>350</v>
      </c>
      <c r="I25" s="52"/>
      <c r="J25" s="52">
        <f>120+400+200+300+100+200+100</f>
        <v>1420</v>
      </c>
      <c r="K25" s="72">
        <f t="shared" si="5"/>
        <v>1950</v>
      </c>
      <c r="L25" s="72">
        <f t="shared" si="6"/>
        <v>1830</v>
      </c>
      <c r="M25" s="42"/>
      <c r="N25" s="73">
        <f t="shared" si="7"/>
        <v>70200</v>
      </c>
      <c r="O25" s="74">
        <f t="shared" si="8"/>
        <v>70.2</v>
      </c>
      <c r="P25" s="43"/>
      <c r="Q25" s="43"/>
    </row>
    <row r="26" spans="1:17" x14ac:dyDescent="0.3">
      <c r="A26" s="119" t="s">
        <v>8</v>
      </c>
      <c r="B26" s="119"/>
      <c r="C26" s="119"/>
      <c r="D26" s="119"/>
      <c r="E26" s="119"/>
      <c r="F26" s="47">
        <f t="shared" ref="F26:L26" si="9">SUM(F7:F25)</f>
        <v>45332</v>
      </c>
      <c r="G26" s="47">
        <f t="shared" si="9"/>
        <v>1905</v>
      </c>
      <c r="H26" s="47">
        <f t="shared" si="9"/>
        <v>3796</v>
      </c>
      <c r="I26" s="47">
        <f t="shared" si="9"/>
        <v>2800</v>
      </c>
      <c r="J26" s="47">
        <f t="shared" si="9"/>
        <v>35908</v>
      </c>
      <c r="K26" s="47">
        <f t="shared" si="9"/>
        <v>44409</v>
      </c>
      <c r="L26" s="47">
        <f t="shared" si="9"/>
        <v>-923</v>
      </c>
      <c r="M26" s="47"/>
      <c r="N26" s="47">
        <f>SUM(N7:N25)</f>
        <v>995286.5</v>
      </c>
      <c r="O26" s="47">
        <f>SUM(O7:O25)</f>
        <v>995.28650000000016</v>
      </c>
      <c r="Q26" s="43"/>
    </row>
    <row r="27" spans="1:17" x14ac:dyDescent="0.3">
      <c r="A27" s="50"/>
      <c r="B27" s="50"/>
      <c r="C27" s="50"/>
      <c r="D27" s="51"/>
      <c r="K27" s="43"/>
    </row>
    <row r="28" spans="1:17" x14ac:dyDescent="0.3">
      <c r="A28" s="111" t="s">
        <v>4</v>
      </c>
      <c r="B28" s="111"/>
      <c r="C28" s="111"/>
      <c r="D28" s="111"/>
      <c r="E28" s="48"/>
      <c r="F28" s="48"/>
      <c r="G28" s="48"/>
      <c r="H28" s="48"/>
      <c r="I28" s="48"/>
      <c r="J28" s="48"/>
      <c r="K28" s="48"/>
      <c r="L28" s="48"/>
    </row>
    <row r="29" spans="1:17" x14ac:dyDescent="0.3">
      <c r="A29" s="102" t="s">
        <v>6</v>
      </c>
      <c r="B29" s="102"/>
      <c r="C29" s="102"/>
      <c r="D29" s="102"/>
      <c r="E29" s="102"/>
      <c r="F29" s="102"/>
      <c r="G29" s="102"/>
      <c r="H29" s="102"/>
      <c r="I29" s="102"/>
      <c r="J29" s="102"/>
      <c r="K29" s="102"/>
      <c r="L29" s="102"/>
    </row>
    <row r="30" spans="1:17" x14ac:dyDescent="0.3">
      <c r="A30" s="102" t="s">
        <v>7</v>
      </c>
      <c r="B30" s="102"/>
      <c r="C30" s="102"/>
      <c r="D30" s="102"/>
      <c r="E30" s="102"/>
      <c r="F30" s="102"/>
      <c r="G30" s="102"/>
      <c r="H30" s="102"/>
      <c r="I30" s="102"/>
      <c r="J30" s="102"/>
      <c r="K30" s="102"/>
      <c r="L30" s="102"/>
    </row>
    <row r="31" spans="1:17" x14ac:dyDescent="0.3">
      <c r="A31" s="48"/>
      <c r="B31" s="48"/>
      <c r="C31" s="48"/>
      <c r="D31" s="48"/>
      <c r="E31" s="48"/>
      <c r="F31" s="48"/>
      <c r="G31" s="48"/>
      <c r="H31" s="48"/>
      <c r="I31" s="48"/>
      <c r="J31" s="48"/>
      <c r="K31" s="48"/>
      <c r="L31" s="48"/>
    </row>
    <row r="32" spans="1:17" x14ac:dyDescent="0.3">
      <c r="A32" s="45" t="s">
        <v>9</v>
      </c>
      <c r="B32" s="45"/>
      <c r="C32" s="45"/>
      <c r="D32" s="46" t="s">
        <v>5</v>
      </c>
      <c r="E32" s="49"/>
      <c r="F32" s="49"/>
      <c r="G32" s="49"/>
      <c r="H32" s="49"/>
      <c r="I32" s="49"/>
      <c r="J32" s="49"/>
      <c r="K32" s="49"/>
      <c r="L32" s="49"/>
    </row>
    <row r="33" spans="1:12" x14ac:dyDescent="0.3">
      <c r="A33" s="45" t="s">
        <v>85</v>
      </c>
      <c r="B33" s="80">
        <v>45528</v>
      </c>
      <c r="C33" s="46"/>
      <c r="D33" s="46" t="s">
        <v>3</v>
      </c>
      <c r="E33" s="49"/>
      <c r="F33" s="49"/>
      <c r="G33" s="49"/>
      <c r="H33" s="49"/>
      <c r="I33" s="49"/>
      <c r="J33" s="49"/>
      <c r="K33" s="49"/>
      <c r="L33" s="49"/>
    </row>
  </sheetData>
  <mergeCells count="12">
    <mergeCell ref="B1:C1"/>
    <mergeCell ref="A30:L30"/>
    <mergeCell ref="B3:D3"/>
    <mergeCell ref="B4:D4"/>
    <mergeCell ref="G5:K5"/>
    <mergeCell ref="A28:D28"/>
    <mergeCell ref="A29:L29"/>
    <mergeCell ref="D1:E1"/>
    <mergeCell ref="E3:M4"/>
    <mergeCell ref="A2:M2"/>
    <mergeCell ref="A26:E2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zoomScaleNormal="100" workbookViewId="0">
      <selection activeCell="F7" sqref="F7"/>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45525</v>
      </c>
    </row>
    <row r="2" spans="1:8" x14ac:dyDescent="0.3">
      <c r="A2" s="3" t="s">
        <v>11</v>
      </c>
      <c r="B2" s="84" t="str">
        <f>Declaration!C3</f>
        <v>JAIN TRADERS</v>
      </c>
      <c r="C2" s="84"/>
      <c r="D2" s="19"/>
      <c r="E2" s="12"/>
      <c r="F2" s="12"/>
      <c r="G2" s="7" t="s">
        <v>18</v>
      </c>
      <c r="H2" s="56">
        <f>Declaration!C12</f>
        <v>45528</v>
      </c>
    </row>
    <row r="3" spans="1:8" ht="24" x14ac:dyDescent="0.3">
      <c r="A3" s="20" t="s">
        <v>32</v>
      </c>
      <c r="B3" s="20" t="s">
        <v>40</v>
      </c>
      <c r="C3" s="20" t="s">
        <v>38</v>
      </c>
      <c r="D3" s="21" t="s">
        <v>33</v>
      </c>
      <c r="E3" s="22" t="s">
        <v>34</v>
      </c>
      <c r="F3" s="21" t="s">
        <v>35</v>
      </c>
      <c r="G3" s="22" t="s">
        <v>36</v>
      </c>
      <c r="H3" s="23" t="s">
        <v>37</v>
      </c>
    </row>
    <row r="4" spans="1:8" x14ac:dyDescent="0.25">
      <c r="A4" s="53">
        <v>1</v>
      </c>
      <c r="B4" s="68" t="s">
        <v>82</v>
      </c>
      <c r="C4" s="58">
        <v>1</v>
      </c>
      <c r="D4" s="69">
        <v>45525</v>
      </c>
      <c r="E4" s="70" t="s">
        <v>83</v>
      </c>
      <c r="F4" s="70" t="s">
        <v>84</v>
      </c>
      <c r="G4" s="79" t="s">
        <v>102</v>
      </c>
      <c r="H4" s="54"/>
    </row>
    <row r="5" spans="1:8" x14ac:dyDescent="0.25">
      <c r="A5" s="53">
        <f>1+A4</f>
        <v>2</v>
      </c>
      <c r="B5" s="68" t="s">
        <v>82</v>
      </c>
      <c r="C5" s="58">
        <v>1</v>
      </c>
      <c r="D5" s="69">
        <v>45526</v>
      </c>
      <c r="E5" s="70" t="s">
        <v>83</v>
      </c>
      <c r="F5" s="70" t="s">
        <v>84</v>
      </c>
      <c r="G5" s="79" t="s">
        <v>102</v>
      </c>
      <c r="H5" s="54"/>
    </row>
    <row r="6" spans="1:8" x14ac:dyDescent="0.25">
      <c r="A6" s="53">
        <f>1+A5</f>
        <v>3</v>
      </c>
      <c r="B6" s="68" t="s">
        <v>106</v>
      </c>
      <c r="C6" s="58">
        <v>2</v>
      </c>
      <c r="D6" s="69">
        <v>45527</v>
      </c>
      <c r="E6" s="70" t="s">
        <v>83</v>
      </c>
      <c r="F6" s="70" t="s">
        <v>84</v>
      </c>
      <c r="G6" s="79" t="s">
        <v>102</v>
      </c>
      <c r="H6" s="54"/>
    </row>
    <row r="7" spans="1:8" x14ac:dyDescent="0.25">
      <c r="A7" s="53">
        <f>1+A6</f>
        <v>4</v>
      </c>
      <c r="B7" s="68" t="s">
        <v>82</v>
      </c>
      <c r="C7" s="58">
        <v>1</v>
      </c>
      <c r="D7" s="69">
        <v>45528</v>
      </c>
      <c r="E7" s="70" t="s">
        <v>83</v>
      </c>
      <c r="F7" s="70" t="s">
        <v>107</v>
      </c>
      <c r="G7" s="79" t="s">
        <v>102</v>
      </c>
      <c r="H7" s="54"/>
    </row>
    <row r="8" spans="1:8" x14ac:dyDescent="0.3">
      <c r="B8" s="57" t="s">
        <v>66</v>
      </c>
      <c r="C8" s="59">
        <f>SUM(C4:C7)</f>
        <v>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tabSelected="1" zoomScale="96" zoomScaleNormal="96" workbookViewId="0">
      <selection activeCell="Q11" sqref="Q11"/>
    </sheetView>
  </sheetViews>
  <sheetFormatPr defaultColWidth="10" defaultRowHeight="14.4" x14ac:dyDescent="0.3"/>
  <cols>
    <col min="1" max="1" width="5.88671875" bestFit="1" customWidth="1"/>
    <col min="2" max="2" width="48.109375" customWidth="1"/>
    <col min="3" max="3" width="13.77734375" customWidth="1"/>
    <col min="4" max="4" width="12.44140625" customWidth="1"/>
    <col min="5" max="5" width="12.77734375" customWidth="1"/>
    <col min="6" max="6" width="12.5546875" customWidth="1"/>
    <col min="7" max="7" width="1.33203125" customWidth="1"/>
    <col min="8" max="8" width="10.44140625" bestFit="1" customWidth="1"/>
    <col min="9" max="9" width="7.5546875" customWidth="1"/>
  </cols>
  <sheetData>
    <row r="2" spans="1:10" x14ac:dyDescent="0.3">
      <c r="B2" s="66">
        <f>Declaration!C10</f>
        <v>45525</v>
      </c>
      <c r="C2" s="61" t="str">
        <f>Declaration!C3</f>
        <v>JAIN TRADERS</v>
      </c>
    </row>
    <row r="3" spans="1:10" ht="28.8" x14ac:dyDescent="0.3">
      <c r="A3" s="62" t="s">
        <v>39</v>
      </c>
      <c r="B3" s="67" t="s">
        <v>70</v>
      </c>
      <c r="C3" s="63" t="s">
        <v>50</v>
      </c>
      <c r="D3" s="62" t="s">
        <v>41</v>
      </c>
      <c r="E3" s="76" t="s">
        <v>74</v>
      </c>
      <c r="F3" s="76" t="s">
        <v>75</v>
      </c>
      <c r="G3" s="76" t="s">
        <v>76</v>
      </c>
      <c r="H3" s="76" t="s">
        <v>77</v>
      </c>
      <c r="I3" s="62" t="s">
        <v>78</v>
      </c>
    </row>
    <row r="4" spans="1:10" x14ac:dyDescent="0.3">
      <c r="A4" s="25">
        <v>1</v>
      </c>
      <c r="B4" s="25" t="s">
        <v>79</v>
      </c>
      <c r="C4" s="26">
        <f>20.37+20.9+21.21+18.1+16.2+23.79+19.77+18.99+35.6+20.34+19.9</f>
        <v>235.17000000000002</v>
      </c>
      <c r="D4" s="25">
        <v>11</v>
      </c>
      <c r="E4" s="77">
        <v>20</v>
      </c>
      <c r="F4" s="77">
        <f>C4*E4</f>
        <v>4703.4000000000005</v>
      </c>
      <c r="G4" s="77">
        <v>0</v>
      </c>
      <c r="H4" s="78">
        <f>F4-G4</f>
        <v>4703.4000000000005</v>
      </c>
      <c r="I4" s="25"/>
    </row>
    <row r="5" spans="1:10" x14ac:dyDescent="0.3">
      <c r="A5" s="25">
        <f>A4+1</f>
        <v>2</v>
      </c>
      <c r="B5" s="25" t="s">
        <v>80</v>
      </c>
      <c r="C5" s="26">
        <f>18.98+18.27+19.88+13.7+20.27+19.34+20.1+21.56+17.57+18.54+19.72+19.86+20.27+20.77+18.76+20.99+21.23</f>
        <v>329.81</v>
      </c>
      <c r="D5" s="25">
        <v>17</v>
      </c>
      <c r="E5" s="77">
        <v>20</v>
      </c>
      <c r="F5" s="77">
        <f>C5*E5</f>
        <v>6596.2</v>
      </c>
      <c r="G5" s="77">
        <v>0</v>
      </c>
      <c r="H5" s="78">
        <f>F5-G5</f>
        <v>6596.2</v>
      </c>
      <c r="I5" s="25"/>
    </row>
    <row r="6" spans="1:10" x14ac:dyDescent="0.3">
      <c r="A6" s="25">
        <f>A5+1</f>
        <v>3</v>
      </c>
      <c r="B6" s="25" t="s">
        <v>81</v>
      </c>
      <c r="C6" s="26">
        <f>10.47+28.16+16.13+16.32+20.12</f>
        <v>91.200000000000017</v>
      </c>
      <c r="D6" s="25">
        <v>5</v>
      </c>
      <c r="E6" s="77">
        <v>20</v>
      </c>
      <c r="F6" s="77">
        <f>C6*E6</f>
        <v>1824.0000000000005</v>
      </c>
      <c r="G6" s="77">
        <v>0</v>
      </c>
      <c r="H6" s="78">
        <f>F6-G6</f>
        <v>1824.0000000000005</v>
      </c>
      <c r="I6" s="25"/>
    </row>
    <row r="7" spans="1:10" x14ac:dyDescent="0.3">
      <c r="A7" s="25">
        <f>A6+1</f>
        <v>4</v>
      </c>
      <c r="B7" s="25" t="s">
        <v>105</v>
      </c>
      <c r="C7" s="26">
        <f>24.95+23.35+19+8.71+14.38+16.65+14.13+16.51+15.95+16+14.4+14.15+16.16+16.2+8.67</f>
        <v>239.20999999999995</v>
      </c>
      <c r="D7" s="25">
        <v>15</v>
      </c>
      <c r="E7" s="77">
        <v>10</v>
      </c>
      <c r="F7" s="77">
        <f>C7*E7</f>
        <v>2392.0999999999995</v>
      </c>
      <c r="G7" s="77">
        <v>0</v>
      </c>
      <c r="H7" s="78">
        <f>F7-G7</f>
        <v>2392.0999999999995</v>
      </c>
      <c r="I7" s="25"/>
    </row>
    <row r="8" spans="1:10" x14ac:dyDescent="0.3">
      <c r="A8" s="11"/>
      <c r="B8" s="11" t="s">
        <v>42</v>
      </c>
      <c r="C8" s="60">
        <f>SUM(C4:C7)</f>
        <v>895.39</v>
      </c>
      <c r="D8" s="60">
        <f>SUM(D4:D7)</f>
        <v>48</v>
      </c>
      <c r="E8" s="60"/>
      <c r="F8" s="60">
        <f>SUM(F4:F7)</f>
        <v>15515.7</v>
      </c>
      <c r="G8" s="60">
        <f>SUM(G4:G7)</f>
        <v>0</v>
      </c>
      <c r="H8" s="60">
        <f>SUM(H4:H7)</f>
        <v>15515.7</v>
      </c>
      <c r="I8" s="60"/>
    </row>
    <row r="10" spans="1:10" ht="39" customHeight="1" x14ac:dyDescent="0.3">
      <c r="B10" t="s">
        <v>51</v>
      </c>
      <c r="J10" s="24"/>
    </row>
    <row r="11" spans="1:10" ht="39" customHeight="1" x14ac:dyDescent="0.3"/>
    <row r="12" spans="1:10" ht="39" customHeight="1" x14ac:dyDescent="0.3"/>
    <row r="13" spans="1:10" x14ac:dyDescent="0.3">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2024-08-24T14:25:31Z</cp:lastPrinted>
  <dcterms:created xsi:type="dcterms:W3CDTF">2018-09-14T16:50:16Z</dcterms:created>
  <dcterms:modified xsi:type="dcterms:W3CDTF">2024-08-26T05:53:14Z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