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1.xml" ContentType="application/vnd.ms-excel.person+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defaultThemeVersion="124226"/>
  <mc:AlternateContent xmlns:mc="http://schemas.openxmlformats.org/markup-compatibility/2006">
    <mc:Choice Requires="x15">
      <x15ac:absPath xmlns:x15ac="http://schemas.microsoft.com/office/spreadsheetml/2010/11/ac" url="https://d.docs.live.net/42bfa40781cf34df/Desktop/"/>
    </mc:Choice>
  </mc:AlternateContent>
  <xr:revisionPtr revIDLastSave="81" documentId="11_89E67F53540A040F3B880242980F626D3B7962AF" xr6:coauthVersionLast="47" xr6:coauthVersionMax="47" xr10:uidLastSave="{B081C278-B6CB-4DE5-85B2-56A18AD02AF3}"/>
  <bookViews>
    <workbookView xWindow="-108" yWindow="-108" windowWidth="23256" windowHeight="13176" activeTab="3" xr2:uid="{00000000-000D-0000-FFFF-FFFF00000000}"/>
  </bookViews>
  <sheets>
    <sheet name="Declaration" sheetId="1" r:id="rId1"/>
    <sheet name="Distributor Claim Sheet" sheetId="2" r:id="rId2"/>
    <sheet name="Mandays" sheetId="3" r:id="rId3"/>
    <sheet name="Scrap stock detail" sheetId="4" r:id="rId4"/>
  </sheets>
  <definedNames>
    <definedName name="_xlnm._FilterDatabase" localSheetId="0" hidden="1">Declaration!$B$2:$E$29</definedName>
    <definedName name="_xlnm._FilterDatabase" localSheetId="1" hidden="1">'Distributor Claim Sheet'!$A$2:$O$24</definedName>
    <definedName name="_xlnm._FilterDatabase" localSheetId="3" hidden="1">'Scrap stock detail'!$A$3:$I$8</definedName>
    <definedName name="BS">#REF!</definedName>
    <definedName name="da">#REF!</definedName>
    <definedName name="DB_DSM" localSheetId="1">#REF!</definedName>
    <definedName name="DB_DSM">#REF!</definedName>
    <definedName name="DB_DSM1" localSheetId="1">#REF!</definedName>
    <definedName name="DB_DSM1">#REF!</definedName>
    <definedName name="dfdg">#REF!</definedName>
    <definedName name="dsds">#REF!</definedName>
    <definedName name="dsgdg">#REF!</definedName>
    <definedName name="Harsh" localSheetId="1">#REF!</definedName>
    <definedName name="Harsh">#REF!</definedName>
    <definedName name="hs" localSheetId="1">#REF!</definedName>
    <definedName name="hs">#REF!</definedName>
    <definedName name="Kashik" localSheetId="1">#REF!</definedName>
    <definedName name="Kashik">#REF!</definedName>
    <definedName name="_xlnm.Print_Area" localSheetId="0">Declaration!$A$1:$D$34</definedName>
    <definedName name="_xlnm.Print_Area" localSheetId="1">'Distributor Claim Sheet'!$A$1:$P$31</definedName>
    <definedName name="Rahul" localSheetId="1">#REF!</definedName>
    <definedName name="Rahul">#REF!</definedName>
    <definedName name="slnwkfmmfwe\" localSheetId="1">#REF!</definedName>
    <definedName name="slnwkfmmfwe\">#REF!</definedName>
    <definedName name="unnamed" localSheetId="1">#REF!</definedName>
    <definedName name="unnamed">#REF!</definedName>
    <definedName name="unnamed_0" localSheetId="1">#REF!</definedName>
    <definedName name="unnamed_0">#REF!</definedName>
    <definedName name="unnamed_1" localSheetId="1">#REF!</definedName>
    <definedName name="unnamed_1">#REF!</definedName>
    <definedName name="unnamed_2" localSheetId="1">#REF!</definedName>
    <definedName name="unnamed_2">#REF!</definedName>
    <definedName name="unnamed_3" localSheetId="1">#REF!</definedName>
    <definedName name="unnamed_3">#REF!</definedName>
    <definedName name="unnamed_4" localSheetId="1">#REF!</definedName>
    <definedName name="unnamed_4">#REF!</definedName>
    <definedName name="unnamed_5" localSheetId="1">#REF!</definedName>
    <definedName name="unnamed_5">#REF!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 i="2" l="1"/>
  <c r="H7" i="2"/>
  <c r="H8" i="2"/>
  <c r="G11" i="2"/>
  <c r="H11" i="2"/>
  <c r="H12" i="2"/>
  <c r="H13" i="2"/>
  <c r="G14" i="2"/>
  <c r="H14" i="2"/>
  <c r="H16" i="2"/>
  <c r="G18" i="2"/>
  <c r="H20" i="2"/>
  <c r="J13" i="2"/>
  <c r="J18" i="2"/>
  <c r="J14" i="2"/>
  <c r="J20" i="2"/>
  <c r="J16" i="2"/>
  <c r="J12" i="2"/>
  <c r="I24" i="2"/>
  <c r="J11" i="2"/>
  <c r="J9" i="2"/>
  <c r="J8" i="2"/>
  <c r="J7" i="2"/>
  <c r="C7" i="4"/>
  <c r="C5" i="4"/>
  <c r="C4" i="4"/>
  <c r="M24" i="2"/>
  <c r="F19" i="2"/>
  <c r="K19" i="2"/>
  <c r="N19" i="2" s="1"/>
  <c r="O19" i="2" s="1"/>
  <c r="F15" i="2"/>
  <c r="F18" i="2"/>
  <c r="F20" i="2"/>
  <c r="F14" i="2"/>
  <c r="F16" i="2"/>
  <c r="F12" i="2"/>
  <c r="F11" i="2"/>
  <c r="F9" i="2"/>
  <c r="F8" i="2"/>
  <c r="F7" i="2"/>
  <c r="G24" i="2" l="1"/>
  <c r="K20" i="2"/>
  <c r="N20" i="2" s="1"/>
  <c r="O20" i="2" s="1"/>
  <c r="H24" i="2"/>
  <c r="J24" i="2"/>
  <c r="L19" i="2"/>
  <c r="F5" i="4"/>
  <c r="H5" i="4" s="1"/>
  <c r="F6" i="4"/>
  <c r="H6" i="4" s="1"/>
  <c r="F7" i="4"/>
  <c r="H7" i="4" s="1"/>
  <c r="G8" i="4"/>
  <c r="C8" i="4"/>
  <c r="D8" i="4"/>
  <c r="L20" i="2" l="1"/>
  <c r="F4" i="4"/>
  <c r="F8" i="4" s="1"/>
  <c r="H4" i="4" l="1"/>
  <c r="H8" i="4" s="1"/>
  <c r="B30" i="1"/>
  <c r="C2" i="4" l="1"/>
  <c r="D23" i="1"/>
  <c r="B31" i="2"/>
  <c r="F24" i="2"/>
  <c r="K22" i="2"/>
  <c r="L22" i="2" s="1"/>
  <c r="K23" i="2"/>
  <c r="L23" i="2" s="1"/>
  <c r="N23" i="2" l="1"/>
  <c r="O23" i="2" s="1"/>
  <c r="N22" i="2"/>
  <c r="O22" i="2" s="1"/>
  <c r="H1" i="3" l="1"/>
  <c r="H2" i="3"/>
  <c r="B2" i="3"/>
  <c r="B2" i="4"/>
  <c r="C5" i="3"/>
  <c r="C30" i="1"/>
  <c r="D30" i="1"/>
  <c r="K12" i="2"/>
  <c r="N12" i="2" s="1"/>
  <c r="O12" i="2" s="1"/>
  <c r="K9" i="2"/>
  <c r="N9" i="2" s="1"/>
  <c r="O9" i="2" s="1"/>
  <c r="B5" i="2"/>
  <c r="B3" i="2"/>
  <c r="K21" i="2"/>
  <c r="N21" i="2" s="1"/>
  <c r="O21" i="2" s="1"/>
  <c r="K18" i="2"/>
  <c r="N18" i="2" s="1"/>
  <c r="O18" i="2" s="1"/>
  <c r="K17" i="2"/>
  <c r="N17" i="2" s="1"/>
  <c r="O17" i="2" s="1"/>
  <c r="K16" i="2"/>
  <c r="N16" i="2" s="1"/>
  <c r="O16" i="2" s="1"/>
  <c r="K15" i="2"/>
  <c r="N15" i="2" s="1"/>
  <c r="O15" i="2" s="1"/>
  <c r="K14" i="2"/>
  <c r="N14" i="2" s="1"/>
  <c r="O14" i="2" s="1"/>
  <c r="K13" i="2"/>
  <c r="N13" i="2" s="1"/>
  <c r="O13" i="2" s="1"/>
  <c r="K11" i="2"/>
  <c r="N11" i="2" s="1"/>
  <c r="O11" i="2" s="1"/>
  <c r="K10" i="2"/>
  <c r="N10" i="2" s="1"/>
  <c r="O10" i="2" s="1"/>
  <c r="K8" i="2"/>
  <c r="C19" i="1"/>
  <c r="C17" i="1"/>
  <c r="N8" i="2" l="1"/>
  <c r="L8" i="2"/>
  <c r="L9" i="2"/>
  <c r="L10" i="2"/>
  <c r="L11" i="2"/>
  <c r="L12" i="2"/>
  <c r="L13" i="2"/>
  <c r="L14" i="2"/>
  <c r="L15" i="2"/>
  <c r="L16" i="2"/>
  <c r="L17" i="2"/>
  <c r="L18" i="2"/>
  <c r="L21" i="2"/>
  <c r="A5" i="4"/>
  <c r="A6" i="4" s="1"/>
  <c r="A7" i="4" s="1"/>
  <c r="A8" i="2"/>
  <c r="A9" i="2" s="1"/>
  <c r="A10" i="2" s="1"/>
  <c r="A11" i="2" s="1"/>
  <c r="A12" i="2" s="1"/>
  <c r="A13" i="2" s="1"/>
  <c r="A14" i="2" s="1"/>
  <c r="A15" i="2" s="1"/>
  <c r="A16" i="2" s="1"/>
  <c r="A17" i="2" s="1"/>
  <c r="A18" i="2" s="1"/>
  <c r="A19" i="2" s="1"/>
  <c r="A20" i="2" s="1"/>
  <c r="A21" i="2" s="1"/>
  <c r="A22" i="2" s="1"/>
  <c r="A23" i="2" s="1"/>
  <c r="O8" i="2" l="1"/>
  <c r="C18" i="1"/>
  <c r="K7" i="2"/>
  <c r="C20" i="1"/>
  <c r="L7" i="2" l="1"/>
  <c r="L24" i="2" s="1"/>
  <c r="K24" i="2"/>
  <c r="C21" i="1"/>
  <c r="N7" i="2"/>
  <c r="N24" i="2" s="1"/>
  <c r="O7" i="2" l="1"/>
  <c r="O24" i="2" s="1"/>
</calcChain>
</file>

<file path=xl/sharedStrings.xml><?xml version="1.0" encoding="utf-8"?>
<sst xmlns="http://schemas.openxmlformats.org/spreadsheetml/2006/main" count="136" uniqueCount="100">
  <si>
    <t>Product Name/ description</t>
  </si>
  <si>
    <t>UOM</t>
  </si>
  <si>
    <t>MRP</t>
  </si>
  <si>
    <t>Date:</t>
  </si>
  <si>
    <t>Disclaimer:-</t>
  </si>
  <si>
    <t>SO/TM</t>
  </si>
  <si>
    <t>1. ASM will be accountable to tear &amp; loose the items from the packets.</t>
  </si>
  <si>
    <t>4.All the required documents as per Checklists are attached with claim summary.</t>
  </si>
  <si>
    <t>Total Customer Sale for mentioned Damage Period: INR</t>
  </si>
  <si>
    <t>DB/SS/SD</t>
  </si>
  <si>
    <t>SUMMARY - PHYSICAL  VERIFICATION  OF DAMAGED/EXPIRY STOCK</t>
  </si>
  <si>
    <t>Auditee Name (Distributor)</t>
  </si>
  <si>
    <t>ADDRESS</t>
  </si>
  <si>
    <t>NAME OF THE AUDITOR</t>
  </si>
  <si>
    <t>Key person Name (Auditee)</t>
  </si>
  <si>
    <t>Contact Number of Key person</t>
  </si>
  <si>
    <t>Start date</t>
  </si>
  <si>
    <t>Start time</t>
  </si>
  <si>
    <t>Completion date</t>
  </si>
  <si>
    <t>Completion time</t>
  </si>
  <si>
    <t>Summary and Confirmation as on Audit Date</t>
  </si>
  <si>
    <t>VALUE IN QUANTITY (pieces)</t>
  </si>
  <si>
    <t>DAMAGED STOCK</t>
  </si>
  <si>
    <t>CARTONS DETAIL   - STOCK PACKED AND SEALED IN AFTER VERIFICATION</t>
  </si>
  <si>
    <t xml:space="preserve">Signature </t>
  </si>
  <si>
    <t>Signature</t>
  </si>
  <si>
    <t>Seal/Stamp</t>
  </si>
  <si>
    <t>CONTACT NUMBER OF SO</t>
  </si>
  <si>
    <t>Book Qty</t>
  </si>
  <si>
    <t xml:space="preserve">This is to certify and confirm that Auditors have carried out a 100%  physical verification and packing of  all the damaged and expired stocks in the premises on the date as mentioned above and in relevant annexures.. We have produced and shown all the stocks to auditors and no stock has been left for verification and packing. All the stock verified have been packed in presence of me and auditors. The same has been reported in the respective  Stock Annexures. This is also to declare that we have produced the end claim up to till audit date. No stock is pending to claim on the date of sign-off.                                                                                                                                                                                                  We agree and confirm the report.                                                                                                         </t>
  </si>
  <si>
    <t>Pcs</t>
  </si>
  <si>
    <t>Scrapper sign</t>
  </si>
  <si>
    <t>Attendance Sheet</t>
  </si>
  <si>
    <t>Sl No.</t>
  </si>
  <si>
    <t>Date wise Entry</t>
  </si>
  <si>
    <t>In Timing</t>
  </si>
  <si>
    <t>Out Timing</t>
  </si>
  <si>
    <t xml:space="preserve">Name of DB  Incharge </t>
  </si>
  <si>
    <t xml:space="preserve">Sign off from DB Incharge </t>
  </si>
  <si>
    <t xml:space="preserve">Manday's </t>
  </si>
  <si>
    <t xml:space="preserve">S.no. </t>
  </si>
  <si>
    <t xml:space="preserve">Name Of Auditor </t>
  </si>
  <si>
    <t xml:space="preserve">Material Bags Qty. </t>
  </si>
  <si>
    <t xml:space="preserve">Remark </t>
  </si>
  <si>
    <t xml:space="preserve">Total  </t>
  </si>
  <si>
    <t>Weight (  GRM)</t>
  </si>
  <si>
    <t>Weight Per Pcs. (Gram)</t>
  </si>
  <si>
    <t>Total Weight Qty. (Kg)</t>
  </si>
  <si>
    <t>SO/ASM PRESENT DURING AUDIT (NAME)</t>
  </si>
  <si>
    <t>Customer Claim Sheet : For Damage /Expiry Stock</t>
  </si>
  <si>
    <t>Godown Expire</t>
  </si>
  <si>
    <t>Market Expire</t>
  </si>
  <si>
    <t>Actual weight KG</t>
  </si>
  <si>
    <t>Note:-  All  Wrapper bags  Handover to Db's for Submitted Back to Yellow Daimond</t>
  </si>
  <si>
    <t>Empty Packet/Rat Bitten</t>
  </si>
  <si>
    <t>EMPTY PACKET/RAT BITTEN STOCK</t>
  </si>
  <si>
    <t>BOOK QTY.</t>
  </si>
  <si>
    <t>PHYSICAL QTY.</t>
  </si>
  <si>
    <t>Damage Stock</t>
  </si>
  <si>
    <t>Short/Excess Qty.</t>
  </si>
  <si>
    <t>Total Physical Qty</t>
  </si>
  <si>
    <t>Expiry Date</t>
  </si>
  <si>
    <t>TOTAL NUMBER OF SEALED BAGS/CARTONS FOR SCRAPPER HANDED OVER TO DISTRIBUTOR</t>
  </si>
  <si>
    <t>GODOWN EXPIRY</t>
  </si>
  <si>
    <t>MARKET EXPIRY</t>
  </si>
  <si>
    <t>]</t>
  </si>
  <si>
    <t>S.No</t>
  </si>
  <si>
    <t>TOTAL QUANTITY</t>
  </si>
  <si>
    <t xml:space="preserve"> </t>
  </si>
  <si>
    <t>Total Staff For Audit</t>
  </si>
  <si>
    <t>Customer Name:-</t>
  </si>
  <si>
    <t>Customer Code:-</t>
  </si>
  <si>
    <t>Customer Address:-</t>
  </si>
  <si>
    <t>Product Name</t>
  </si>
  <si>
    <t>Auditor:</t>
  </si>
  <si>
    <t xml:space="preserve">SO: </t>
  </si>
  <si>
    <t xml:space="preserve">Name of Distributor: </t>
  </si>
  <si>
    <t xml:space="preserve">Chips </t>
  </si>
  <si>
    <t>Chulbule</t>
  </si>
  <si>
    <t>Namkeen</t>
  </si>
  <si>
    <t>Ring</t>
  </si>
  <si>
    <t>Avadh</t>
  </si>
  <si>
    <t>Cake</t>
  </si>
  <si>
    <t>Puff</t>
  </si>
  <si>
    <t>WHEELS</t>
  </si>
  <si>
    <t>Popcorn</t>
  </si>
  <si>
    <t>Chips</t>
  </si>
  <si>
    <t>Rate/KG</t>
  </si>
  <si>
    <t>Scrap Amount</t>
  </si>
  <si>
    <t>Pay Amount</t>
  </si>
  <si>
    <t>Balance</t>
  </si>
  <si>
    <t>JINDAL STORE HARYANA VALE</t>
  </si>
  <si>
    <t>NEEM CHOWK SANGAM VIHAR</t>
  </si>
  <si>
    <t>Stix</t>
  </si>
  <si>
    <t>RAJEEV KUMAR</t>
  </si>
  <si>
    <t>NITIN JINDAL</t>
  </si>
  <si>
    <t>10:00AM</t>
  </si>
  <si>
    <t>6:55PM</t>
  </si>
  <si>
    <t>N/A</t>
  </si>
  <si>
    <t>Ring,stix,cake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</si>
</sst>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3" formatCode="_ * #,##0.00_ ;_ * \-#,##0.00_ ;_ * &quot;-&quot;??_ ;_ @_ "/>
    <numFmt numFmtId="164" formatCode="m/d/yyyy"/>
    <numFmt numFmtId="165" formatCode="_ * #,##0_ ;_ * \-#,##0_ ;_ * &quot;-&quot;??_ ;_ @_ "/>
    <numFmt numFmtId="166" formatCode="mmm\-yy"/>
    <numFmt numFmtId="167" formatCode="_ * #,##0.0_ ;_ * \-#,##0.0_ ;_ * &quot;-&quot;??_ ;_ @_ "/>
    <numFmt numFmtId="168" formatCode="h:mm"/>
    <numFmt numFmtId="169" formatCode="[$-409]d/mmm/yy;@"/>
  </numFmts>
  <fonts count="35" x14ac:knownFonts="1">
    <font>
      <sz val="11"/>
      <name val="Calibri"/>
    </font>
    <font>
      <sz val="11"/>
      <color indexed="8"/>
      <name val="Calibri"/>
      <family val="2"/>
    </font>
    <font>
      <sz val="11"/>
      <name val="Calibri"/>
      <family val="2"/>
    </font>
    <font>
      <b/>
      <sz val="12"/>
      <color rgb="FFFFFFFF"/>
      <name val="Calibri"/>
      <family val="2"/>
    </font>
    <font>
      <b/>
      <sz val="11"/>
      <name val="Calibri"/>
      <family val="2"/>
    </font>
    <font>
      <b/>
      <sz val="10"/>
      <name val="Calibri"/>
      <family val="2"/>
    </font>
    <font>
      <b/>
      <sz val="9"/>
      <color rgb="FF000000"/>
      <name val="Arial"/>
      <family val="2"/>
    </font>
    <font>
      <b/>
      <sz val="11"/>
      <color indexed="8"/>
      <name val="Calibri"/>
      <family val="2"/>
    </font>
    <font>
      <sz val="11"/>
      <name val="Calibri"/>
      <family val="2"/>
    </font>
    <font>
      <sz val="10"/>
      <color rgb="FF000000"/>
      <name val="Arial"/>
      <family val="2"/>
    </font>
    <font>
      <b/>
      <sz val="10"/>
      <color rgb="FF000000"/>
      <name val="Arial"/>
      <family val="2"/>
    </font>
    <font>
      <sz val="8"/>
      <color rgb="FF000000"/>
      <name val="Arial"/>
      <family val="2"/>
    </font>
    <font>
      <b/>
      <sz val="8"/>
      <color rgb="FF000000"/>
      <name val="Arial"/>
      <family val="2"/>
    </font>
    <font>
      <sz val="9"/>
      <color rgb="FF000000"/>
      <name val="Calibri"/>
      <family val="2"/>
    </font>
    <font>
      <sz val="10"/>
      <name val="Arial"/>
      <family val="2"/>
    </font>
    <font>
      <b/>
      <u/>
      <sz val="11"/>
      <color rgb="FF000000"/>
      <name val="Calibri"/>
      <family val="2"/>
    </font>
    <font>
      <sz val="11"/>
      <name val="Calibri"/>
      <family val="2"/>
    </font>
    <font>
      <sz val="9"/>
      <color indexed="8"/>
      <name val="Calibri"/>
      <family val="2"/>
    </font>
    <font>
      <b/>
      <sz val="9"/>
      <color indexed="8"/>
      <name val="Calibri"/>
      <family val="2"/>
    </font>
    <font>
      <b/>
      <sz val="9"/>
      <name val="Calibri"/>
      <family val="2"/>
    </font>
    <font>
      <sz val="10"/>
      <name val="Arial"/>
      <family val="2"/>
    </font>
    <font>
      <sz val="11"/>
      <name val="Calibri"/>
      <family val="2"/>
    </font>
    <font>
      <sz val="11"/>
      <color indexed="8"/>
      <name val="Calibri"/>
      <family val="2"/>
    </font>
    <font>
      <b/>
      <sz val="11"/>
      <name val="Calibri"/>
      <family val="2"/>
    </font>
    <font>
      <sz val="11"/>
      <name val="Calibri"/>
      <family val="2"/>
    </font>
    <font>
      <sz val="10"/>
      <color rgb="FF000000"/>
      <name val="Calibri"/>
      <family val="2"/>
      <scheme val="minor"/>
    </font>
    <font>
      <b/>
      <sz val="10"/>
      <name val="Calibri"/>
      <family val="2"/>
      <scheme val="minor"/>
    </font>
    <font>
      <b/>
      <sz val="10"/>
      <color rgb="FF000000"/>
      <name val="Calibri"/>
      <family val="2"/>
      <scheme val="minor"/>
    </font>
    <font>
      <sz val="10"/>
      <name val="Calibri"/>
      <family val="2"/>
      <scheme val="minor"/>
    </font>
    <font>
      <b/>
      <u/>
      <sz val="10"/>
      <color rgb="FF000000"/>
      <name val="Calibri"/>
      <family val="2"/>
      <scheme val="minor"/>
    </font>
    <font>
      <sz val="9"/>
      <color indexed="8"/>
      <name val="Calibri"/>
      <family val="2"/>
    </font>
    <font>
      <sz val="9"/>
      <color rgb="FF000000"/>
      <name val="Calibri"/>
      <family val="2"/>
    </font>
    <font>
      <sz val="9"/>
      <name val="Calibri"/>
      <family val="2"/>
    </font>
    <font>
      <b/>
      <sz val="10"/>
      <color theme="0"/>
      <name val="Calibri"/>
      <family val="2"/>
      <scheme val="minor"/>
    </font>
    <font>
      <b/>
      <sz val="11"/>
      <color rgb="FFFF0000"/>
      <name val="Calibri"/>
      <family val="2"/>
    </font>
  </fonts>
  <fills count="16">
    <fill>
      <patternFill patternType="none"/>
    </fill>
    <fill>
      <patternFill patternType="gray125"/>
    </fill>
    <fill>
      <patternFill patternType="solid">
        <fgColor indexed="9"/>
        <bgColor indexed="64"/>
      </patternFill>
    </fill>
    <fill>
      <patternFill patternType="solid">
        <fgColor rgb="FFFFFFFF"/>
        <bgColor indexed="64"/>
      </patternFill>
    </fill>
    <fill>
      <patternFill patternType="solid">
        <fgColor rgb="FF0F253F"/>
        <bgColor indexed="64"/>
      </patternFill>
    </fill>
    <fill>
      <patternFill patternType="solid">
        <fgColor rgb="FFFFFF00"/>
        <bgColor indexed="64"/>
      </patternFill>
    </fill>
    <fill>
      <patternFill patternType="solid">
        <fgColor rgb="FFFABF8F"/>
        <bgColor indexed="64"/>
      </patternFill>
    </fill>
    <fill>
      <patternFill patternType="solid">
        <fgColor rgb="FFFFC000"/>
        <bgColor indexed="64"/>
      </patternFill>
    </fill>
    <fill>
      <patternFill patternType="solid">
        <fgColor rgb="FFBFBFBF"/>
        <bgColor indexed="64"/>
      </patternFill>
    </fill>
    <fill>
      <patternFill patternType="solid">
        <fgColor rgb="FFDDD9C3"/>
        <bgColor indexed="64"/>
      </patternFill>
    </fill>
    <fill>
      <patternFill patternType="solid">
        <fgColor rgb="FFA5A5A5"/>
        <bgColor indexed="64"/>
      </patternFill>
    </fill>
    <fill>
      <patternFill patternType="solid">
        <fgColor rgb="FFFFFFFF"/>
        <bgColor indexed="41"/>
      </patternFill>
    </fill>
    <fill>
      <patternFill patternType="solid">
        <fgColor rgb="FFF2F2F2"/>
        <bgColor indexed="19"/>
      </patternFill>
    </fill>
    <fill>
      <patternFill patternType="solid">
        <fgColor theme="9" tint="0.39997558519241921"/>
        <bgColor indexed="64"/>
      </patternFill>
    </fill>
    <fill>
      <patternFill patternType="solid">
        <fgColor theme="0" tint="-0.499984740745262"/>
        <bgColor indexed="64"/>
      </patternFill>
    </fill>
    <fill>
      <patternFill patternType="solid">
        <fgColor rgb="FFFFFF99"/>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s>
  <cellStyleXfs count="7">
    <xf numFmtId="0" fontId="0" fillId="0" borderId="0">
      <alignment vertical="center"/>
    </xf>
    <xf numFmtId="0" fontId="1" fillId="0" borderId="0">
      <protection locked="0"/>
    </xf>
    <xf numFmtId="0" fontId="20" fillId="0" borderId="0">
      <protection locked="0"/>
    </xf>
    <xf numFmtId="43" fontId="21" fillId="0" borderId="0">
      <protection locked="0"/>
    </xf>
    <xf numFmtId="0" fontId="14" fillId="0" borderId="0">
      <protection locked="0"/>
    </xf>
    <xf numFmtId="0" fontId="22" fillId="0" borderId="0">
      <protection locked="0"/>
    </xf>
    <xf numFmtId="0" fontId="14" fillId="0" borderId="0">
      <protection locked="0"/>
    </xf>
  </cellStyleXfs>
  <cellXfs count="124">
    <xf numFmtId="0" fontId="0" fillId="0" borderId="0" xfId="0">
      <alignment vertical="center"/>
    </xf>
    <xf numFmtId="0" fontId="1" fillId="2" borderId="0" xfId="1" applyFill="1" applyProtection="1"/>
    <xf numFmtId="0" fontId="2" fillId="3" borderId="0" xfId="0" applyFont="1" applyFill="1" applyAlignment="1"/>
    <xf numFmtId="0" fontId="4" fillId="2" borderId="1" xfId="0" applyFont="1" applyFill="1" applyBorder="1" applyProtection="1">
      <alignment vertical="center"/>
      <protection hidden="1"/>
    </xf>
    <xf numFmtId="0" fontId="4" fillId="2" borderId="1" xfId="0" applyFont="1" applyFill="1" applyBorder="1" applyAlignment="1" applyProtection="1">
      <alignment horizontal="left" wrapText="1"/>
      <protection hidden="1"/>
    </xf>
    <xf numFmtId="0" fontId="4" fillId="2" borderId="1" xfId="0" applyFont="1" applyFill="1" applyBorder="1" applyAlignment="1" applyProtection="1">
      <alignment horizontal="left" vertical="center" wrapText="1"/>
      <protection hidden="1"/>
    </xf>
    <xf numFmtId="0" fontId="5" fillId="2" borderId="1" xfId="0" applyFont="1" applyFill="1" applyBorder="1" applyAlignment="1" applyProtection="1">
      <protection hidden="1"/>
    </xf>
    <xf numFmtId="0" fontId="4" fillId="2" borderId="1" xfId="0" applyFont="1" applyFill="1" applyBorder="1" applyAlignment="1" applyProtection="1">
      <protection hidden="1"/>
    </xf>
    <xf numFmtId="0" fontId="7" fillId="2" borderId="1" xfId="1" applyFont="1" applyFill="1" applyBorder="1" applyAlignment="1" applyProtection="1">
      <alignment horizontal="right"/>
    </xf>
    <xf numFmtId="0" fontId="8" fillId="0" borderId="1" xfId="1" applyFont="1" applyBorder="1" applyProtection="1"/>
    <xf numFmtId="0" fontId="4" fillId="0" borderId="1" xfId="1" applyFont="1" applyBorder="1" applyProtection="1"/>
    <xf numFmtId="0" fontId="2" fillId="5" borderId="1" xfId="0" applyFont="1" applyFill="1" applyBorder="1">
      <alignment vertical="center"/>
    </xf>
    <xf numFmtId="0" fontId="2" fillId="0" borderId="0" xfId="0" applyFont="1" applyAlignment="1"/>
    <xf numFmtId="0" fontId="10" fillId="3" borderId="1" xfId="0" applyFont="1" applyFill="1" applyBorder="1" applyAlignment="1"/>
    <xf numFmtId="0" fontId="6" fillId="3" borderId="1" xfId="0" applyFont="1" applyFill="1" applyBorder="1" applyAlignment="1"/>
    <xf numFmtId="0" fontId="11" fillId="3" borderId="1" xfId="0" applyFont="1" applyFill="1" applyBorder="1" applyAlignment="1"/>
    <xf numFmtId="0" fontId="12" fillId="3" borderId="1" xfId="0" applyFont="1" applyFill="1" applyBorder="1">
      <alignment vertical="center"/>
    </xf>
    <xf numFmtId="0" fontId="15" fillId="0" borderId="0" xfId="0" applyFont="1" applyAlignment="1">
      <alignment horizontal="left"/>
    </xf>
    <xf numFmtId="0" fontId="16" fillId="0" borderId="0" xfId="0" applyFont="1" applyAlignment="1">
      <alignment wrapText="1"/>
    </xf>
    <xf numFmtId="0" fontId="16" fillId="0" borderId="0" xfId="0" applyFont="1" applyAlignment="1"/>
    <xf numFmtId="2" fontId="18" fillId="12" borderId="1" xfId="5" applyNumberFormat="1" applyFont="1" applyFill="1" applyBorder="1" applyAlignment="1" applyProtection="1">
      <alignment horizontal="center" vertical="center" wrapText="1"/>
    </xf>
    <xf numFmtId="0" fontId="18" fillId="12" borderId="1" xfId="5" applyFont="1" applyFill="1" applyBorder="1" applyAlignment="1" applyProtection="1">
      <alignment horizontal="center" vertical="center" wrapText="1"/>
    </xf>
    <xf numFmtId="0" fontId="19" fillId="12" borderId="1" xfId="5" applyFont="1" applyFill="1" applyBorder="1" applyAlignment="1" applyProtection="1">
      <alignment horizontal="center" vertical="center" wrapText="1"/>
    </xf>
    <xf numFmtId="0" fontId="8" fillId="0" borderId="0" xfId="0" applyFont="1">
      <alignment vertical="center"/>
    </xf>
    <xf numFmtId="0" fontId="2" fillId="0" borderId="1" xfId="0" applyFont="1" applyBorder="1">
      <alignment vertical="center"/>
    </xf>
    <xf numFmtId="43" fontId="2" fillId="0" borderId="1" xfId="3" applyFont="1" applyBorder="1" applyAlignment="1" applyProtection="1">
      <alignment vertical="center"/>
    </xf>
    <xf numFmtId="0" fontId="25" fillId="0" borderId="0" xfId="0" applyFont="1" applyAlignment="1">
      <alignment horizontal="center" vertical="top"/>
    </xf>
    <xf numFmtId="0" fontId="27" fillId="5" borderId="2" xfId="0" applyFont="1" applyFill="1" applyBorder="1" applyAlignment="1">
      <alignment horizontal="center" vertical="center"/>
    </xf>
    <xf numFmtId="166" fontId="25" fillId="7" borderId="1" xfId="0" applyNumberFormat="1" applyFont="1" applyFill="1" applyBorder="1" applyAlignment="1">
      <alignment vertical="top"/>
    </xf>
    <xf numFmtId="166" fontId="25" fillId="0" borderId="15" xfId="0" applyNumberFormat="1" applyFont="1" applyBorder="1" applyAlignment="1">
      <alignment vertical="top"/>
    </xf>
    <xf numFmtId="0" fontId="27" fillId="8" borderId="1" xfId="0" applyFont="1" applyFill="1" applyBorder="1" applyAlignment="1">
      <alignment horizontal="center" vertical="center" wrapText="1"/>
    </xf>
    <xf numFmtId="0" fontId="27" fillId="5" borderId="1" xfId="0" applyFont="1" applyFill="1" applyBorder="1" applyAlignment="1">
      <alignment horizontal="center" vertical="center" wrapText="1"/>
    </xf>
    <xf numFmtId="0" fontId="27" fillId="6" borderId="1" xfId="0" applyFont="1" applyFill="1" applyBorder="1" applyAlignment="1">
      <alignment horizontal="center" vertical="center" wrapText="1"/>
    </xf>
    <xf numFmtId="0" fontId="27" fillId="7" borderId="1" xfId="0" applyFont="1" applyFill="1" applyBorder="1" applyAlignment="1">
      <alignment horizontal="center" vertical="center" wrapText="1"/>
    </xf>
    <xf numFmtId="0" fontId="27" fillId="9" borderId="1" xfId="0" applyFont="1" applyFill="1" applyBorder="1" applyAlignment="1">
      <alignment horizontal="center" vertical="center" wrapText="1"/>
    </xf>
    <xf numFmtId="0" fontId="27" fillId="5" borderId="1" xfId="0" applyFont="1" applyFill="1" applyBorder="1" applyAlignment="1">
      <alignment horizontal="center" vertical="top" wrapText="1"/>
    </xf>
    <xf numFmtId="0" fontId="25" fillId="0" borderId="0" xfId="0" applyFont="1" applyAlignment="1">
      <alignment horizontal="center" vertical="top" wrapText="1"/>
    </xf>
    <xf numFmtId="0" fontId="25" fillId="0" borderId="1" xfId="0" applyFont="1" applyBorder="1" applyAlignment="1">
      <alignment horizontal="center" vertical="center"/>
    </xf>
    <xf numFmtId="0" fontId="28" fillId="0" borderId="1" xfId="4" applyFont="1" applyBorder="1" applyAlignment="1" applyProtection="1">
      <alignment horizontal="center" vertical="top"/>
    </xf>
    <xf numFmtId="0" fontId="25" fillId="0" borderId="1" xfId="0" applyFont="1" applyBorder="1" applyAlignment="1">
      <alignment horizontal="center" vertical="center" wrapText="1"/>
    </xf>
    <xf numFmtId="43" fontId="25" fillId="0" borderId="1" xfId="3" applyFont="1" applyBorder="1" applyAlignment="1" applyProtection="1">
      <alignment horizontal="center" vertical="center" wrapText="1"/>
    </xf>
    <xf numFmtId="164" fontId="25" fillId="0" borderId="1" xfId="0" applyNumberFormat="1" applyFont="1" applyBorder="1" applyAlignment="1">
      <alignment horizontal="center" vertical="center" wrapText="1"/>
    </xf>
    <xf numFmtId="43" fontId="25" fillId="0" borderId="0" xfId="0" applyNumberFormat="1" applyFont="1" applyAlignment="1">
      <alignment horizontal="center" vertical="top"/>
    </xf>
    <xf numFmtId="0" fontId="25" fillId="0" borderId="1" xfId="0" applyFont="1" applyBorder="1" applyAlignment="1">
      <alignment horizontal="center" vertical="top"/>
    </xf>
    <xf numFmtId="0" fontId="27" fillId="0" borderId="1" xfId="0" applyFont="1" applyBorder="1">
      <alignment vertical="center"/>
    </xf>
    <xf numFmtId="0" fontId="27" fillId="0" borderId="1" xfId="0" applyFont="1" applyBorder="1" applyAlignment="1">
      <alignment horizontal="center" vertical="center"/>
    </xf>
    <xf numFmtId="43" fontId="27" fillId="10" borderId="1" xfId="3" applyFont="1" applyFill="1" applyBorder="1" applyAlignment="1" applyProtection="1">
      <alignment horizontal="center" vertical="top"/>
    </xf>
    <xf numFmtId="0" fontId="27" fillId="0" borderId="0" xfId="0" applyFont="1" applyAlignment="1">
      <alignment horizontal="center" vertical="top"/>
    </xf>
    <xf numFmtId="0" fontId="27" fillId="0" borderId="0" xfId="0" applyFont="1">
      <alignment vertical="center"/>
    </xf>
    <xf numFmtId="0" fontId="25" fillId="0" borderId="16" xfId="0" applyFont="1" applyBorder="1" applyAlignment="1">
      <alignment horizontal="center" vertical="top"/>
    </xf>
    <xf numFmtId="0" fontId="25" fillId="0" borderId="17" xfId="0" applyFont="1" applyBorder="1" applyAlignment="1">
      <alignment horizontal="center" vertical="top"/>
    </xf>
    <xf numFmtId="167" fontId="28" fillId="0" borderId="1" xfId="3" applyNumberFormat="1" applyFont="1" applyBorder="1">
      <protection locked="0"/>
    </xf>
    <xf numFmtId="0" fontId="23" fillId="13" borderId="0" xfId="0" applyFont="1" applyFill="1">
      <alignment vertical="center"/>
    </xf>
    <xf numFmtId="0" fontId="30" fillId="0" borderId="1" xfId="5" applyFont="1" applyBorder="1" applyAlignment="1" applyProtection="1">
      <alignment horizontal="center" vertical="center"/>
    </xf>
    <xf numFmtId="0" fontId="23" fillId="13" borderId="0" xfId="0" applyFont="1" applyFill="1" applyAlignment="1">
      <alignment horizontal="center" vertical="center"/>
    </xf>
    <xf numFmtId="43" fontId="23" fillId="5" borderId="1" xfId="3" applyFont="1" applyFill="1" applyBorder="1" applyAlignment="1" applyProtection="1">
      <alignment vertical="center"/>
    </xf>
    <xf numFmtId="0" fontId="2" fillId="10" borderId="1" xfId="0" applyFont="1" applyFill="1" applyBorder="1">
      <alignment vertical="center"/>
    </xf>
    <xf numFmtId="0" fontId="2" fillId="10" borderId="1" xfId="0" applyFont="1" applyFill="1" applyBorder="1" applyAlignment="1">
      <alignment horizontal="center" vertical="center" wrapText="1"/>
    </xf>
    <xf numFmtId="0" fontId="33" fillId="14" borderId="7" xfId="0" applyFont="1" applyFill="1" applyBorder="1" applyAlignment="1">
      <alignment horizontal="left" vertical="top"/>
    </xf>
    <xf numFmtId="0" fontId="33" fillId="14" borderId="13" xfId="0" applyFont="1" applyFill="1" applyBorder="1" applyAlignment="1">
      <alignment horizontal="left" vertical="center"/>
    </xf>
    <xf numFmtId="0" fontId="2" fillId="10" borderId="1" xfId="0" applyFont="1" applyFill="1" applyBorder="1" applyAlignment="1">
      <alignment horizontal="center" vertical="center"/>
    </xf>
    <xf numFmtId="168" fontId="17" fillId="0" borderId="1" xfId="5" applyNumberFormat="1" applyFont="1" applyBorder="1" applyAlignment="1" applyProtection="1">
      <alignment horizontal="center" vertical="center" wrapText="1"/>
    </xf>
    <xf numFmtId="0" fontId="26" fillId="0" borderId="1" xfId="4" applyFont="1" applyBorder="1" applyAlignment="1" applyProtection="1">
      <alignment horizontal="left" vertical="top"/>
    </xf>
    <xf numFmtId="165" fontId="27" fillId="15" borderId="1" xfId="3" applyNumberFormat="1" applyFont="1" applyFill="1" applyBorder="1" applyAlignment="1" applyProtection="1">
      <alignment horizontal="center" vertical="center" wrapText="1"/>
    </xf>
    <xf numFmtId="165" fontId="27" fillId="15" borderId="1" xfId="3" applyNumberFormat="1" applyFont="1" applyFill="1" applyBorder="1" applyAlignment="1" applyProtection="1">
      <alignment horizontal="center" vertical="top"/>
    </xf>
    <xf numFmtId="43" fontId="27" fillId="15" borderId="1" xfId="3" applyFont="1" applyFill="1" applyBorder="1" applyAlignment="1" applyProtection="1">
      <alignment horizontal="center" vertical="top"/>
    </xf>
    <xf numFmtId="0" fontId="18" fillId="12" borderId="1" xfId="5" applyFont="1" applyFill="1" applyBorder="1" applyAlignment="1" applyProtection="1">
      <alignment horizontal="center" vertical="center"/>
    </xf>
    <xf numFmtId="0" fontId="18" fillId="0" borderId="1" xfId="5" applyFont="1" applyBorder="1" applyAlignment="1" applyProtection="1">
      <alignment horizontal="center" vertical="center"/>
    </xf>
    <xf numFmtId="0" fontId="17" fillId="0" borderId="1" xfId="5" applyFont="1" applyBorder="1" applyAlignment="1" applyProtection="1">
      <alignment horizontal="center" vertical="center"/>
    </xf>
    <xf numFmtId="0" fontId="32" fillId="0" borderId="1" xfId="5" applyFont="1" applyBorder="1" applyAlignment="1" applyProtection="1">
      <alignment horizontal="center" vertical="center" wrapText="1"/>
    </xf>
    <xf numFmtId="169" fontId="31" fillId="0" borderId="1" xfId="0" applyNumberFormat="1" applyFont="1" applyBorder="1" applyAlignment="1">
      <alignment horizontal="center" vertical="center"/>
    </xf>
    <xf numFmtId="15" fontId="27" fillId="0" borderId="1" xfId="0" applyNumberFormat="1" applyFont="1" applyBorder="1" applyAlignment="1">
      <alignment horizontal="center" vertical="center"/>
    </xf>
    <xf numFmtId="165" fontId="23" fillId="5" borderId="1" xfId="3" applyNumberFormat="1" applyFont="1" applyFill="1" applyBorder="1" applyAlignment="1" applyProtection="1">
      <alignment vertical="center"/>
    </xf>
    <xf numFmtId="165" fontId="23" fillId="5" borderId="1" xfId="0" applyNumberFormat="1" applyFont="1" applyFill="1" applyBorder="1" applyAlignment="1">
      <alignment horizontal="center" vertical="center"/>
    </xf>
    <xf numFmtId="15" fontId="13" fillId="0" borderId="1" xfId="0" applyNumberFormat="1" applyFont="1" applyBorder="1" applyAlignment="1"/>
    <xf numFmtId="15" fontId="17" fillId="11" borderId="1" xfId="5" applyNumberFormat="1" applyFont="1" applyFill="1" applyBorder="1" applyProtection="1"/>
    <xf numFmtId="15" fontId="4" fillId="0" borderId="18" xfId="0" applyNumberFormat="1" applyFont="1" applyBorder="1" applyAlignment="1">
      <alignment horizontal="center" vertical="center"/>
    </xf>
    <xf numFmtId="0" fontId="0" fillId="0" borderId="18" xfId="0" applyBorder="1" applyAlignment="1">
      <alignment horizontal="center" vertical="center"/>
    </xf>
    <xf numFmtId="0" fontId="0" fillId="0" borderId="0" xfId="0" applyAlignment="1">
      <alignment vertical="center" wrapText="1"/>
    </xf>
    <xf numFmtId="0" fontId="4" fillId="5" borderId="1" xfId="0" applyFont="1" applyFill="1" applyBorder="1" applyAlignment="1">
      <alignment horizontal="center" vertical="center"/>
    </xf>
    <xf numFmtId="43" fontId="2" fillId="0" borderId="1" xfId="3" applyFont="1" applyBorder="1" applyAlignment="1" applyProtection="1">
      <alignment vertical="center" wrapText="1"/>
    </xf>
    <xf numFmtId="43" fontId="34" fillId="0" borderId="1" xfId="3" applyFont="1" applyBorder="1" applyAlignment="1" applyProtection="1">
      <alignment vertical="center" wrapText="1"/>
    </xf>
    <xf numFmtId="43" fontId="4" fillId="5" borderId="1" xfId="3" applyFont="1" applyFill="1" applyBorder="1" applyAlignment="1" applyProtection="1">
      <alignment vertical="center"/>
    </xf>
    <xf numFmtId="0" fontId="17" fillId="0" borderId="1" xfId="5" applyFont="1" applyBorder="1" applyAlignment="1" applyProtection="1">
      <alignment horizontal="center" vertical="center" wrapText="1"/>
    </xf>
    <xf numFmtId="165" fontId="4" fillId="0" borderId="2" xfId="3" applyNumberFormat="1" applyFont="1" applyBorder="1" applyAlignment="1" applyProtection="1">
      <alignment horizontal="center"/>
    </xf>
    <xf numFmtId="165" fontId="4" fillId="0" borderId="3" xfId="3" applyNumberFormat="1" applyFont="1" applyBorder="1" applyAlignment="1" applyProtection="1">
      <alignment horizontal="center"/>
    </xf>
    <xf numFmtId="2" fontId="9" fillId="3" borderId="1" xfId="0" applyNumberFormat="1" applyFont="1" applyFill="1" applyBorder="1" applyAlignment="1">
      <alignment horizontal="left" vertical="center" wrapText="1"/>
    </xf>
    <xf numFmtId="0" fontId="24" fillId="2" borderId="1" xfId="0" applyFont="1" applyFill="1" applyBorder="1" applyAlignment="1" applyProtection="1">
      <alignment horizontal="center" vertical="center" wrapText="1"/>
      <protection hidden="1"/>
    </xf>
    <xf numFmtId="0" fontId="7" fillId="3" borderId="1" xfId="1" applyFont="1" applyFill="1" applyBorder="1" applyAlignment="1" applyProtection="1">
      <alignment horizontal="center" vertical="center"/>
    </xf>
    <xf numFmtId="165" fontId="4" fillId="0" borderId="2" xfId="3" applyNumberFormat="1" applyFont="1" applyBorder="1" applyProtection="1"/>
    <xf numFmtId="165" fontId="4" fillId="0" borderId="3" xfId="3" applyNumberFormat="1" applyFont="1" applyBorder="1" applyProtection="1"/>
    <xf numFmtId="15" fontId="24" fillId="2" borderId="1" xfId="0" applyNumberFormat="1" applyFont="1" applyFill="1" applyBorder="1" applyAlignment="1" applyProtection="1">
      <alignment horizontal="center" vertical="center" wrapText="1"/>
      <protection hidden="1"/>
    </xf>
    <xf numFmtId="15" fontId="2" fillId="2" borderId="1" xfId="0" applyNumberFormat="1" applyFont="1" applyFill="1" applyBorder="1" applyAlignment="1" applyProtection="1">
      <alignment horizontal="center" vertical="center" wrapText="1"/>
      <protection hidden="1"/>
    </xf>
    <xf numFmtId="0" fontId="4" fillId="0" borderId="1" xfId="1" applyFont="1" applyBorder="1" applyAlignment="1" applyProtection="1">
      <alignment horizontal="left"/>
    </xf>
    <xf numFmtId="0" fontId="2" fillId="2" borderId="1" xfId="0" applyFont="1" applyFill="1" applyBorder="1" applyAlignment="1" applyProtection="1">
      <alignment horizontal="center" vertical="center" wrapText="1"/>
      <protection hidden="1"/>
    </xf>
    <xf numFmtId="2" fontId="4" fillId="0" borderId="2" xfId="3" applyNumberFormat="1" applyFont="1" applyBorder="1" applyAlignment="1" applyProtection="1">
      <alignment horizontal="center"/>
    </xf>
    <xf numFmtId="2" fontId="4" fillId="0" borderId="3" xfId="3" applyNumberFormat="1" applyFont="1" applyBorder="1" applyAlignment="1" applyProtection="1">
      <alignment horizontal="center"/>
    </xf>
    <xf numFmtId="0" fontId="7" fillId="2" borderId="1" xfId="1" applyFont="1" applyFill="1" applyBorder="1" applyAlignment="1" applyProtection="1">
      <alignment horizontal="center"/>
    </xf>
    <xf numFmtId="0" fontId="7" fillId="2" borderId="2" xfId="1" applyFont="1" applyFill="1" applyBorder="1" applyAlignment="1" applyProtection="1">
      <alignment horizontal="center"/>
    </xf>
    <xf numFmtId="0" fontId="7" fillId="2" borderId="3" xfId="1" applyFont="1" applyFill="1" applyBorder="1" applyAlignment="1" applyProtection="1">
      <alignment horizontal="center"/>
    </xf>
    <xf numFmtId="0" fontId="3" fillId="4" borderId="1" xfId="2" applyFont="1" applyFill="1" applyBorder="1" applyAlignment="1" applyProtection="1">
      <alignment horizontal="center" vertical="center"/>
    </xf>
    <xf numFmtId="0" fontId="4" fillId="2" borderId="1" xfId="0" applyFont="1" applyFill="1" applyBorder="1" applyAlignment="1" applyProtection="1">
      <alignment horizontal="center" vertical="center" wrapText="1"/>
      <protection hidden="1"/>
    </xf>
    <xf numFmtId="0" fontId="26" fillId="2" borderId="1" xfId="0" applyFont="1" applyFill="1" applyBorder="1" applyAlignment="1" applyProtection="1">
      <alignment horizontal="center" vertical="center" wrapText="1"/>
      <protection hidden="1"/>
    </xf>
    <xf numFmtId="0" fontId="27" fillId="0" borderId="1" xfId="0" applyFont="1" applyBorder="1" applyAlignment="1">
      <alignment horizontal="left"/>
    </xf>
    <xf numFmtId="0" fontId="33" fillId="14" borderId="8" xfId="0" applyFont="1" applyFill="1" applyBorder="1" applyAlignment="1">
      <alignment horizontal="center" vertical="center"/>
    </xf>
    <xf numFmtId="0" fontId="33" fillId="14" borderId="9" xfId="0" applyFont="1" applyFill="1" applyBorder="1" applyAlignment="1">
      <alignment horizontal="center" vertical="center"/>
    </xf>
    <xf numFmtId="0" fontId="33" fillId="14" borderId="10" xfId="0" applyFont="1" applyFill="1" applyBorder="1" applyAlignment="1">
      <alignment horizontal="center" vertical="center"/>
    </xf>
    <xf numFmtId="0" fontId="33" fillId="14" borderId="2" xfId="0" applyFont="1" applyFill="1" applyBorder="1" applyAlignment="1">
      <alignment horizontal="center"/>
    </xf>
    <xf numFmtId="0" fontId="33" fillId="14" borderId="14" xfId="0" applyFont="1" applyFill="1" applyBorder="1" applyAlignment="1">
      <alignment horizontal="center"/>
    </xf>
    <xf numFmtId="0" fontId="33" fillId="14" borderId="3" xfId="0" applyFont="1" applyFill="1" applyBorder="1" applyAlignment="1">
      <alignment horizontal="center"/>
    </xf>
    <xf numFmtId="166" fontId="27" fillId="6" borderId="2" xfId="0" applyNumberFormat="1" applyFont="1" applyFill="1" applyBorder="1" applyAlignment="1">
      <alignment horizontal="center" vertical="top"/>
    </xf>
    <xf numFmtId="166" fontId="27" fillId="6" borderId="14" xfId="0" applyNumberFormat="1" applyFont="1" applyFill="1" applyBorder="1" applyAlignment="1">
      <alignment horizontal="center" vertical="top"/>
    </xf>
    <xf numFmtId="0" fontId="29" fillId="0" borderId="1" xfId="0" applyFont="1" applyBorder="1" applyAlignment="1">
      <alignment horizontal="left" vertical="top"/>
    </xf>
    <xf numFmtId="0" fontId="25" fillId="3" borderId="11" xfId="0" applyFont="1" applyFill="1" applyBorder="1" applyAlignment="1">
      <alignment horizontal="left" vertical="center"/>
    </xf>
    <xf numFmtId="0" fontId="25" fillId="3" borderId="12" xfId="0" applyFont="1" applyFill="1" applyBorder="1" applyAlignment="1">
      <alignment horizontal="left" vertical="center"/>
    </xf>
    <xf numFmtId="0" fontId="25" fillId="3" borderId="1" xfId="0" applyFont="1" applyFill="1" applyBorder="1" applyAlignment="1">
      <alignment horizontal="left" vertical="center"/>
    </xf>
    <xf numFmtId="0" fontId="25" fillId="3" borderId="15" xfId="0" applyFont="1" applyFill="1" applyBorder="1" applyAlignment="1">
      <alignment horizontal="left" vertical="center"/>
    </xf>
    <xf numFmtId="0" fontId="27" fillId="3" borderId="4" xfId="0" applyFont="1" applyFill="1" applyBorder="1" applyAlignment="1">
      <alignment horizontal="center" vertical="center"/>
    </xf>
    <xf numFmtId="0" fontId="27" fillId="3" borderId="5" xfId="0" applyFont="1" applyFill="1" applyBorder="1" applyAlignment="1">
      <alignment horizontal="center" vertical="center"/>
    </xf>
    <xf numFmtId="0" fontId="27" fillId="3" borderId="6" xfId="0" applyFont="1" applyFill="1" applyBorder="1" applyAlignment="1">
      <alignment horizontal="center" vertical="center"/>
    </xf>
    <xf numFmtId="0" fontId="27" fillId="10" borderId="1" xfId="0" applyFont="1" applyFill="1" applyBorder="1" applyAlignment="1">
      <alignment horizontal="center"/>
    </xf>
    <xf numFmtId="0" fontId="33" fillId="14" borderId="2" xfId="0" applyFont="1" applyFill="1" applyBorder="1" applyProtection="1">
      <alignment vertical="center"/>
      <protection hidden="1"/>
    </xf>
    <xf numFmtId="0" fontId="33" fillId="14" borderId="14" xfId="0" applyFont="1" applyFill="1" applyBorder="1" applyProtection="1">
      <alignment vertical="center"/>
      <protection hidden="1"/>
    </xf>
    <xf numFmtId="0" fontId="33" fillId="14" borderId="3" xfId="0" applyFont="1" applyFill="1" applyBorder="1" applyProtection="1">
      <alignment vertical="center"/>
      <protection hidden="1"/>
    </xf>
  </cellXfs>
  <cellStyles count="7">
    <cellStyle name="Comma" xfId="3" builtinId="3"/>
    <cellStyle name="Normal" xfId="0" builtinId="0"/>
    <cellStyle name="Normal 2" xfId="4" xr:uid="{00000000-0005-0000-0000-000002000000}"/>
    <cellStyle name="Normal 2 10" xfId="2" xr:uid="{00000000-0005-0000-0000-000003000000}"/>
    <cellStyle name="Normal 3" xfId="6" xr:uid="{00000000-0005-0000-0000-000004000000}"/>
    <cellStyle name="Normal_D&amp;D REPORT OF B.S.N TRADERS FOR THE MONTH OF DEC-08" xfId="5" xr:uid="{00000000-0005-0000-0000-000005000000}"/>
    <cellStyle name="Normal_MI20(1)" xfId="1" xr:uid="{00000000-0005-0000-0000-000006000000}"/>
  </cellStyles>
  <dxfs count="1">
    <dxf>
      <font>
        <color rgb="FF9C0006"/>
      </font>
      <fill>
        <patternFill>
          <bgColor rgb="FFFFC7CE"/>
        </patternFill>
      </fill>
    </dxf>
  </dxfs>
  <tableStyles count="1" defaultTableStyle="TableStyleMedium2" defaultPivotStyle="PivotStyleLight16">
    <tableStyle name="Invisible"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microsoft.com/office/2017/10/relationships/person" Target="persons/person1.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5" Type="http://www.wps.cn/officeDocument/2020/cellImage" Target="NUL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 Id="rId14" Type="http://schemas.microsoft.com/office/2017/10/relationships/person" Target="persons/person0.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34"/>
  <sheetViews>
    <sheetView topLeftCell="A24" zoomScale="94" zoomScaleNormal="100" workbookViewId="0">
      <selection activeCell="C29" sqref="C29"/>
    </sheetView>
  </sheetViews>
  <sheetFormatPr defaultColWidth="10.44140625" defaultRowHeight="14.4" x14ac:dyDescent="0.3"/>
  <cols>
    <col min="1" max="1" width="3.5546875" style="1" customWidth="1"/>
    <col min="2" max="2" width="44.5546875" style="1" customWidth="1"/>
    <col min="3" max="3" width="36.5546875" style="1" bestFit="1" customWidth="1"/>
    <col min="4" max="4" width="46" style="1" customWidth="1"/>
    <col min="5" max="16384" width="10.44140625" style="1"/>
  </cols>
  <sheetData>
    <row r="1" spans="1:4" x14ac:dyDescent="0.3">
      <c r="A1" s="1" t="s">
        <v>68</v>
      </c>
    </row>
    <row r="2" spans="1:4" s="2" customFormat="1" ht="15.6" x14ac:dyDescent="0.3">
      <c r="B2" s="100" t="s">
        <v>10</v>
      </c>
      <c r="C2" s="100"/>
      <c r="D2" s="100"/>
    </row>
    <row r="3" spans="1:4" x14ac:dyDescent="0.3">
      <c r="B3" s="3" t="s">
        <v>11</v>
      </c>
      <c r="C3" s="101" t="s">
        <v>91</v>
      </c>
      <c r="D3" s="101"/>
    </row>
    <row r="4" spans="1:4" x14ac:dyDescent="0.3">
      <c r="B4" s="4" t="s">
        <v>12</v>
      </c>
      <c r="C4" s="101" t="s">
        <v>92</v>
      </c>
      <c r="D4" s="101"/>
    </row>
    <row r="5" spans="1:4" x14ac:dyDescent="0.3">
      <c r="B5" s="5" t="s">
        <v>13</v>
      </c>
      <c r="C5" s="94" t="s">
        <v>94</v>
      </c>
      <c r="D5" s="87"/>
    </row>
    <row r="6" spans="1:4" x14ac:dyDescent="0.3">
      <c r="B6" s="6" t="s">
        <v>14</v>
      </c>
      <c r="C6" s="94" t="s">
        <v>95</v>
      </c>
      <c r="D6" s="87"/>
    </row>
    <row r="7" spans="1:4" x14ac:dyDescent="0.3">
      <c r="B7" s="6" t="s">
        <v>15</v>
      </c>
      <c r="C7" s="87">
        <v>7042552699</v>
      </c>
      <c r="D7" s="87"/>
    </row>
    <row r="8" spans="1:4" x14ac:dyDescent="0.3">
      <c r="B8" s="6" t="s">
        <v>48</v>
      </c>
      <c r="C8" s="94" t="s">
        <v>98</v>
      </c>
      <c r="D8" s="87"/>
    </row>
    <row r="9" spans="1:4" x14ac:dyDescent="0.3">
      <c r="B9" s="6" t="s">
        <v>27</v>
      </c>
      <c r="C9" s="94" t="s">
        <v>98</v>
      </c>
      <c r="D9" s="87"/>
    </row>
    <row r="10" spans="1:4" x14ac:dyDescent="0.3">
      <c r="B10" s="7" t="s">
        <v>16</v>
      </c>
      <c r="C10" s="91">
        <v>45397</v>
      </c>
      <c r="D10" s="91"/>
    </row>
    <row r="11" spans="1:4" x14ac:dyDescent="0.3">
      <c r="B11" s="7" t="s">
        <v>17</v>
      </c>
      <c r="C11" s="92" t="s">
        <v>96</v>
      </c>
      <c r="D11" s="91"/>
    </row>
    <row r="12" spans="1:4" x14ac:dyDescent="0.3">
      <c r="B12" s="7" t="s">
        <v>18</v>
      </c>
      <c r="C12" s="91">
        <v>45397</v>
      </c>
      <c r="D12" s="91"/>
    </row>
    <row r="13" spans="1:4" x14ac:dyDescent="0.3">
      <c r="B13" s="7" t="s">
        <v>19</v>
      </c>
      <c r="C13" s="92" t="s">
        <v>97</v>
      </c>
      <c r="D13" s="91"/>
    </row>
    <row r="14" spans="1:4" x14ac:dyDescent="0.3">
      <c r="B14" s="88" t="s">
        <v>20</v>
      </c>
      <c r="C14" s="88"/>
      <c r="D14" s="88"/>
    </row>
    <row r="15" spans="1:4" x14ac:dyDescent="0.3">
      <c r="B15" s="88"/>
      <c r="C15" s="88"/>
      <c r="D15" s="88"/>
    </row>
    <row r="16" spans="1:4" x14ac:dyDescent="0.3">
      <c r="B16" s="8"/>
      <c r="C16" s="98" t="s">
        <v>21</v>
      </c>
      <c r="D16" s="99"/>
    </row>
    <row r="17" spans="2:4" x14ac:dyDescent="0.3">
      <c r="B17" s="9" t="s">
        <v>22</v>
      </c>
      <c r="C17" s="89">
        <f>'Distributor Claim Sheet'!G24</f>
        <v>320</v>
      </c>
      <c r="D17" s="90"/>
    </row>
    <row r="18" spans="2:4" x14ac:dyDescent="0.3">
      <c r="B18" s="9" t="s">
        <v>55</v>
      </c>
      <c r="C18" s="84">
        <f>'Distributor Claim Sheet'!H24</f>
        <v>1054</v>
      </c>
      <c r="D18" s="85"/>
    </row>
    <row r="19" spans="2:4" x14ac:dyDescent="0.3">
      <c r="B19" s="9" t="s">
        <v>63</v>
      </c>
      <c r="C19" s="84">
        <f>'Distributor Claim Sheet'!I24</f>
        <v>0</v>
      </c>
      <c r="D19" s="85"/>
    </row>
    <row r="20" spans="2:4" x14ac:dyDescent="0.3">
      <c r="B20" s="9" t="s">
        <v>64</v>
      </c>
      <c r="C20" s="84">
        <f>'Distributor Claim Sheet'!J24</f>
        <v>13431</v>
      </c>
      <c r="D20" s="85"/>
    </row>
    <row r="21" spans="2:4" x14ac:dyDescent="0.3">
      <c r="B21" s="10" t="s">
        <v>67</v>
      </c>
      <c r="C21" s="95">
        <f>SUM(C17:C20)</f>
        <v>14805</v>
      </c>
      <c r="D21" s="96"/>
    </row>
    <row r="22" spans="2:4" x14ac:dyDescent="0.3">
      <c r="B22" s="97" t="s">
        <v>23</v>
      </c>
      <c r="C22" s="97"/>
      <c r="D22" s="97"/>
    </row>
    <row r="23" spans="2:4" x14ac:dyDescent="0.3">
      <c r="B23" s="93" t="s">
        <v>62</v>
      </c>
      <c r="C23" s="93"/>
      <c r="D23" s="73">
        <f>'Scrap stock detail'!D8</f>
        <v>16</v>
      </c>
    </row>
    <row r="24" spans="2:4" s="2" customFormat="1" x14ac:dyDescent="0.3">
      <c r="B24" s="86" t="s">
        <v>29</v>
      </c>
      <c r="C24" s="86"/>
      <c r="D24" s="86"/>
    </row>
    <row r="25" spans="2:4" s="2" customFormat="1" x14ac:dyDescent="0.3">
      <c r="B25" s="86"/>
      <c r="C25" s="86"/>
      <c r="D25" s="86"/>
    </row>
    <row r="26" spans="2:4" s="2" customFormat="1" x14ac:dyDescent="0.3">
      <c r="B26" s="86"/>
      <c r="C26" s="86"/>
      <c r="D26" s="86"/>
    </row>
    <row r="27" spans="2:4" s="2" customFormat="1" x14ac:dyDescent="0.3">
      <c r="B27" s="86"/>
      <c r="C27" s="86"/>
      <c r="D27" s="86"/>
    </row>
    <row r="28" spans="2:4" x14ac:dyDescent="0.3">
      <c r="B28" s="86"/>
      <c r="C28" s="86"/>
      <c r="D28" s="86"/>
    </row>
    <row r="29" spans="2:4" s="2" customFormat="1" x14ac:dyDescent="0.3">
      <c r="B29" s="13" t="s">
        <v>76</v>
      </c>
      <c r="C29" s="13" t="s">
        <v>75</v>
      </c>
      <c r="D29" s="13" t="s">
        <v>74</v>
      </c>
    </row>
    <row r="30" spans="2:4" s="2" customFormat="1" x14ac:dyDescent="0.3">
      <c r="B30" s="14" t="str">
        <f>C3</f>
        <v>JINDAL STORE HARYANA VALE</v>
      </c>
      <c r="C30" s="14" t="str">
        <f>C8</f>
        <v>N/A</v>
      </c>
      <c r="D30" s="14" t="str">
        <f>C5</f>
        <v>RAJEEV KUMAR</v>
      </c>
    </row>
    <row r="31" spans="2:4" s="2" customFormat="1" x14ac:dyDescent="0.3">
      <c r="B31" s="13" t="s">
        <v>24</v>
      </c>
      <c r="C31" s="13" t="s">
        <v>25</v>
      </c>
      <c r="D31" s="13" t="s">
        <v>24</v>
      </c>
    </row>
    <row r="32" spans="2:4" s="2" customFormat="1" x14ac:dyDescent="0.3">
      <c r="B32" s="13"/>
      <c r="C32" s="13"/>
      <c r="D32" s="13"/>
    </row>
    <row r="33" spans="2:4" s="2" customFormat="1" x14ac:dyDescent="0.3">
      <c r="B33" s="15"/>
      <c r="C33" s="15"/>
      <c r="D33" s="15"/>
    </row>
    <row r="34" spans="2:4" s="2" customFormat="1" x14ac:dyDescent="0.3">
      <c r="B34" s="16" t="s">
        <v>26</v>
      </c>
      <c r="C34" s="16"/>
      <c r="D34" s="16" t="s">
        <v>26</v>
      </c>
    </row>
  </sheetData>
  <mergeCells count="22">
    <mergeCell ref="C16:D16"/>
    <mergeCell ref="B2:D2"/>
    <mergeCell ref="C3:D3"/>
    <mergeCell ref="C4:D4"/>
    <mergeCell ref="C5:D5"/>
    <mergeCell ref="C6:D6"/>
    <mergeCell ref="C18:D18"/>
    <mergeCell ref="B24:D28"/>
    <mergeCell ref="C7:D7"/>
    <mergeCell ref="B14:D15"/>
    <mergeCell ref="C19:D19"/>
    <mergeCell ref="C17:D17"/>
    <mergeCell ref="C12:D12"/>
    <mergeCell ref="C11:D11"/>
    <mergeCell ref="B23:C23"/>
    <mergeCell ref="C8:D8"/>
    <mergeCell ref="C9:D9"/>
    <mergeCell ref="C21:D21"/>
    <mergeCell ref="C20:D20"/>
    <mergeCell ref="B22:D22"/>
    <mergeCell ref="C10:D10"/>
    <mergeCell ref="C13:D13"/>
  </mergeCells>
  <pageMargins left="0.24" right="0.24" top="0.63" bottom="0.74803149606299213" header="0.31496062992125984" footer="0.31496062992125984"/>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99694"/>
    <pageSetUpPr fitToPage="1"/>
  </sheetPr>
  <dimension ref="A1:T31"/>
  <sheetViews>
    <sheetView showGridLines="0" topLeftCell="A22" zoomScaleNormal="100" workbookViewId="0">
      <selection activeCell="Q10" sqref="Q10"/>
    </sheetView>
  </sheetViews>
  <sheetFormatPr defaultColWidth="16" defaultRowHeight="13.8" x14ac:dyDescent="0.3"/>
  <cols>
    <col min="1" max="1" width="16.6640625" style="26" bestFit="1" customWidth="1"/>
    <col min="2" max="2" width="9.6640625" style="26" bestFit="1" customWidth="1"/>
    <col min="3" max="3" width="7.6640625" style="26" bestFit="1" customWidth="1"/>
    <col min="4" max="4" width="6.44140625" style="26" bestFit="1" customWidth="1"/>
    <col min="5" max="5" width="4.109375" style="26" bestFit="1" customWidth="1"/>
    <col min="6" max="6" width="10" style="26" bestFit="1" customWidth="1"/>
    <col min="7" max="7" width="7.33203125" style="26" bestFit="1" customWidth="1"/>
    <col min="8" max="8" width="9.5546875" style="26" bestFit="1" customWidth="1"/>
    <col min="9" max="9" width="7.5546875" style="26" bestFit="1" customWidth="1"/>
    <col min="10" max="10" width="9.88671875" style="26" bestFit="1" customWidth="1"/>
    <col min="11" max="11" width="11.33203125" style="26" bestFit="1" customWidth="1"/>
    <col min="12" max="12" width="11" style="26" bestFit="1" customWidth="1"/>
    <col min="13" max="13" width="5.6640625" style="26" bestFit="1" customWidth="1"/>
    <col min="14" max="14" width="11.33203125" style="26" bestFit="1" customWidth="1"/>
    <col min="15" max="15" width="11" style="26" bestFit="1" customWidth="1"/>
    <col min="16" max="19" width="16" style="26"/>
    <col min="20" max="20" width="1.5546875" style="26" bestFit="1" customWidth="1"/>
    <col min="21" max="16384" width="16" style="26"/>
  </cols>
  <sheetData>
    <row r="1" spans="1:20" x14ac:dyDescent="0.3">
      <c r="B1" s="102"/>
      <c r="C1" s="102"/>
      <c r="D1" s="102"/>
      <c r="E1" s="102"/>
    </row>
    <row r="2" spans="1:20" x14ac:dyDescent="0.3">
      <c r="A2" s="117" t="s">
        <v>49</v>
      </c>
      <c r="B2" s="118"/>
      <c r="C2" s="118"/>
      <c r="D2" s="118"/>
      <c r="E2" s="118"/>
      <c r="F2" s="118"/>
      <c r="G2" s="118"/>
      <c r="H2" s="118"/>
      <c r="I2" s="118"/>
      <c r="J2" s="118"/>
      <c r="K2" s="118"/>
      <c r="L2" s="118"/>
      <c r="M2" s="119"/>
    </row>
    <row r="3" spans="1:20" x14ac:dyDescent="0.3">
      <c r="A3" s="58" t="s">
        <v>70</v>
      </c>
      <c r="B3" s="104" t="str">
        <f>Declaration!C3</f>
        <v>JINDAL STORE HARYANA VALE</v>
      </c>
      <c r="C3" s="105"/>
      <c r="D3" s="106"/>
      <c r="E3" s="113"/>
      <c r="F3" s="113"/>
      <c r="G3" s="113"/>
      <c r="H3" s="113"/>
      <c r="I3" s="113"/>
      <c r="J3" s="113"/>
      <c r="K3" s="113"/>
      <c r="L3" s="113"/>
      <c r="M3" s="114"/>
    </row>
    <row r="4" spans="1:20" x14ac:dyDescent="0.3">
      <c r="A4" s="59" t="s">
        <v>71</v>
      </c>
      <c r="B4" s="107"/>
      <c r="C4" s="108"/>
      <c r="D4" s="109"/>
      <c r="E4" s="115"/>
      <c r="F4" s="115"/>
      <c r="G4" s="115"/>
      <c r="H4" s="115"/>
      <c r="I4" s="115"/>
      <c r="J4" s="115"/>
      <c r="K4" s="115"/>
      <c r="L4" s="115"/>
      <c r="M4" s="116"/>
    </row>
    <row r="5" spans="1:20" x14ac:dyDescent="0.3">
      <c r="A5" s="59" t="s">
        <v>72</v>
      </c>
      <c r="B5" s="121" t="str">
        <f>Declaration!C4</f>
        <v>NEEM CHOWK SANGAM VIHAR</v>
      </c>
      <c r="C5" s="122"/>
      <c r="D5" s="122"/>
      <c r="E5" s="123"/>
      <c r="F5" s="27" t="s">
        <v>56</v>
      </c>
      <c r="G5" s="110" t="s">
        <v>57</v>
      </c>
      <c r="H5" s="111"/>
      <c r="I5" s="111"/>
      <c r="J5" s="111"/>
      <c r="K5" s="111"/>
      <c r="L5" s="28"/>
      <c r="M5" s="29"/>
    </row>
    <row r="6" spans="1:20" s="36" customFormat="1" ht="55.2" x14ac:dyDescent="0.3">
      <c r="A6" s="30" t="s">
        <v>66</v>
      </c>
      <c r="B6" s="30" t="s">
        <v>0</v>
      </c>
      <c r="C6" s="30" t="s">
        <v>45</v>
      </c>
      <c r="D6" s="30" t="s">
        <v>2</v>
      </c>
      <c r="E6" s="30" t="s">
        <v>1</v>
      </c>
      <c r="F6" s="31" t="s">
        <v>28</v>
      </c>
      <c r="G6" s="32" t="s">
        <v>58</v>
      </c>
      <c r="H6" s="32" t="s">
        <v>54</v>
      </c>
      <c r="I6" s="32" t="s">
        <v>50</v>
      </c>
      <c r="J6" s="32" t="s">
        <v>51</v>
      </c>
      <c r="K6" s="32" t="s">
        <v>60</v>
      </c>
      <c r="L6" s="33" t="s">
        <v>59</v>
      </c>
      <c r="M6" s="34" t="s">
        <v>61</v>
      </c>
      <c r="N6" s="35" t="s">
        <v>46</v>
      </c>
      <c r="O6" s="35" t="s">
        <v>47</v>
      </c>
    </row>
    <row r="7" spans="1:20" x14ac:dyDescent="0.3">
      <c r="A7" s="37">
        <v>1</v>
      </c>
      <c r="B7" s="62" t="s">
        <v>77</v>
      </c>
      <c r="C7" s="38">
        <v>14</v>
      </c>
      <c r="D7" s="39">
        <v>5</v>
      </c>
      <c r="E7" s="40" t="s">
        <v>30</v>
      </c>
      <c r="F7" s="51">
        <f>3122</f>
        <v>3122</v>
      </c>
      <c r="G7" s="51">
        <f>50+10</f>
        <v>60</v>
      </c>
      <c r="H7" s="51">
        <f>40+50+50+40+20</f>
        <v>200</v>
      </c>
      <c r="I7" s="51"/>
      <c r="J7" s="51">
        <f>300+250+300+60+500+500+400+100+150+200+100</f>
        <v>2860</v>
      </c>
      <c r="K7" s="63">
        <f>SUM(G7:J7)</f>
        <v>3120</v>
      </c>
      <c r="L7" s="63">
        <f>K7-F7</f>
        <v>-2</v>
      </c>
      <c r="M7" s="41"/>
      <c r="N7" s="64">
        <f>K7*C7</f>
        <v>43680</v>
      </c>
      <c r="O7" s="65">
        <f>N7/1000</f>
        <v>43.68</v>
      </c>
      <c r="P7" s="42"/>
      <c r="Q7" s="42"/>
    </row>
    <row r="8" spans="1:20" x14ac:dyDescent="0.3">
      <c r="A8" s="39">
        <f>1+A7</f>
        <v>2</v>
      </c>
      <c r="B8" s="62" t="s">
        <v>77</v>
      </c>
      <c r="C8" s="38">
        <v>32.5</v>
      </c>
      <c r="D8" s="43">
        <v>10</v>
      </c>
      <c r="E8" s="40" t="s">
        <v>30</v>
      </c>
      <c r="F8" s="51">
        <f>1471</f>
        <v>1471</v>
      </c>
      <c r="G8" s="51"/>
      <c r="H8" s="51">
        <f>60+20+30</f>
        <v>110</v>
      </c>
      <c r="I8" s="51"/>
      <c r="J8" s="51">
        <f>300+300+200+50+300+200+205</f>
        <v>1555</v>
      </c>
      <c r="K8" s="63">
        <f t="shared" ref="K8:K21" si="0">SUM(G8:J8)</f>
        <v>1665</v>
      </c>
      <c r="L8" s="63">
        <f t="shared" ref="L8:L21" si="1">K8-F8</f>
        <v>194</v>
      </c>
      <c r="M8" s="41"/>
      <c r="N8" s="64">
        <f t="shared" ref="N8:N21" si="2">K8*C8</f>
        <v>54112.5</v>
      </c>
      <c r="O8" s="65">
        <f t="shared" ref="O8:O21" si="3">N8/1000</f>
        <v>54.112499999999997</v>
      </c>
      <c r="P8" s="42"/>
      <c r="Q8" s="42"/>
    </row>
    <row r="9" spans="1:20" x14ac:dyDescent="0.3">
      <c r="A9" s="39">
        <f t="shared" ref="A9:A23" si="4">1+A8</f>
        <v>3</v>
      </c>
      <c r="B9" s="62" t="s">
        <v>77</v>
      </c>
      <c r="C9" s="38">
        <v>75</v>
      </c>
      <c r="D9" s="43">
        <v>20</v>
      </c>
      <c r="E9" s="40" t="s">
        <v>30</v>
      </c>
      <c r="F9" s="51">
        <f>380</f>
        <v>380</v>
      </c>
      <c r="G9" s="51"/>
      <c r="H9" s="51">
        <v>3</v>
      </c>
      <c r="I9" s="51"/>
      <c r="J9" s="51">
        <f>80+25</f>
        <v>105</v>
      </c>
      <c r="K9" s="63">
        <f t="shared" si="0"/>
        <v>108</v>
      </c>
      <c r="L9" s="63">
        <f t="shared" si="1"/>
        <v>-272</v>
      </c>
      <c r="M9" s="41"/>
      <c r="N9" s="64">
        <f t="shared" si="2"/>
        <v>8100</v>
      </c>
      <c r="O9" s="65">
        <f t="shared" si="3"/>
        <v>8.1</v>
      </c>
      <c r="P9" s="42"/>
      <c r="Q9" s="42"/>
    </row>
    <row r="10" spans="1:20" x14ac:dyDescent="0.3">
      <c r="A10" s="39">
        <f t="shared" si="4"/>
        <v>4</v>
      </c>
      <c r="B10" s="62" t="s">
        <v>77</v>
      </c>
      <c r="C10" s="38">
        <v>62.5</v>
      </c>
      <c r="D10" s="43">
        <v>30</v>
      </c>
      <c r="E10" s="40" t="s">
        <v>30</v>
      </c>
      <c r="F10" s="51"/>
      <c r="G10" s="51"/>
      <c r="H10" s="51"/>
      <c r="I10" s="51"/>
      <c r="J10" s="51"/>
      <c r="K10" s="63">
        <f t="shared" si="0"/>
        <v>0</v>
      </c>
      <c r="L10" s="63">
        <f t="shared" si="1"/>
        <v>0</v>
      </c>
      <c r="M10" s="41"/>
      <c r="N10" s="64">
        <f t="shared" si="2"/>
        <v>0</v>
      </c>
      <c r="O10" s="65">
        <f t="shared" si="3"/>
        <v>0</v>
      </c>
      <c r="P10" s="42"/>
      <c r="Q10" s="42"/>
    </row>
    <row r="11" spans="1:20" x14ac:dyDescent="0.3">
      <c r="A11" s="39">
        <f t="shared" si="4"/>
        <v>5</v>
      </c>
      <c r="B11" s="62" t="s">
        <v>78</v>
      </c>
      <c r="C11" s="38">
        <v>20</v>
      </c>
      <c r="D11" s="43">
        <v>5</v>
      </c>
      <c r="E11" s="40" t="s">
        <v>30</v>
      </c>
      <c r="F11" s="51">
        <f>4237</f>
        <v>4237</v>
      </c>
      <c r="G11" s="51">
        <f>50+40</f>
        <v>90</v>
      </c>
      <c r="H11" s="51">
        <f>100+40+100+40+20+6</f>
        <v>306</v>
      </c>
      <c r="I11" s="51"/>
      <c r="J11" s="51">
        <f>500+400+600+400+500+100+400+400+150+200+190</f>
        <v>3840</v>
      </c>
      <c r="K11" s="63">
        <f t="shared" si="0"/>
        <v>4236</v>
      </c>
      <c r="L11" s="63">
        <f t="shared" si="1"/>
        <v>-1</v>
      </c>
      <c r="M11" s="41"/>
      <c r="N11" s="64">
        <f t="shared" si="2"/>
        <v>84720</v>
      </c>
      <c r="O11" s="65">
        <f t="shared" si="3"/>
        <v>84.72</v>
      </c>
      <c r="P11" s="42"/>
      <c r="Q11" s="42"/>
      <c r="T11" s="26" t="s">
        <v>65</v>
      </c>
    </row>
    <row r="12" spans="1:20" x14ac:dyDescent="0.3">
      <c r="A12" s="39">
        <f t="shared" si="4"/>
        <v>6</v>
      </c>
      <c r="B12" s="62" t="s">
        <v>78</v>
      </c>
      <c r="C12" s="38">
        <v>42</v>
      </c>
      <c r="D12" s="43">
        <v>10</v>
      </c>
      <c r="E12" s="40" t="s">
        <v>30</v>
      </c>
      <c r="F12" s="51">
        <f>1357</f>
        <v>1357</v>
      </c>
      <c r="G12" s="51">
        <v>10</v>
      </c>
      <c r="H12" s="51">
        <f>50+40+50+5</f>
        <v>145</v>
      </c>
      <c r="I12" s="51"/>
      <c r="J12" s="51">
        <f>70+300+300+400+90+40</f>
        <v>1200</v>
      </c>
      <c r="K12" s="63">
        <f t="shared" si="0"/>
        <v>1355</v>
      </c>
      <c r="L12" s="63">
        <f t="shared" si="1"/>
        <v>-2</v>
      </c>
      <c r="M12" s="41"/>
      <c r="N12" s="64">
        <f t="shared" si="2"/>
        <v>56910</v>
      </c>
      <c r="O12" s="65">
        <f t="shared" si="3"/>
        <v>56.91</v>
      </c>
      <c r="P12" s="42"/>
      <c r="Q12" s="42"/>
    </row>
    <row r="13" spans="1:20" x14ac:dyDescent="0.3">
      <c r="A13" s="39">
        <f t="shared" si="4"/>
        <v>7</v>
      </c>
      <c r="B13" s="62" t="s">
        <v>78</v>
      </c>
      <c r="C13" s="38">
        <v>90</v>
      </c>
      <c r="D13" s="43">
        <v>20</v>
      </c>
      <c r="E13" s="40" t="s">
        <v>30</v>
      </c>
      <c r="F13" s="51"/>
      <c r="G13" s="51"/>
      <c r="H13" s="51">
        <f>2+30+6</f>
        <v>38</v>
      </c>
      <c r="I13" s="51"/>
      <c r="J13" s="51">
        <f>16+16+96+96+15</f>
        <v>239</v>
      </c>
      <c r="K13" s="63">
        <f t="shared" si="0"/>
        <v>277</v>
      </c>
      <c r="L13" s="63">
        <f t="shared" si="1"/>
        <v>277</v>
      </c>
      <c r="M13" s="41"/>
      <c r="N13" s="64">
        <f t="shared" si="2"/>
        <v>24930</v>
      </c>
      <c r="O13" s="65">
        <f t="shared" si="3"/>
        <v>24.93</v>
      </c>
      <c r="P13" s="42"/>
      <c r="Q13" s="42"/>
    </row>
    <row r="14" spans="1:20" x14ac:dyDescent="0.3">
      <c r="A14" s="39">
        <f t="shared" si="4"/>
        <v>8</v>
      </c>
      <c r="B14" s="62" t="s">
        <v>79</v>
      </c>
      <c r="C14" s="38">
        <v>20</v>
      </c>
      <c r="D14" s="43">
        <v>5</v>
      </c>
      <c r="E14" s="40" t="s">
        <v>30</v>
      </c>
      <c r="F14" s="51">
        <f>920</f>
        <v>920</v>
      </c>
      <c r="G14" s="51">
        <f>45+50+15</f>
        <v>110</v>
      </c>
      <c r="H14" s="51">
        <f>40+50</f>
        <v>90</v>
      </c>
      <c r="I14" s="51"/>
      <c r="J14" s="51">
        <f>200+50+500</f>
        <v>750</v>
      </c>
      <c r="K14" s="63">
        <f t="shared" si="0"/>
        <v>950</v>
      </c>
      <c r="L14" s="63">
        <f t="shared" si="1"/>
        <v>30</v>
      </c>
      <c r="M14" s="41"/>
      <c r="N14" s="64">
        <f t="shared" si="2"/>
        <v>19000</v>
      </c>
      <c r="O14" s="65">
        <f t="shared" si="3"/>
        <v>19</v>
      </c>
      <c r="P14" s="42"/>
      <c r="Q14" s="42"/>
    </row>
    <row r="15" spans="1:20" x14ac:dyDescent="0.3">
      <c r="A15" s="39">
        <f t="shared" si="4"/>
        <v>9</v>
      </c>
      <c r="B15" s="62" t="s">
        <v>79</v>
      </c>
      <c r="C15" s="38">
        <v>42</v>
      </c>
      <c r="D15" s="43">
        <v>10</v>
      </c>
      <c r="E15" s="40" t="s">
        <v>30</v>
      </c>
      <c r="F15" s="51">
        <f>65</f>
        <v>65</v>
      </c>
      <c r="G15" s="51"/>
      <c r="H15" s="51">
        <v>15</v>
      </c>
      <c r="I15" s="51"/>
      <c r="J15" s="51">
        <v>50</v>
      </c>
      <c r="K15" s="63">
        <f t="shared" si="0"/>
        <v>65</v>
      </c>
      <c r="L15" s="63">
        <f t="shared" si="1"/>
        <v>0</v>
      </c>
      <c r="M15" s="41"/>
      <c r="N15" s="64">
        <f t="shared" si="2"/>
        <v>2730</v>
      </c>
      <c r="O15" s="65">
        <f t="shared" si="3"/>
        <v>2.73</v>
      </c>
      <c r="P15" s="42"/>
      <c r="Q15" s="42"/>
    </row>
    <row r="16" spans="1:20" x14ac:dyDescent="0.3">
      <c r="A16" s="39">
        <f t="shared" si="4"/>
        <v>10</v>
      </c>
      <c r="B16" s="62" t="s">
        <v>80</v>
      </c>
      <c r="C16" s="38">
        <v>12</v>
      </c>
      <c r="D16" s="43">
        <v>5</v>
      </c>
      <c r="E16" s="40" t="s">
        <v>30</v>
      </c>
      <c r="F16" s="51">
        <f>1082</f>
        <v>1082</v>
      </c>
      <c r="G16" s="51"/>
      <c r="H16" s="51">
        <f>10+7+10+10+5</f>
        <v>42</v>
      </c>
      <c r="I16" s="51"/>
      <c r="J16" s="51">
        <f>120+300+200+80+150+200</f>
        <v>1050</v>
      </c>
      <c r="K16" s="63">
        <f t="shared" si="0"/>
        <v>1092</v>
      </c>
      <c r="L16" s="63">
        <f t="shared" si="1"/>
        <v>10</v>
      </c>
      <c r="M16" s="41"/>
      <c r="N16" s="64">
        <f t="shared" si="2"/>
        <v>13104</v>
      </c>
      <c r="O16" s="65">
        <f t="shared" si="3"/>
        <v>13.103999999999999</v>
      </c>
      <c r="P16" s="42"/>
      <c r="Q16" s="42"/>
    </row>
    <row r="17" spans="1:17" x14ac:dyDescent="0.3">
      <c r="A17" s="39">
        <f t="shared" si="4"/>
        <v>11</v>
      </c>
      <c r="B17" s="62" t="s">
        <v>81</v>
      </c>
      <c r="C17" s="38">
        <v>22</v>
      </c>
      <c r="D17" s="43">
        <v>5</v>
      </c>
      <c r="E17" s="40" t="s">
        <v>30</v>
      </c>
      <c r="F17" s="51"/>
      <c r="G17" s="51"/>
      <c r="H17" s="51"/>
      <c r="I17" s="51"/>
      <c r="J17" s="51"/>
      <c r="K17" s="63">
        <f t="shared" si="0"/>
        <v>0</v>
      </c>
      <c r="L17" s="63">
        <f t="shared" si="1"/>
        <v>0</v>
      </c>
      <c r="M17" s="41"/>
      <c r="N17" s="64">
        <f t="shared" si="2"/>
        <v>0</v>
      </c>
      <c r="O17" s="65">
        <f t="shared" si="3"/>
        <v>0</v>
      </c>
      <c r="P17" s="42"/>
      <c r="Q17" s="42"/>
    </row>
    <row r="18" spans="1:17" x14ac:dyDescent="0.3">
      <c r="A18" s="39">
        <f t="shared" si="4"/>
        <v>12</v>
      </c>
      <c r="B18" s="62" t="s">
        <v>82</v>
      </c>
      <c r="C18" s="38">
        <v>18</v>
      </c>
      <c r="D18" s="43">
        <v>5</v>
      </c>
      <c r="E18" s="40" t="s">
        <v>30</v>
      </c>
      <c r="F18" s="51">
        <f>335</f>
        <v>335</v>
      </c>
      <c r="G18" s="51">
        <f>10+15+10+10+5</f>
        <v>50</v>
      </c>
      <c r="H18" s="51"/>
      <c r="I18" s="51"/>
      <c r="J18" s="51">
        <f>100+100+100+150</f>
        <v>450</v>
      </c>
      <c r="K18" s="63">
        <f t="shared" si="0"/>
        <v>500</v>
      </c>
      <c r="L18" s="63">
        <f t="shared" si="1"/>
        <v>165</v>
      </c>
      <c r="M18" s="41"/>
      <c r="N18" s="64">
        <f t="shared" si="2"/>
        <v>9000</v>
      </c>
      <c r="O18" s="65">
        <f t="shared" si="3"/>
        <v>9</v>
      </c>
      <c r="P18" s="42"/>
      <c r="Q18" s="42"/>
    </row>
    <row r="19" spans="1:17" x14ac:dyDescent="0.3">
      <c r="A19" s="39">
        <f t="shared" si="4"/>
        <v>13</v>
      </c>
      <c r="B19" s="62" t="s">
        <v>82</v>
      </c>
      <c r="C19" s="38">
        <v>36</v>
      </c>
      <c r="D19" s="43">
        <v>10</v>
      </c>
      <c r="E19" s="40" t="s">
        <v>30</v>
      </c>
      <c r="F19" s="51">
        <f>80</f>
        <v>80</v>
      </c>
      <c r="G19" s="51"/>
      <c r="H19" s="51"/>
      <c r="I19" s="51"/>
      <c r="J19" s="51"/>
      <c r="K19" s="63">
        <f t="shared" ref="K19" si="5">SUM(G19:J19)</f>
        <v>0</v>
      </c>
      <c r="L19" s="63">
        <f t="shared" ref="L19" si="6">K19-F19</f>
        <v>-80</v>
      </c>
      <c r="M19" s="41"/>
      <c r="N19" s="64">
        <f t="shared" ref="N19" si="7">K19*C19</f>
        <v>0</v>
      </c>
      <c r="O19" s="65">
        <f t="shared" ref="O19" si="8">N19/1000</f>
        <v>0</v>
      </c>
      <c r="P19" s="42"/>
      <c r="Q19" s="42"/>
    </row>
    <row r="20" spans="1:17" x14ac:dyDescent="0.3">
      <c r="A20" s="39">
        <f t="shared" si="4"/>
        <v>14</v>
      </c>
      <c r="B20" s="62" t="s">
        <v>93</v>
      </c>
      <c r="C20" s="38">
        <v>18</v>
      </c>
      <c r="D20" s="43">
        <v>5</v>
      </c>
      <c r="E20" s="40" t="s">
        <v>30</v>
      </c>
      <c r="F20" s="51">
        <f>1447</f>
        <v>1447</v>
      </c>
      <c r="G20" s="51"/>
      <c r="H20" s="51">
        <f>25+30+50</f>
        <v>105</v>
      </c>
      <c r="I20" s="51"/>
      <c r="J20" s="51">
        <f>300+200+400+357+75</f>
        <v>1332</v>
      </c>
      <c r="K20" s="63">
        <f t="shared" ref="K20" si="9">SUM(G20:J20)</f>
        <v>1437</v>
      </c>
      <c r="L20" s="63">
        <f t="shared" ref="L20" si="10">K20-F20</f>
        <v>-10</v>
      </c>
      <c r="M20" s="41"/>
      <c r="N20" s="64">
        <f t="shared" ref="N20" si="11">K20*C20</f>
        <v>25866</v>
      </c>
      <c r="O20" s="65">
        <f t="shared" ref="O20" si="12">N20/1000</f>
        <v>25.866</v>
      </c>
      <c r="P20" s="42"/>
      <c r="Q20" s="42"/>
    </row>
    <row r="21" spans="1:17" x14ac:dyDescent="0.3">
      <c r="A21" s="39">
        <f t="shared" si="4"/>
        <v>15</v>
      </c>
      <c r="B21" s="62" t="s">
        <v>83</v>
      </c>
      <c r="C21" s="38">
        <v>20</v>
      </c>
      <c r="D21" s="43">
        <v>5</v>
      </c>
      <c r="E21" s="40" t="s">
        <v>30</v>
      </c>
      <c r="F21" s="51"/>
      <c r="G21" s="51"/>
      <c r="H21" s="51"/>
      <c r="I21" s="51"/>
      <c r="J21" s="51"/>
      <c r="K21" s="63">
        <f t="shared" si="0"/>
        <v>0</v>
      </c>
      <c r="L21" s="63">
        <f t="shared" si="1"/>
        <v>0</v>
      </c>
      <c r="M21" s="41"/>
      <c r="N21" s="64">
        <f t="shared" si="2"/>
        <v>0</v>
      </c>
      <c r="O21" s="65">
        <f t="shared" si="3"/>
        <v>0</v>
      </c>
      <c r="P21" s="42"/>
      <c r="Q21" s="42"/>
    </row>
    <row r="22" spans="1:17" x14ac:dyDescent="0.3">
      <c r="A22" s="39">
        <f t="shared" si="4"/>
        <v>16</v>
      </c>
      <c r="B22" s="62" t="s">
        <v>84</v>
      </c>
      <c r="C22" s="38">
        <v>22</v>
      </c>
      <c r="D22" s="43">
        <v>5</v>
      </c>
      <c r="E22" s="40" t="s">
        <v>30</v>
      </c>
      <c r="F22" s="51"/>
      <c r="G22" s="51"/>
      <c r="H22" s="51"/>
      <c r="I22" s="51"/>
      <c r="J22" s="51"/>
      <c r="K22" s="63">
        <f>SUM(G22:J22)</f>
        <v>0</v>
      </c>
      <c r="L22" s="63">
        <f>K22-F22</f>
        <v>0</v>
      </c>
      <c r="M22" s="41"/>
      <c r="N22" s="64">
        <f>K22*C22</f>
        <v>0</v>
      </c>
      <c r="O22" s="65">
        <f>N22/1000</f>
        <v>0</v>
      </c>
      <c r="P22" s="42"/>
      <c r="Q22" s="42"/>
    </row>
    <row r="23" spans="1:17" x14ac:dyDescent="0.3">
      <c r="A23" s="39">
        <f t="shared" si="4"/>
        <v>17</v>
      </c>
      <c r="B23" s="62" t="s">
        <v>85</v>
      </c>
      <c r="C23" s="38">
        <v>13</v>
      </c>
      <c r="D23" s="43">
        <v>5</v>
      </c>
      <c r="E23" s="40" t="s">
        <v>30</v>
      </c>
      <c r="F23" s="51"/>
      <c r="G23" s="51"/>
      <c r="H23" s="51"/>
      <c r="I23" s="51"/>
      <c r="J23" s="51"/>
      <c r="K23" s="63">
        <f>SUM(G23:J23)</f>
        <v>0</v>
      </c>
      <c r="L23" s="63">
        <f>K23-F23</f>
        <v>0</v>
      </c>
      <c r="M23" s="41"/>
      <c r="N23" s="64">
        <f>K23*C23</f>
        <v>0</v>
      </c>
      <c r="O23" s="65">
        <f>N23/1000</f>
        <v>0</v>
      </c>
      <c r="P23" s="42"/>
      <c r="Q23" s="42"/>
    </row>
    <row r="24" spans="1:17" x14ac:dyDescent="0.3">
      <c r="A24" s="120" t="s">
        <v>8</v>
      </c>
      <c r="B24" s="120"/>
      <c r="C24" s="120"/>
      <c r="D24" s="120"/>
      <c r="E24" s="120"/>
      <c r="F24" s="46">
        <f>SUM(F7:F23)</f>
        <v>14496</v>
      </c>
      <c r="G24" s="46">
        <f t="shared" ref="G24:O24" si="13">SUM(G7:G23)</f>
        <v>320</v>
      </c>
      <c r="H24" s="46">
        <f t="shared" si="13"/>
        <v>1054</v>
      </c>
      <c r="I24" s="46">
        <f t="shared" si="13"/>
        <v>0</v>
      </c>
      <c r="J24" s="46">
        <f t="shared" si="13"/>
        <v>13431</v>
      </c>
      <c r="K24" s="46">
        <f t="shared" si="13"/>
        <v>14805</v>
      </c>
      <c r="L24" s="46">
        <f t="shared" si="13"/>
        <v>309</v>
      </c>
      <c r="M24" s="46">
        <f t="shared" si="13"/>
        <v>0</v>
      </c>
      <c r="N24" s="46">
        <f t="shared" si="13"/>
        <v>342152.5</v>
      </c>
      <c r="O24" s="46">
        <f t="shared" si="13"/>
        <v>342.15249999999997</v>
      </c>
      <c r="P24" s="42"/>
    </row>
    <row r="25" spans="1:17" x14ac:dyDescent="0.3">
      <c r="A25" s="49"/>
      <c r="B25" s="49"/>
      <c r="C25" s="49"/>
      <c r="D25" s="50"/>
    </row>
    <row r="26" spans="1:17" x14ac:dyDescent="0.3">
      <c r="A26" s="112" t="s">
        <v>4</v>
      </c>
      <c r="B26" s="112"/>
      <c r="C26" s="112"/>
      <c r="D26" s="112"/>
      <c r="E26" s="47"/>
      <c r="F26" s="47"/>
      <c r="G26" s="47"/>
      <c r="H26" s="47"/>
      <c r="I26" s="47"/>
      <c r="J26" s="47"/>
      <c r="K26" s="47"/>
      <c r="L26" s="47"/>
    </row>
    <row r="27" spans="1:17" x14ac:dyDescent="0.3">
      <c r="A27" s="103" t="s">
        <v>6</v>
      </c>
      <c r="B27" s="103"/>
      <c r="C27" s="103"/>
      <c r="D27" s="103"/>
      <c r="E27" s="103"/>
      <c r="F27" s="103"/>
      <c r="G27" s="103"/>
      <c r="H27" s="103"/>
      <c r="I27" s="103"/>
      <c r="J27" s="103"/>
      <c r="K27" s="103"/>
      <c r="L27" s="103"/>
    </row>
    <row r="28" spans="1:17" x14ac:dyDescent="0.3">
      <c r="A28" s="103" t="s">
        <v>7</v>
      </c>
      <c r="B28" s="103"/>
      <c r="C28" s="103"/>
      <c r="D28" s="103"/>
      <c r="E28" s="103"/>
      <c r="F28" s="103"/>
      <c r="G28" s="103"/>
      <c r="H28" s="103"/>
      <c r="I28" s="103"/>
      <c r="J28" s="103"/>
      <c r="K28" s="103"/>
      <c r="L28" s="103"/>
    </row>
    <row r="29" spans="1:17" x14ac:dyDescent="0.3">
      <c r="A29" s="47"/>
      <c r="B29" s="47"/>
      <c r="C29" s="47"/>
      <c r="D29" s="47"/>
      <c r="E29" s="47"/>
      <c r="F29" s="47"/>
      <c r="G29" s="47"/>
      <c r="H29" s="47"/>
      <c r="I29" s="47"/>
      <c r="J29" s="47"/>
      <c r="K29" s="47"/>
      <c r="L29" s="47"/>
    </row>
    <row r="30" spans="1:17" x14ac:dyDescent="0.3">
      <c r="A30" s="44" t="s">
        <v>9</v>
      </c>
      <c r="B30" s="44"/>
      <c r="C30" s="44"/>
      <c r="D30" s="45" t="s">
        <v>5</v>
      </c>
      <c r="E30" s="48"/>
      <c r="F30" s="48"/>
      <c r="G30" s="48"/>
      <c r="H30" s="48"/>
      <c r="I30" s="48"/>
      <c r="J30" s="48"/>
      <c r="K30" s="48"/>
      <c r="L30" s="48"/>
    </row>
    <row r="31" spans="1:17" x14ac:dyDescent="0.3">
      <c r="A31" s="44" t="s">
        <v>3</v>
      </c>
      <c r="B31" s="71">
        <f>Declaration!C12</f>
        <v>45397</v>
      </c>
      <c r="C31" s="45"/>
      <c r="D31" s="45" t="s">
        <v>3</v>
      </c>
      <c r="E31" s="48"/>
      <c r="F31" s="48"/>
      <c r="G31" s="48"/>
      <c r="H31" s="48"/>
      <c r="I31" s="48"/>
      <c r="J31" s="48"/>
      <c r="K31" s="48"/>
      <c r="L31" s="48"/>
    </row>
  </sheetData>
  <mergeCells count="12">
    <mergeCell ref="B1:C1"/>
    <mergeCell ref="A28:L28"/>
    <mergeCell ref="B3:D3"/>
    <mergeCell ref="B4:D4"/>
    <mergeCell ref="G5:K5"/>
    <mergeCell ref="A26:D26"/>
    <mergeCell ref="A27:L27"/>
    <mergeCell ref="D1:E1"/>
    <mergeCell ref="E3:M4"/>
    <mergeCell ref="A2:M2"/>
    <mergeCell ref="A24:E24"/>
    <mergeCell ref="B5:E5"/>
  </mergeCells>
  <conditionalFormatting sqref="B4">
    <cfRule type="duplicateValues" dxfId="0" priority="1"/>
  </conditionalFormatting>
  <pageMargins left="0.19685039370078741" right="0.15748031496062992" top="0.35433070866141736" bottom="0.23622047244094491" header="0.31496062992125984" footer="0.31496062992125984"/>
  <pageSetup paperSize="9" scale="57"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zoomScaleNormal="100" workbookViewId="0">
      <selection activeCell="D11" sqref="D11"/>
    </sheetView>
  </sheetViews>
  <sheetFormatPr defaultColWidth="24.33203125" defaultRowHeight="14.4" x14ac:dyDescent="0.3"/>
  <cols>
    <col min="1" max="1" width="25.88671875" bestFit="1" customWidth="1"/>
    <col min="2" max="2" width="18.88671875" bestFit="1" customWidth="1"/>
    <col min="3" max="3" width="8.33203125" bestFit="1" customWidth="1"/>
    <col min="4" max="4" width="12.33203125" bestFit="1" customWidth="1"/>
    <col min="5" max="5" width="7.5546875" bestFit="1" customWidth="1"/>
    <col min="6" max="6" width="8.88671875" bestFit="1" customWidth="1"/>
    <col min="7" max="7" width="16.6640625" bestFit="1" customWidth="1"/>
    <col min="8" max="8" width="19.5546875" bestFit="1" customWidth="1"/>
  </cols>
  <sheetData>
    <row r="1" spans="1:8" x14ac:dyDescent="0.3">
      <c r="A1" s="17" t="s">
        <v>32</v>
      </c>
      <c r="B1" s="18"/>
      <c r="C1" s="18"/>
      <c r="D1" s="19"/>
      <c r="E1" s="12"/>
      <c r="F1" s="12"/>
      <c r="G1" s="7" t="s">
        <v>16</v>
      </c>
      <c r="H1" s="74">
        <f>Declaration!C10</f>
        <v>45397</v>
      </c>
    </row>
    <row r="2" spans="1:8" x14ac:dyDescent="0.3">
      <c r="A2" s="3" t="s">
        <v>11</v>
      </c>
      <c r="B2" s="101" t="str">
        <f>Declaration!C3</f>
        <v>JINDAL STORE HARYANA VALE</v>
      </c>
      <c r="C2" s="101"/>
      <c r="D2" s="19"/>
      <c r="E2" s="12"/>
      <c r="F2" s="12"/>
      <c r="G2" s="7" t="s">
        <v>18</v>
      </c>
      <c r="H2" s="75">
        <f>Declaration!C12</f>
        <v>45397</v>
      </c>
    </row>
    <row r="3" spans="1:8" x14ac:dyDescent="0.3">
      <c r="A3" s="66" t="s">
        <v>33</v>
      </c>
      <c r="B3" s="66" t="s">
        <v>41</v>
      </c>
      <c r="C3" s="66" t="s">
        <v>39</v>
      </c>
      <c r="D3" s="20" t="s">
        <v>34</v>
      </c>
      <c r="E3" s="21" t="s">
        <v>35</v>
      </c>
      <c r="F3" s="20" t="s">
        <v>36</v>
      </c>
      <c r="G3" s="21" t="s">
        <v>37</v>
      </c>
      <c r="H3" s="22" t="s">
        <v>38</v>
      </c>
    </row>
    <row r="4" spans="1:8" x14ac:dyDescent="0.3">
      <c r="A4" s="67">
        <v>1</v>
      </c>
      <c r="B4" s="68" t="s">
        <v>94</v>
      </c>
      <c r="C4" s="53">
        <v>1</v>
      </c>
      <c r="D4" s="70">
        <v>45397</v>
      </c>
      <c r="E4" s="61" t="s">
        <v>96</v>
      </c>
      <c r="F4" s="61" t="s">
        <v>97</v>
      </c>
      <c r="G4" s="83" t="s">
        <v>95</v>
      </c>
      <c r="H4" s="69"/>
    </row>
    <row r="5" spans="1:8" x14ac:dyDescent="0.3">
      <c r="B5" s="52" t="s">
        <v>69</v>
      </c>
      <c r="C5" s="54">
        <f>SUM(C4:C4)</f>
        <v>1</v>
      </c>
    </row>
  </sheetData>
  <mergeCells count="1">
    <mergeCell ref="B2:C2"/>
  </mergeCells>
  <pageMargins left="0.7" right="0.7" top="0.75" bottom="0.75" header="0.3" footer="0.3"/>
  <pageSetup paperSize="9" scale="77"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K13"/>
  <sheetViews>
    <sheetView tabSelected="1" zoomScale="139" zoomScaleNormal="96" workbookViewId="0">
      <selection activeCell="B7" sqref="B7"/>
    </sheetView>
  </sheetViews>
  <sheetFormatPr defaultColWidth="10" defaultRowHeight="14.4" x14ac:dyDescent="0.3"/>
  <cols>
    <col min="1" max="1" width="5.88671875" bestFit="1" customWidth="1"/>
    <col min="2" max="2" width="48.77734375" bestFit="1" customWidth="1"/>
    <col min="3" max="3" width="27.109375" bestFit="1" customWidth="1"/>
    <col min="4" max="4" width="17.6640625" bestFit="1" customWidth="1"/>
    <col min="5" max="5" width="8.44140625" bestFit="1" customWidth="1"/>
    <col min="6" max="6" width="13.6640625" bestFit="1" customWidth="1"/>
    <col min="7" max="7" width="11.6640625" bestFit="1" customWidth="1"/>
    <col min="8" max="8" width="9.44140625" bestFit="1" customWidth="1"/>
    <col min="9" max="9" width="8.109375" bestFit="1" customWidth="1"/>
    <col min="10" max="10" width="20.109375" customWidth="1"/>
  </cols>
  <sheetData>
    <row r="2" spans="1:11" x14ac:dyDescent="0.3">
      <c r="B2" s="76">
        <f>Declaration!C10</f>
        <v>45397</v>
      </c>
      <c r="C2" s="77" t="str">
        <f>Declaration!C3</f>
        <v>JINDAL STORE HARYANA VALE</v>
      </c>
    </row>
    <row r="3" spans="1:11" x14ac:dyDescent="0.3">
      <c r="A3" s="56" t="s">
        <v>40</v>
      </c>
      <c r="B3" s="60" t="s">
        <v>73</v>
      </c>
      <c r="C3" s="57" t="s">
        <v>52</v>
      </c>
      <c r="D3" s="56" t="s">
        <v>42</v>
      </c>
      <c r="E3" s="79" t="s">
        <v>87</v>
      </c>
      <c r="F3" s="79" t="s">
        <v>88</v>
      </c>
      <c r="G3" s="79" t="s">
        <v>89</v>
      </c>
      <c r="H3" s="79" t="s">
        <v>90</v>
      </c>
      <c r="I3" s="56" t="s">
        <v>43</v>
      </c>
    </row>
    <row r="4" spans="1:11" x14ac:dyDescent="0.3">
      <c r="A4" s="24">
        <v>1</v>
      </c>
      <c r="B4" s="24" t="s">
        <v>86</v>
      </c>
      <c r="C4" s="25">
        <f>17.6+18.05+18.54+19.24+12.02</f>
        <v>85.45</v>
      </c>
      <c r="D4" s="24">
        <v>5</v>
      </c>
      <c r="E4" s="80">
        <v>20</v>
      </c>
      <c r="F4" s="80">
        <f t="shared" ref="F4:F7" si="0">C4*E4</f>
        <v>1709</v>
      </c>
      <c r="G4" s="80">
        <v>0</v>
      </c>
      <c r="H4" s="81">
        <f t="shared" ref="H4:H7" si="1">F4-G4</f>
        <v>1709</v>
      </c>
      <c r="I4" s="24"/>
    </row>
    <row r="5" spans="1:11" x14ac:dyDescent="0.3">
      <c r="A5" s="24">
        <f>A4+1</f>
        <v>2</v>
      </c>
      <c r="B5" s="24" t="s">
        <v>78</v>
      </c>
      <c r="C5" s="25">
        <f>20.89+21.21+21.13+19.43+19.6+21.76+11.23</f>
        <v>135.25</v>
      </c>
      <c r="D5" s="24">
        <v>7</v>
      </c>
      <c r="E5" s="80">
        <v>20</v>
      </c>
      <c r="F5" s="80">
        <f t="shared" si="0"/>
        <v>2705</v>
      </c>
      <c r="G5" s="80">
        <v>0</v>
      </c>
      <c r="H5" s="81">
        <f t="shared" si="1"/>
        <v>2705</v>
      </c>
      <c r="I5" s="24"/>
    </row>
    <row r="6" spans="1:11" x14ac:dyDescent="0.3">
      <c r="A6" s="24">
        <f t="shared" ref="A6:A7" si="2">A5+1</f>
        <v>3</v>
      </c>
      <c r="B6" s="24" t="s">
        <v>79</v>
      </c>
      <c r="C6" s="25">
        <v>15.46</v>
      </c>
      <c r="D6" s="24">
        <v>1</v>
      </c>
      <c r="E6" s="80">
        <v>20</v>
      </c>
      <c r="F6" s="80">
        <f t="shared" si="0"/>
        <v>309.20000000000005</v>
      </c>
      <c r="G6" s="80">
        <v>0</v>
      </c>
      <c r="H6" s="81">
        <f t="shared" si="1"/>
        <v>309.20000000000005</v>
      </c>
      <c r="I6" s="24"/>
    </row>
    <row r="7" spans="1:11" x14ac:dyDescent="0.3">
      <c r="A7" s="24">
        <f t="shared" si="2"/>
        <v>4</v>
      </c>
      <c r="B7" s="24" t="s">
        <v>99</v>
      </c>
      <c r="C7" s="25">
        <f>15.4+15.83+4.16</f>
        <v>35.39</v>
      </c>
      <c r="D7" s="24">
        <v>3</v>
      </c>
      <c r="E7" s="80">
        <v>10</v>
      </c>
      <c r="F7" s="80">
        <f t="shared" si="0"/>
        <v>353.9</v>
      </c>
      <c r="G7" s="80">
        <v>0</v>
      </c>
      <c r="H7" s="81">
        <f t="shared" si="1"/>
        <v>353.9</v>
      </c>
      <c r="I7" s="24"/>
    </row>
    <row r="8" spans="1:11" x14ac:dyDescent="0.3">
      <c r="A8" s="11"/>
      <c r="B8" s="11" t="s">
        <v>44</v>
      </c>
      <c r="C8" s="55">
        <f>SUM(C4:C7)</f>
        <v>271.55</v>
      </c>
      <c r="D8" s="72">
        <f>SUM(D4:D7)</f>
        <v>16</v>
      </c>
      <c r="E8" s="82"/>
      <c r="F8" s="82">
        <f>SUM(F4:F7)</f>
        <v>5077.0999999999995</v>
      </c>
      <c r="G8" s="82">
        <f>SUM(G4:G7)</f>
        <v>0</v>
      </c>
      <c r="H8" s="82">
        <f>SUM(H4:H7)</f>
        <v>5077.0999999999995</v>
      </c>
      <c r="I8" s="24"/>
    </row>
    <row r="10" spans="1:11" ht="28.8" x14ac:dyDescent="0.3">
      <c r="B10" s="78" t="s">
        <v>53</v>
      </c>
      <c r="K10" s="23"/>
    </row>
    <row r="13" spans="1:11" x14ac:dyDescent="0.3">
      <c r="B13" t="s">
        <v>31</v>
      </c>
    </row>
  </sheetData>
  <pageMargins left="0.7" right="0.7" top="0.75" bottom="0.75" header="0.3" footer="0.3"/>
  <pageSetup paperSize="9" fitToWidth="0"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26f0e883-195c-4097-964b-4652bc177b58"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235C1913E97074C8197778633064682" ma:contentTypeVersion="9" ma:contentTypeDescription="Create a new document." ma:contentTypeScope="" ma:versionID="1a46fe3fdbccbecd6978e8a7c1da2b41">
  <xsd:schema xmlns:xsd="http://www.w3.org/2001/XMLSchema" xmlns:xs="http://www.w3.org/2001/XMLSchema" xmlns:p="http://schemas.microsoft.com/office/2006/metadata/properties" xmlns:ns3="26f0e883-195c-4097-964b-4652bc177b58" xmlns:ns4="fa66f92d-833a-4cb8-a712-221909bdb10d" targetNamespace="http://schemas.microsoft.com/office/2006/metadata/properties" ma:root="true" ma:fieldsID="74d229db0194cd571674d4f50795fcf6" ns3:_="" ns4:_="">
    <xsd:import namespace="26f0e883-195c-4097-964b-4652bc177b58"/>
    <xsd:import namespace="fa66f92d-833a-4cb8-a712-221909bdb10d"/>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f0e883-195c-4097-964b-4652bc177b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a66f92d-833a-4cb8-a712-221909bdb10d"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1BC63A8-6981-45C2-A473-37306D3BAA09}">
  <ds:schemaRefs>
    <ds:schemaRef ds:uri="26f0e883-195c-4097-964b-4652bc177b58"/>
    <ds:schemaRef ds:uri="http://schemas.microsoft.com/office/2006/documentManagement/types"/>
    <ds:schemaRef ds:uri="http://schemas.openxmlformats.org/package/2006/metadata/core-properties"/>
    <ds:schemaRef ds:uri="http://purl.org/dc/elements/1.1/"/>
    <ds:schemaRef ds:uri="http://schemas.microsoft.com/office/infopath/2007/PartnerControls"/>
    <ds:schemaRef ds:uri="http://www.w3.org/XML/1998/namespace"/>
    <ds:schemaRef ds:uri="http://schemas.microsoft.com/office/2006/metadata/properties"/>
    <ds:schemaRef ds:uri="http://purl.org/dc/terms/"/>
    <ds:schemaRef ds:uri="fa66f92d-833a-4cb8-a712-221909bdb10d"/>
    <ds:schemaRef ds:uri="http://purl.org/dc/dcmitype/"/>
  </ds:schemaRefs>
</ds:datastoreItem>
</file>

<file path=customXml/itemProps2.xml><?xml version="1.0" encoding="utf-8"?>
<ds:datastoreItem xmlns:ds="http://schemas.openxmlformats.org/officeDocument/2006/customXml" ds:itemID="{618B6933-6A78-4AE9-940E-2DDD5A7E52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f0e883-195c-4097-964b-4652bc177b58"/>
    <ds:schemaRef ds:uri="fa66f92d-833a-4cb8-a712-221909bdb1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87618BF-4687-456E-9C4B-C593496D954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Declaration</vt:lpstr>
      <vt:lpstr>Distributor Claim Sheet</vt:lpstr>
      <vt:lpstr>Mandays</vt:lpstr>
      <vt:lpstr>Scrap stock detail</vt:lpstr>
      <vt:lpstr>Declaration!Print_Area</vt:lpstr>
      <vt:lpstr>'Distributor Claim Sheet'!Print_Area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OYE VILLAIN</cp:lastModifiedBy>
  <dcterms:created xsi:type="dcterms:W3CDTF">2018-09-14T16:50:16Z</dcterms:created>
  <dcterms:modified xsi:type="dcterms:W3CDTF">2024-04-16T06:02:38Z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0x010100C235C1913E97074C8197778633064682</vt:lpwstr>
  </property>
  <property fmtid="{D5CDD505-2E9C-101B-9397-08002B2CF9AE}" pid="3" name="ICV">
    <vt:lpwstr>a77c150bf2c54ea9a138ff892a5f1d4f</vt:lpwstr>
  </property>
</Properties>
</file>