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https://d.docs.live.net/42bfa40781cf34df/Desktop/"/>
    </mc:Choice>
  </mc:AlternateContent>
  <xr:revisionPtr revIDLastSave="3" documentId="13_ncr:1_{D4F4FF00-3BC2-4767-B8A9-8496CD4F1ADF}" xr6:coauthVersionLast="47" xr6:coauthVersionMax="47" xr10:uidLastSave="{760CC508-9A7B-4F02-837E-48673577B28B}"/>
  <bookViews>
    <workbookView xWindow="-108" yWindow="-108" windowWidth="23256" windowHeight="13176" activeTab="2"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Sheet'!$A$2:$O$23</definedName>
    <definedName name="_xlnm._FilterDatabase" localSheetId="3" hidden="1">'Scrap stock detail'!$A$3:$I$8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Sheet'!$A$1:$P$30</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 i="3" l="1"/>
  <c r="A14" i="3" s="1"/>
  <c r="C7" i="4"/>
  <c r="F7" i="4"/>
  <c r="H7" i="4" s="1"/>
  <c r="C6" i="4"/>
  <c r="F6" i="4" s="1"/>
  <c r="H6" i="4" s="1"/>
  <c r="C5" i="4"/>
  <c r="F5" i="4" s="1"/>
  <c r="H5" i="4" s="1"/>
  <c r="C4" i="4"/>
  <c r="A22" i="2"/>
  <c r="G22" i="2"/>
  <c r="K22" i="2" s="1"/>
  <c r="H22" i="2"/>
  <c r="J22" i="2"/>
  <c r="G17" i="2"/>
  <c r="H17" i="2"/>
  <c r="J17" i="2"/>
  <c r="G9" i="2"/>
  <c r="H9" i="2"/>
  <c r="J8" i="2"/>
  <c r="H8" i="2"/>
  <c r="G8" i="2"/>
  <c r="G12" i="2"/>
  <c r="H12" i="2"/>
  <c r="G13" i="2"/>
  <c r="H13" i="2"/>
  <c r="G14" i="2"/>
  <c r="H14" i="2"/>
  <c r="J13" i="2"/>
  <c r="G7" i="2"/>
  <c r="H7" i="2"/>
  <c r="G10" i="2"/>
  <c r="H10" i="2"/>
  <c r="J9" i="2"/>
  <c r="J10" i="2"/>
  <c r="K14" i="2"/>
  <c r="N14" i="2" s="1"/>
  <c r="O14" i="2" s="1"/>
  <c r="G15" i="2"/>
  <c r="H15" i="2"/>
  <c r="G16" i="2"/>
  <c r="H16" i="2"/>
  <c r="G18" i="2"/>
  <c r="H18" i="2"/>
  <c r="G19" i="2"/>
  <c r="H19" i="2"/>
  <c r="G20" i="2"/>
  <c r="H20" i="2"/>
  <c r="G21" i="2"/>
  <c r="H21" i="2"/>
  <c r="J18" i="2"/>
  <c r="J7" i="2"/>
  <c r="J15" i="2"/>
  <c r="J12" i="2"/>
  <c r="K21" i="2"/>
  <c r="N21" i="2" s="1"/>
  <c r="O21" i="2" s="1"/>
  <c r="J21" i="2"/>
  <c r="K11" i="2"/>
  <c r="N11" i="2" s="1"/>
  <c r="O11" i="2" s="1"/>
  <c r="M23" i="2"/>
  <c r="I23" i="2"/>
  <c r="J20" i="2"/>
  <c r="J19" i="2"/>
  <c r="J16" i="2"/>
  <c r="I14" i="2"/>
  <c r="C15" i="3"/>
  <c r="J14" i="2"/>
  <c r="A5" i="3"/>
  <c r="A6" i="3" s="1"/>
  <c r="A7" i="3" s="1"/>
  <c r="A8" i="3" s="1"/>
  <c r="A9" i="3" s="1"/>
  <c r="A10" i="3" s="1"/>
  <c r="A11" i="3" s="1"/>
  <c r="A12" i="3" s="1"/>
  <c r="G8" i="4"/>
  <c r="D8" i="4"/>
  <c r="L22" i="2" l="1"/>
  <c r="N22" i="2"/>
  <c r="O22" i="2" s="1"/>
  <c r="K16" i="2"/>
  <c r="N16" i="2" s="1"/>
  <c r="O16" i="2" s="1"/>
  <c r="K19" i="2"/>
  <c r="N19" i="2" s="1"/>
  <c r="O19" i="2" s="1"/>
  <c r="K10" i="2"/>
  <c r="K17" i="2"/>
  <c r="N17" i="2" s="1"/>
  <c r="O17" i="2" s="1"/>
  <c r="K9" i="2"/>
  <c r="L9" i="2" s="1"/>
  <c r="K13" i="2"/>
  <c r="N13" i="2" s="1"/>
  <c r="O13" i="2" s="1"/>
  <c r="K8" i="2"/>
  <c r="L8" i="2" s="1"/>
  <c r="L10" i="2"/>
  <c r="N10" i="2"/>
  <c r="O10" i="2" s="1"/>
  <c r="K20" i="2"/>
  <c r="N20" i="2" s="1"/>
  <c r="O20" i="2" s="1"/>
  <c r="K12" i="2"/>
  <c r="N12" i="2" s="1"/>
  <c r="O12" i="2" s="1"/>
  <c r="C8" i="4"/>
  <c r="K15" i="2"/>
  <c r="N15" i="2" s="1"/>
  <c r="O15" i="2" s="1"/>
  <c r="J23" i="2"/>
  <c r="K18" i="2"/>
  <c r="N18" i="2" s="1"/>
  <c r="O18" i="2" s="1"/>
  <c r="H23" i="2"/>
  <c r="G23" i="2"/>
  <c r="L12" i="2"/>
  <c r="L14" i="2"/>
  <c r="L11" i="2"/>
  <c r="L19" i="2"/>
  <c r="L21" i="2"/>
  <c r="F4" i="4"/>
  <c r="F8" i="4" s="1"/>
  <c r="L16" i="2" l="1"/>
  <c r="L20" i="2"/>
  <c r="L17" i="2"/>
  <c r="N9" i="2"/>
  <c r="O9" i="2" s="1"/>
  <c r="L13" i="2"/>
  <c r="N8" i="2"/>
  <c r="O8" i="2" s="1"/>
  <c r="L15" i="2"/>
  <c r="L18" i="2"/>
  <c r="H4" i="4"/>
  <c r="H8" i="4" s="1"/>
  <c r="B30" i="1"/>
  <c r="C2" i="4" l="1"/>
  <c r="D23" i="1"/>
  <c r="F23" i="2"/>
  <c r="H1" i="3" l="1"/>
  <c r="H2" i="3"/>
  <c r="B2" i="3"/>
  <c r="B2" i="4"/>
  <c r="C30" i="1"/>
  <c r="D30" i="1"/>
  <c r="B5" i="2"/>
  <c r="B3" i="2"/>
  <c r="C19" i="1"/>
  <c r="C17" i="1"/>
  <c r="A5" i="4" l="1"/>
  <c r="A6" i="4" s="1"/>
  <c r="A7" i="4" s="1"/>
  <c r="A8" i="2"/>
  <c r="A9" i="2" l="1"/>
  <c r="A10" i="2" s="1"/>
  <c r="A11" i="2" s="1"/>
  <c r="A12" i="2" s="1"/>
  <c r="A13" i="2" s="1"/>
  <c r="A14" i="2" s="1"/>
  <c r="A15" i="2" s="1"/>
  <c r="A16" i="2" s="1"/>
  <c r="A17" i="2" s="1"/>
  <c r="A18" i="2" s="1"/>
  <c r="A19" i="2" s="1"/>
  <c r="A20" i="2" s="1"/>
  <c r="A21" i="2" s="1"/>
  <c r="C18" i="1"/>
  <c r="K7" i="2"/>
  <c r="K23" i="2" s="1"/>
  <c r="C20" i="1"/>
  <c r="L7" i="2" l="1"/>
  <c r="L23" i="2" s="1"/>
  <c r="C21" i="1"/>
  <c r="N7" i="2"/>
  <c r="N23" i="2" s="1"/>
  <c r="O7" i="2" l="1"/>
  <c r="O23" i="2" s="1"/>
</calcChain>
</file>

<file path=xl/sharedStrings.xml><?xml version="1.0" encoding="utf-8"?>
<sst xmlns="http://schemas.openxmlformats.org/spreadsheetml/2006/main" count="173" uniqueCount="113">
  <si>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</si>
  <si>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</si>
  <si>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</si>
  <si>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</si>
  <si>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</si>
  <si>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</si>
  <si>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</si>
  <si>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</si>
  <si>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</si>
  <si>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</si>
  <si>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</si>
  <si>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</si>
  <si>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</si>
  <si>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</si>
  <si>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</si>
  <si>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</si>
  <si>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</si>
  <si>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</si>
  <si>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</si>
  <si>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</si>
  <si>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</si>
  <si>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</si>
  <si>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</si>
  <si>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</si>
  <si>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</si>
  <si>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</si>
  <si>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</si>
  <si>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</si>
  <si>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</si>
  <si>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</si>
  <si>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Pcs</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</si>
  <si>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</si>
  <si>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</si>
  <si>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</si>
  <si>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</si>
  <si>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</si>
  <si>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</si>
  <si>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</si>
  <si>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</si>
  <si>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</si>
  <si>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</si>
  <si>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</si>
  <si>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</si>
  <si>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Remark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</si>
  <si>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</si>
  <si>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</si>
  <si>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</si>
  <si>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</si>
  <si>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</si>
  <si>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</si>
  <si>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</si>
  <si>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</si>
  <si>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</si>
  <si>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</si>
  <si>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</si>
  <si>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</si>
  <si>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</si>
  <si>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</si>
  <si>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</si>
  <si>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</si>
  <si>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</si>
  <si>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</si>
  <si>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</si>
  <si>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</si>
  <si>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</si>
  <si>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</si>
  <si>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</si>
  <si>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</si>
  <si>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</si>
  <si>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</si>
  <si>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</si>
  <si>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</si>
  <si>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</si>
  <si>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</si>
  <si>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</si>
  <si>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</si>
  <si>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 xml:space="preserve">Chips </t>
  </si>
  <si>
    <t>Chulbule</t>
  </si>
  <si>
    <t>Namkeen</t>
  </si>
  <si>
    <t>Ring</t>
  </si>
  <si>
    <t>Avadh</t>
  </si>
  <si>
    <t>Cake</t>
  </si>
  <si>
    <t>Chips</t>
  </si>
  <si>
    <t>Rate/KG</t>
  </si>
  <si>
    <t>Scrap Amount</t>
  </si>
  <si>
    <t>Pay Amount</t>
  </si>
  <si>
    <t>Balance</t>
  </si>
  <si>
    <t>Pravendra</t>
  </si>
  <si>
    <t>Rajeev</t>
  </si>
  <si>
    <t>10:30AM</t>
  </si>
  <si>
    <t>06:30PM</t>
  </si>
  <si>
    <t>10:00AM</t>
  </si>
  <si>
    <t>10:15AM</t>
  </si>
  <si>
    <t>MZ PRINTING AND PACKAGING</t>
  </si>
  <si>
    <t>09:30AM</t>
  </si>
  <si>
    <t>10:02AM</t>
  </si>
  <si>
    <t>09:53AM</t>
  </si>
  <si>
    <t>06:48PM</t>
  </si>
  <si>
    <t>09:51AM</t>
  </si>
  <si>
    <t>Mini Bites</t>
  </si>
  <si>
    <t>07:13PM</t>
  </si>
  <si>
    <t>06:54PM</t>
  </si>
  <si>
    <t>03:45PM</t>
  </si>
  <si>
    <t>RAJEEV KUMAR</t>
  </si>
  <si>
    <t>Party Toy,tik tok</t>
  </si>
  <si>
    <t>KHASRA NO.703 SHAHABAD DAULATPUR NEW DELHI 110042</t>
  </si>
  <si>
    <t>LADU</t>
  </si>
  <si>
    <t>Jar</t>
  </si>
  <si>
    <t>06:00PM</t>
  </si>
  <si>
    <t>N/A</t>
  </si>
  <si>
    <t>MD ABDUL SAMIM</t>
  </si>
  <si>
    <t>avadh,ring,cake,PARTY TOY,tik tok,ladu,mini bites</t>
  </si>
  <si>
    <t>md abdula samim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</si>
</sst>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m/d/yyyy"/>
    <numFmt numFmtId="165" formatCode="_ * #,##0_ ;_ * \-#,##0_ ;_ * &quot;-&quot;??_ ;_ @_ "/>
    <numFmt numFmtId="166" formatCode="mmm\-yy"/>
    <numFmt numFmtId="167" formatCode="_ * #,##0.0_ ;_ * \-#,##0.0_ ;_ * &quot;-&quot;??_ ;_ @_ "/>
  </numFmts>
  <fonts count="35">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3">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5" fillId="0" borderId="0" xfId="0" applyFont="1" applyAlignment="1">
      <alignment horizontal="center" vertical="top"/>
    </xf>
    <xf numFmtId="0" fontId="27" fillId="5" borderId="2" xfId="0" applyFont="1" applyFill="1" applyBorder="1" applyAlignment="1">
      <alignment horizontal="center" vertical="center"/>
    </xf>
    <xf numFmtId="166" fontId="25" fillId="7" borderId="1" xfId="0" applyNumberFormat="1" applyFont="1" applyFill="1" applyBorder="1" applyAlignment="1">
      <alignment vertical="top"/>
    </xf>
    <xf numFmtId="166" fontId="25" fillId="0" borderId="15" xfId="0" applyNumberFormat="1" applyFont="1" applyBorder="1" applyAlignment="1">
      <alignment vertical="top"/>
    </xf>
    <xf numFmtId="0" fontId="27" fillId="8"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27" fillId="6" borderId="1"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27" fillId="9" borderId="1" xfId="0" applyFont="1" applyFill="1" applyBorder="1" applyAlignment="1">
      <alignment horizontal="center" vertical="center" wrapText="1"/>
    </xf>
    <xf numFmtId="0" fontId="27" fillId="5" borderId="1" xfId="0" applyFont="1" applyFill="1" applyBorder="1" applyAlignment="1">
      <alignment horizontal="center" vertical="top" wrapText="1"/>
    </xf>
    <xf numFmtId="0" fontId="25" fillId="0" borderId="0" xfId="0" applyFont="1" applyAlignment="1">
      <alignment horizontal="center" vertical="top" wrapText="1"/>
    </xf>
    <xf numFmtId="0" fontId="25" fillId="0" borderId="1" xfId="0" applyFont="1" applyBorder="1" applyAlignment="1">
      <alignment horizontal="center" vertical="center"/>
    </xf>
    <xf numFmtId="0" fontId="28" fillId="0" borderId="1" xfId="4" applyFont="1" applyBorder="1" applyAlignment="1" applyProtection="1">
      <alignment horizontal="center" vertical="top"/>
    </xf>
    <xf numFmtId="43" fontId="25" fillId="0" borderId="0" xfId="0" applyNumberFormat="1" applyFont="1" applyAlignment="1">
      <alignment horizontal="center" vertical="top"/>
    </xf>
    <xf numFmtId="0" fontId="25" fillId="0" borderId="1" xfId="0" applyFont="1" applyBorder="1" applyAlignment="1">
      <alignment horizontal="center" vertical="top"/>
    </xf>
    <xf numFmtId="0" fontId="27" fillId="0" borderId="1" xfId="0" applyFont="1" applyBorder="1">
      <alignment vertical="center"/>
    </xf>
    <xf numFmtId="0" fontId="27" fillId="0" borderId="1" xfId="0" applyFont="1" applyBorder="1" applyAlignment="1">
      <alignment horizontal="center" vertical="center"/>
    </xf>
    <xf numFmtId="43" fontId="27" fillId="10" borderId="1" xfId="3" applyFont="1" applyFill="1" applyBorder="1" applyAlignment="1" applyProtection="1">
      <alignment horizontal="center" vertical="top"/>
    </xf>
    <xf numFmtId="0" fontId="27" fillId="0" borderId="0" xfId="0" applyFont="1" applyAlignment="1">
      <alignment horizontal="center" vertical="top"/>
    </xf>
    <xf numFmtId="0" fontId="27" fillId="0" borderId="0" xfId="0" applyFont="1">
      <alignment vertical="center"/>
    </xf>
    <xf numFmtId="0" fontId="25" fillId="0" borderId="16" xfId="0" applyFont="1" applyBorder="1" applyAlignment="1">
      <alignment horizontal="center" vertical="top"/>
    </xf>
    <xf numFmtId="0" fontId="25" fillId="0" borderId="17" xfId="0" applyFont="1" applyBorder="1" applyAlignment="1">
      <alignment horizontal="center" vertical="top"/>
    </xf>
    <xf numFmtId="0" fontId="30" fillId="0" borderId="1" xfId="5" applyFont="1" applyBorder="1" applyAlignment="1" applyProtection="1">
      <alignment horizontal="center" vertical="center"/>
    </xf>
    <xf numFmtId="43" fontId="23" fillId="5" borderId="1" xfId="3" applyFont="1" applyFill="1" applyBorder="1" applyAlignment="1" applyProtection="1">
      <alignment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3" fillId="14" borderId="7" xfId="0" applyFont="1" applyFill="1" applyBorder="1" applyAlignment="1">
      <alignment horizontal="left" vertical="top"/>
    </xf>
    <xf numFmtId="0" fontId="33" fillId="14" borderId="13" xfId="0" applyFont="1" applyFill="1" applyBorder="1" applyAlignment="1">
      <alignment horizontal="left" vertical="center"/>
    </xf>
    <xf numFmtId="0" fontId="2" fillId="10" borderId="1" xfId="0" applyFont="1" applyFill="1" applyBorder="1" applyAlignment="1">
      <alignment horizontal="center" vertical="center"/>
    </xf>
    <xf numFmtId="0" fontId="26" fillId="0" borderId="1" xfId="4" applyFont="1" applyBorder="1" applyAlignment="1" applyProtection="1">
      <alignment horizontal="left" vertical="top"/>
    </xf>
    <xf numFmtId="165" fontId="27" fillId="15" borderId="1" xfId="3" applyNumberFormat="1" applyFont="1" applyFill="1" applyBorder="1" applyAlignment="1" applyProtection="1">
      <alignment horizontal="center" vertical="top"/>
    </xf>
    <xf numFmtId="43" fontId="27" fillId="15" borderId="1" xfId="3" applyFont="1" applyFill="1" applyBorder="1" applyAlignment="1" applyProtection="1">
      <alignment horizontal="center" vertical="top"/>
    </xf>
    <xf numFmtId="0" fontId="18" fillId="12" borderId="1" xfId="5" applyFont="1" applyFill="1" applyBorder="1" applyAlignment="1" applyProtection="1">
      <alignment horizontal="center" vertical="center"/>
    </xf>
    <xf numFmtId="0" fontId="18" fillId="0" borderId="1" xfId="5" applyFont="1" applyBorder="1" applyAlignment="1" applyProtection="1">
      <alignment horizontal="center" vertical="center"/>
    </xf>
    <xf numFmtId="0" fontId="17" fillId="0" borderId="1" xfId="5" applyFont="1" applyBorder="1" applyAlignment="1" applyProtection="1">
      <alignment horizontal="center" vertical="center"/>
    </xf>
    <xf numFmtId="0" fontId="32" fillId="0" borderId="1" xfId="5" applyFont="1" applyBorder="1" applyAlignment="1" applyProtection="1">
      <alignment horizontal="center" vertical="center" wrapText="1"/>
    </xf>
    <xf numFmtId="15" fontId="27" fillId="0" borderId="1" xfId="0" applyNumberFormat="1" applyFont="1" applyBorder="1" applyAlignment="1">
      <alignment horizontal="center" vertical="center"/>
    </xf>
    <xf numFmtId="165" fontId="23" fillId="5" borderId="1" xfId="3" applyNumberFormat="1" applyFont="1" applyFill="1" applyBorder="1" applyAlignment="1" applyProtection="1">
      <alignment vertical="center"/>
    </xf>
    <xf numFmtId="165" fontId="23" fillId="5" borderId="1" xfId="0" applyNumberFormat="1" applyFont="1" applyFill="1" applyBorder="1" applyAlignment="1">
      <alignment horizontal="center" vertical="center"/>
    </xf>
    <xf numFmtId="15" fontId="4" fillId="0" borderId="18" xfId="0" applyNumberFormat="1" applyFont="1" applyBorder="1" applyAlignment="1">
      <alignment horizontal="center" vertical="center"/>
    </xf>
    <xf numFmtId="0" fontId="0" fillId="0" borderId="18" xfId="0" applyBorder="1" applyAlignment="1">
      <alignment horizontal="center" vertical="center"/>
    </xf>
    <xf numFmtId="0" fontId="0" fillId="0" borderId="0" xfId="0" applyAlignment="1">
      <alignment vertical="center" wrapText="1"/>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4" fillId="0" borderId="1" xfId="3" applyFont="1" applyBorder="1" applyAlignment="1" applyProtection="1">
      <alignment vertical="center" wrapText="1"/>
    </xf>
    <xf numFmtId="43" fontId="4" fillId="5" borderId="1" xfId="3" applyFont="1" applyFill="1" applyBorder="1" applyAlignment="1" applyProtection="1">
      <alignment vertical="center"/>
    </xf>
    <xf numFmtId="43" fontId="25" fillId="0" borderId="1" xfId="3" applyFont="1" applyBorder="1" applyAlignment="1" applyProtection="1">
      <alignment horizontal="center" vertical="center"/>
    </xf>
    <xf numFmtId="167" fontId="28" fillId="0" borderId="1" xfId="3" applyNumberFormat="1" applyFont="1" applyBorder="1">
      <protection locked="0"/>
    </xf>
    <xf numFmtId="165" fontId="27" fillId="15" borderId="1" xfId="3" applyNumberFormat="1" applyFont="1" applyFill="1" applyBorder="1" applyAlignment="1" applyProtection="1">
      <alignment horizontal="center" vertical="center"/>
    </xf>
    <xf numFmtId="164" fontId="25" fillId="0" borderId="1" xfId="0" applyNumberFormat="1" applyFont="1" applyBorder="1" applyAlignment="1">
      <alignment horizontal="center" vertical="center"/>
    </xf>
    <xf numFmtId="15" fontId="13" fillId="0" borderId="1" xfId="0" applyNumberFormat="1" applyFont="1" applyBorder="1" applyAlignment="1">
      <alignment horizontal="center" vertical="center"/>
    </xf>
    <xf numFmtId="15" fontId="17" fillId="11" borderId="1" xfId="5" applyNumberFormat="1" applyFont="1" applyFill="1" applyBorder="1" applyAlignment="1" applyProtection="1">
      <alignment horizontal="center" vertical="center"/>
    </xf>
    <xf numFmtId="0" fontId="23" fillId="13" borderId="0" xfId="0" applyFont="1" applyFill="1">
      <alignment vertical="center"/>
    </xf>
    <xf numFmtId="0" fontId="23" fillId="13" borderId="0" xfId="0" applyFont="1" applyFill="1" applyAlignment="1">
      <alignment horizontal="center" vertical="center"/>
    </xf>
    <xf numFmtId="15" fontId="31" fillId="0" borderId="1" xfId="0" applyNumberFormat="1" applyFont="1" applyBorder="1" applyAlignment="1">
      <alignment horizontal="center" vertical="center"/>
    </xf>
    <xf numFmtId="15" fontId="17" fillId="0" borderId="1" xfId="5" applyNumberFormat="1" applyFont="1" applyBorder="1" applyAlignment="1" applyProtection="1">
      <alignment horizontal="center" vertical="center" wrapText="1"/>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0" fontId="24" fillId="2" borderId="1" xfId="0" applyFont="1" applyFill="1" applyBorder="1" applyAlignment="1" applyProtection="1">
      <alignment horizontal="center" vertical="center" wrapText="1"/>
      <protection hidden="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5" fontId="24" fillId="2" borderId="1" xfId="0" applyNumberFormat="1" applyFont="1" applyFill="1" applyBorder="1" applyAlignment="1" applyProtection="1">
      <alignment horizontal="center" vertical="center" wrapText="1"/>
      <protection hidden="1"/>
    </xf>
    <xf numFmtId="15"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26" fillId="2" borderId="1" xfId="0" applyFont="1" applyFill="1" applyBorder="1" applyAlignment="1" applyProtection="1">
      <alignment horizontal="center" vertical="center" wrapText="1"/>
      <protection hidden="1"/>
    </xf>
    <xf numFmtId="0" fontId="27" fillId="0" borderId="1" xfId="0" applyFont="1" applyBorder="1" applyAlignment="1">
      <alignment horizontal="left"/>
    </xf>
    <xf numFmtId="0" fontId="33" fillId="14" borderId="8" xfId="0" applyFont="1" applyFill="1" applyBorder="1" applyAlignment="1">
      <alignment horizontal="center" vertical="center"/>
    </xf>
    <xf numFmtId="0" fontId="33" fillId="14" borderId="9" xfId="0" applyFont="1" applyFill="1" applyBorder="1" applyAlignment="1">
      <alignment horizontal="center" vertical="center"/>
    </xf>
    <xf numFmtId="0" fontId="33" fillId="14" borderId="10" xfId="0" applyFont="1" applyFill="1" applyBorder="1" applyAlignment="1">
      <alignment horizontal="center" vertical="center"/>
    </xf>
    <xf numFmtId="0" fontId="33" fillId="14" borderId="2" xfId="0" applyFont="1" applyFill="1" applyBorder="1" applyAlignment="1">
      <alignment horizontal="center"/>
    </xf>
    <xf numFmtId="0" fontId="33" fillId="14" borderId="14" xfId="0" applyFont="1" applyFill="1" applyBorder="1" applyAlignment="1">
      <alignment horizontal="center"/>
    </xf>
    <xf numFmtId="0" fontId="33" fillId="14" borderId="3" xfId="0" applyFont="1" applyFill="1" applyBorder="1" applyAlignment="1">
      <alignment horizontal="center"/>
    </xf>
    <xf numFmtId="166" fontId="27" fillId="6" borderId="2" xfId="0" applyNumberFormat="1" applyFont="1" applyFill="1" applyBorder="1" applyAlignment="1">
      <alignment horizontal="center" vertical="top"/>
    </xf>
    <xf numFmtId="166" fontId="27" fillId="6" borderId="14" xfId="0" applyNumberFormat="1" applyFont="1" applyFill="1" applyBorder="1" applyAlignment="1">
      <alignment horizontal="center" vertical="top"/>
    </xf>
    <xf numFmtId="0" fontId="29" fillId="0" borderId="1" xfId="0" applyFont="1" applyBorder="1" applyAlignment="1">
      <alignment horizontal="left" vertical="top"/>
    </xf>
    <xf numFmtId="0" fontId="25" fillId="3" borderId="11" xfId="0" applyFont="1" applyFill="1" applyBorder="1" applyAlignment="1">
      <alignment horizontal="left" vertical="center"/>
    </xf>
    <xf numFmtId="0" fontId="25" fillId="3" borderId="12" xfId="0" applyFont="1" applyFill="1" applyBorder="1" applyAlignment="1">
      <alignment horizontal="left" vertical="center"/>
    </xf>
    <xf numFmtId="0" fontId="25" fillId="3" borderId="1" xfId="0" applyFont="1" applyFill="1" applyBorder="1" applyAlignment="1">
      <alignment horizontal="left" vertical="center"/>
    </xf>
    <xf numFmtId="0" fontId="25" fillId="3" borderId="15" xfId="0" applyFont="1" applyFill="1" applyBorder="1" applyAlignment="1">
      <alignment horizontal="left" vertical="center"/>
    </xf>
    <xf numFmtId="0" fontId="27" fillId="3" borderId="4" xfId="0" applyFont="1" applyFill="1" applyBorder="1" applyAlignment="1">
      <alignment horizontal="center" vertical="center"/>
    </xf>
    <xf numFmtId="0" fontId="27" fillId="3" borderId="5" xfId="0" applyFont="1" applyFill="1" applyBorder="1" applyAlignment="1">
      <alignment horizontal="center" vertical="center"/>
    </xf>
    <xf numFmtId="0" fontId="27" fillId="3" borderId="6" xfId="0" applyFont="1" applyFill="1" applyBorder="1" applyAlignment="1">
      <alignment horizontal="center" vertical="center"/>
    </xf>
    <xf numFmtId="0" fontId="27" fillId="10" borderId="1" xfId="0" applyFont="1" applyFill="1" applyBorder="1" applyAlignment="1">
      <alignment horizontal="center"/>
    </xf>
    <xf numFmtId="0" fontId="33" fillId="14" borderId="2" xfId="0" applyFont="1" applyFill="1" applyBorder="1" applyProtection="1">
      <alignment vertical="center"/>
      <protection hidden="1"/>
    </xf>
    <xf numFmtId="0" fontId="33" fillId="14" borderId="14" xfId="0" applyFont="1" applyFill="1" applyBorder="1" applyProtection="1">
      <alignment vertical="center"/>
      <protection hidden="1"/>
    </xf>
    <xf numFmtId="0" fontId="33" fillId="14" borderId="3" xfId="0" applyFont="1" applyFill="1" applyBorder="1" applyProtection="1">
      <alignment vertical="center"/>
      <protection hidden="1"/>
    </xf>
    <xf numFmtId="0" fontId="17" fillId="0" borderId="1" xfId="5" applyFont="1" applyBorder="1" applyAlignment="1" applyProtection="1">
      <alignment horizontal="center" vertical="center" wrapText="1"/>
    </xf>
  </cellXfs>
  <cellStyles count="7">
    <cellStyle name="Comma" xfId="3" builtinId="3"/>
    <cellStyle name="Normal" xfId="0" builtinId="0"/>
    <cellStyle name="Normal 2" xfId="4" xr:uid="{00000000-0005-0000-0000-000002000000}"/>
    <cellStyle name="Normal 2 10" xfId="2" xr:uid="{00000000-0005-0000-0000-000003000000}"/>
    <cellStyle name="Normal 3" xfId="6" xr:uid="{00000000-0005-0000-0000-000004000000}"/>
    <cellStyle name="Normal_D&amp;D REPORT OF B.S.N TRADERS FOR THE MONTH OF DEC-08" xfId="5" xr:uid="{00000000-0005-0000-0000-000005000000}"/>
    <cellStyle name="Normal_MI20(1)" xfId="1" xr:uid="{00000000-0005-0000-0000-000006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opLeftCell="A5" zoomScaleNormal="100" workbookViewId="0">
      <selection activeCell="F10" sqref="F10"/>
    </sheetView>
  </sheetViews>
  <sheetFormatPr defaultColWidth="10.44140625" defaultRowHeight="14.4"/>
  <cols>
    <col min="1" max="1" width="3.5546875" style="1" customWidth="1"/>
    <col min="2" max="2" width="44.5546875" style="1" customWidth="1"/>
    <col min="3" max="3" width="36.5546875" style="1" bestFit="1" customWidth="1"/>
    <col min="4" max="4" width="46" style="1" customWidth="1"/>
    <col min="5" max="16384" width="10.44140625" style="1"/>
  </cols>
  <sheetData>
    <row r="1" spans="1:4">
      <c r="A1" s="1" t="s">
        <v>67</v>
      </c>
    </row>
    <row r="2" spans="1:4" s="2" customFormat="1" ht="15.6">
      <c r="B2" s="84" t="s">
        <v>10</v>
      </c>
      <c r="C2" s="84"/>
      <c r="D2" s="84"/>
    </row>
    <row r="3" spans="1:4">
      <c r="B3" s="3" t="s">
        <v>11</v>
      </c>
      <c r="C3" s="85" t="s">
        <v>93</v>
      </c>
      <c r="D3" s="85"/>
    </row>
    <row r="4" spans="1:4">
      <c r="B4" s="4" t="s">
        <v>12</v>
      </c>
      <c r="C4" s="85" t="s">
        <v>105</v>
      </c>
      <c r="D4" s="85"/>
    </row>
    <row r="5" spans="1:4">
      <c r="B5" s="5" t="s">
        <v>13</v>
      </c>
      <c r="C5" s="86" t="s">
        <v>103</v>
      </c>
      <c r="D5" s="87"/>
    </row>
    <row r="6" spans="1:4">
      <c r="B6" s="6" t="s">
        <v>14</v>
      </c>
      <c r="C6" s="86" t="s">
        <v>110</v>
      </c>
      <c r="D6" s="87"/>
    </row>
    <row r="7" spans="1:4">
      <c r="B7" s="6" t="s">
        <v>15</v>
      </c>
      <c r="C7" s="87">
        <v>9911630548</v>
      </c>
      <c r="D7" s="87"/>
    </row>
    <row r="8" spans="1:4">
      <c r="B8" s="6" t="s">
        <v>48</v>
      </c>
      <c r="C8" s="86" t="s">
        <v>109</v>
      </c>
      <c r="D8" s="87"/>
    </row>
    <row r="9" spans="1:4">
      <c r="B9" s="6" t="s">
        <v>27</v>
      </c>
      <c r="C9" s="86" t="s">
        <v>109</v>
      </c>
      <c r="D9" s="87"/>
    </row>
    <row r="10" spans="1:4">
      <c r="B10" s="7" t="s">
        <v>16</v>
      </c>
      <c r="C10" s="94">
        <v>45521</v>
      </c>
      <c r="D10" s="94"/>
    </row>
    <row r="11" spans="1:4">
      <c r="B11" s="7" t="s">
        <v>17</v>
      </c>
      <c r="C11" s="95" t="s">
        <v>89</v>
      </c>
      <c r="D11" s="94"/>
    </row>
    <row r="12" spans="1:4">
      <c r="B12" s="7" t="s">
        <v>18</v>
      </c>
      <c r="C12" s="94">
        <v>45534</v>
      </c>
      <c r="D12" s="94"/>
    </row>
    <row r="13" spans="1:4">
      <c r="B13" s="7" t="s">
        <v>19</v>
      </c>
      <c r="C13" s="95" t="s">
        <v>108</v>
      </c>
      <c r="D13" s="94"/>
    </row>
    <row r="14" spans="1:4">
      <c r="B14" s="91" t="s">
        <v>20</v>
      </c>
      <c r="C14" s="91"/>
      <c r="D14" s="91"/>
    </row>
    <row r="15" spans="1:4">
      <c r="B15" s="91"/>
      <c r="C15" s="91"/>
      <c r="D15" s="91"/>
    </row>
    <row r="16" spans="1:4">
      <c r="B16" s="8"/>
      <c r="C16" s="82" t="s">
        <v>21</v>
      </c>
      <c r="D16" s="83"/>
    </row>
    <row r="17" spans="2:4">
      <c r="B17" s="9" t="s">
        <v>22</v>
      </c>
      <c r="C17" s="92">
        <f>'Distributor Claim Sheet'!G23</f>
        <v>4313</v>
      </c>
      <c r="D17" s="93"/>
    </row>
    <row r="18" spans="2:4">
      <c r="B18" s="9" t="s">
        <v>55</v>
      </c>
      <c r="C18" s="88">
        <f>'Distributor Claim Sheet'!H23</f>
        <v>7934</v>
      </c>
      <c r="D18" s="89"/>
    </row>
    <row r="19" spans="2:4">
      <c r="B19" s="9" t="s">
        <v>63</v>
      </c>
      <c r="C19" s="88">
        <f>'Distributor Claim Sheet'!I23</f>
        <v>200</v>
      </c>
      <c r="D19" s="89"/>
    </row>
    <row r="20" spans="2:4">
      <c r="B20" s="9" t="s">
        <v>64</v>
      </c>
      <c r="C20" s="88">
        <f>'Distributor Claim Sheet'!J23</f>
        <v>115188</v>
      </c>
      <c r="D20" s="89"/>
    </row>
    <row r="21" spans="2:4">
      <c r="B21" s="10" t="s">
        <v>66</v>
      </c>
      <c r="C21" s="97">
        <f>SUM(C17:C20)</f>
        <v>127635</v>
      </c>
      <c r="D21" s="98"/>
    </row>
    <row r="22" spans="2:4">
      <c r="B22" s="99" t="s">
        <v>23</v>
      </c>
      <c r="C22" s="99"/>
      <c r="D22" s="99"/>
    </row>
    <row r="23" spans="2:4">
      <c r="B23" s="96" t="s">
        <v>62</v>
      </c>
      <c r="C23" s="96"/>
      <c r="D23" s="64">
        <f>'Scrap stock detail'!D8</f>
        <v>155</v>
      </c>
    </row>
    <row r="24" spans="2:4" s="2" customFormat="1">
      <c r="B24" s="90" t="s">
        <v>29</v>
      </c>
      <c r="C24" s="90"/>
      <c r="D24" s="90"/>
    </row>
    <row r="25" spans="2:4" s="2" customFormat="1">
      <c r="B25" s="90"/>
      <c r="C25" s="90"/>
      <c r="D25" s="90"/>
    </row>
    <row r="26" spans="2:4" s="2" customFormat="1">
      <c r="B26" s="90"/>
      <c r="C26" s="90"/>
      <c r="D26" s="90"/>
    </row>
    <row r="27" spans="2:4" s="2" customFormat="1">
      <c r="B27" s="90"/>
      <c r="C27" s="90"/>
      <c r="D27" s="90"/>
    </row>
    <row r="28" spans="2:4">
      <c r="B28" s="90"/>
      <c r="C28" s="90"/>
      <c r="D28" s="90"/>
    </row>
    <row r="29" spans="2:4" s="2" customFormat="1">
      <c r="B29" s="13" t="s">
        <v>75</v>
      </c>
      <c r="C29" s="13" t="s">
        <v>74</v>
      </c>
      <c r="D29" s="13" t="s">
        <v>73</v>
      </c>
    </row>
    <row r="30" spans="2:4" s="2" customFormat="1">
      <c r="B30" s="14" t="str">
        <f>C3</f>
        <v>MZ PRINTING AND PACKAGING</v>
      </c>
      <c r="C30" s="14" t="str">
        <f>C8</f>
        <v>N/A</v>
      </c>
      <c r="D30" s="14" t="str">
        <f>C5</f>
        <v>RAJEEV KUMAR</v>
      </c>
    </row>
    <row r="31" spans="2:4" s="2" customFormat="1">
      <c r="B31" s="13" t="s">
        <v>24</v>
      </c>
      <c r="C31" s="13" t="s">
        <v>25</v>
      </c>
      <c r="D31" s="13" t="s">
        <v>24</v>
      </c>
    </row>
    <row r="32" spans="2:4" s="2" customFormat="1">
      <c r="B32" s="13"/>
      <c r="C32" s="13"/>
      <c r="D32" s="13"/>
    </row>
    <row r="33" spans="2:4" s="2" customFormat="1">
      <c r="B33" s="15"/>
      <c r="C33" s="15"/>
      <c r="D33" s="15"/>
    </row>
    <row r="34" spans="2:4" s="2" customFormat="1">
      <c r="B34" s="16" t="s">
        <v>26</v>
      </c>
      <c r="C34" s="16"/>
      <c r="D34" s="16" t="s">
        <v>26</v>
      </c>
    </row>
  </sheetData>
  <mergeCells count="22">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 ref="C16:D16"/>
    <mergeCell ref="B2:D2"/>
    <mergeCell ref="C3:D3"/>
    <mergeCell ref="C4:D4"/>
    <mergeCell ref="C5:D5"/>
    <mergeCell ref="C6:D6"/>
  </mergeCells>
  <pageMargins left="0.24" right="0.24" top="0.6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Q30"/>
  <sheetViews>
    <sheetView showGridLines="0" topLeftCell="A5" zoomScale="99" zoomScaleNormal="100" workbookViewId="0">
      <selection activeCell="G34" sqref="G34"/>
    </sheetView>
  </sheetViews>
  <sheetFormatPr defaultColWidth="16" defaultRowHeight="13.8"/>
  <cols>
    <col min="1" max="1" width="15.88671875" style="26" bestFit="1" customWidth="1"/>
    <col min="2" max="2" width="13" style="26" customWidth="1"/>
    <col min="3" max="3" width="7.21875" style="26" bestFit="1" customWidth="1"/>
    <col min="4" max="4" width="6.21875" style="26" bestFit="1" customWidth="1"/>
    <col min="5" max="5" width="4.109375" style="26" bestFit="1" customWidth="1"/>
    <col min="6" max="6" width="9.33203125" style="26" bestFit="1" customWidth="1"/>
    <col min="7" max="7" width="8.88671875" style="26" bestFit="1" customWidth="1"/>
    <col min="8" max="8" width="9.21875" style="26" bestFit="1" customWidth="1"/>
    <col min="9" max="9" width="7.33203125" style="26" bestFit="1" customWidth="1"/>
    <col min="10" max="10" width="11.33203125" style="26" bestFit="1" customWidth="1"/>
    <col min="11" max="11" width="11.21875" style="26" bestFit="1" customWidth="1"/>
    <col min="12" max="12" width="11.33203125" style="26" bestFit="1" customWidth="1"/>
    <col min="13" max="13" width="5.44140625" style="26" bestFit="1" customWidth="1"/>
    <col min="14" max="14" width="12.33203125" style="26" bestFit="1" customWidth="1"/>
    <col min="15" max="15" width="10.6640625" style="26" bestFit="1" customWidth="1"/>
    <col min="16" max="16" width="8.77734375" style="26" bestFit="1" customWidth="1"/>
    <col min="17" max="17" width="10.33203125" style="26" bestFit="1" customWidth="1"/>
    <col min="18" max="18" width="5.33203125" style="26" bestFit="1" customWidth="1"/>
    <col min="19" max="16384" width="16" style="26"/>
  </cols>
  <sheetData>
    <row r="1" spans="1:17">
      <c r="B1" s="100"/>
      <c r="C1" s="100"/>
      <c r="D1" s="100"/>
      <c r="E1" s="100"/>
    </row>
    <row r="2" spans="1:17">
      <c r="A2" s="115" t="s">
        <v>49</v>
      </c>
      <c r="B2" s="116"/>
      <c r="C2" s="116"/>
      <c r="D2" s="116"/>
      <c r="E2" s="116"/>
      <c r="F2" s="116"/>
      <c r="G2" s="116"/>
      <c r="H2" s="116"/>
      <c r="I2" s="116"/>
      <c r="J2" s="116"/>
      <c r="K2" s="116"/>
      <c r="L2" s="116"/>
      <c r="M2" s="117"/>
    </row>
    <row r="3" spans="1:17">
      <c r="A3" s="52" t="s">
        <v>69</v>
      </c>
      <c r="B3" s="102" t="str">
        <f>Declaration!C3</f>
        <v>MZ PRINTING AND PACKAGING</v>
      </c>
      <c r="C3" s="103"/>
      <c r="D3" s="104"/>
      <c r="E3" s="111"/>
      <c r="F3" s="111"/>
      <c r="G3" s="111"/>
      <c r="H3" s="111"/>
      <c r="I3" s="111"/>
      <c r="J3" s="111"/>
      <c r="K3" s="111"/>
      <c r="L3" s="111"/>
      <c r="M3" s="112"/>
    </row>
    <row r="4" spans="1:17">
      <c r="A4" s="53" t="s">
        <v>70</v>
      </c>
      <c r="B4" s="105"/>
      <c r="C4" s="106"/>
      <c r="D4" s="107"/>
      <c r="E4" s="113"/>
      <c r="F4" s="113"/>
      <c r="G4" s="113"/>
      <c r="H4" s="113"/>
      <c r="I4" s="113"/>
      <c r="J4" s="113"/>
      <c r="K4" s="113"/>
      <c r="L4" s="113"/>
      <c r="M4" s="114"/>
    </row>
    <row r="5" spans="1:17">
      <c r="A5" s="53" t="s">
        <v>71</v>
      </c>
      <c r="B5" s="119" t="str">
        <f>Declaration!C4</f>
        <v>KHASRA NO.703 SHAHABAD DAULATPUR NEW DELHI 110042</v>
      </c>
      <c r="C5" s="120"/>
      <c r="D5" s="120"/>
      <c r="E5" s="121"/>
      <c r="F5" s="27" t="s">
        <v>56</v>
      </c>
      <c r="G5" s="108" t="s">
        <v>57</v>
      </c>
      <c r="H5" s="109"/>
      <c r="I5" s="109"/>
      <c r="J5" s="109"/>
      <c r="K5" s="109"/>
      <c r="L5" s="28"/>
      <c r="M5" s="29"/>
    </row>
    <row r="6" spans="1:17" s="36" customFormat="1" ht="41.4">
      <c r="A6" s="30" t="s">
        <v>65</v>
      </c>
      <c r="B6" s="30" t="s">
        <v>0</v>
      </c>
      <c r="C6" s="30" t="s">
        <v>45</v>
      </c>
      <c r="D6" s="30" t="s">
        <v>2</v>
      </c>
      <c r="E6" s="30" t="s">
        <v>1</v>
      </c>
      <c r="F6" s="31" t="s">
        <v>28</v>
      </c>
      <c r="G6" s="32" t="s">
        <v>58</v>
      </c>
      <c r="H6" s="32" t="s">
        <v>54</v>
      </c>
      <c r="I6" s="32" t="s">
        <v>50</v>
      </c>
      <c r="J6" s="32" t="s">
        <v>51</v>
      </c>
      <c r="K6" s="32" t="s">
        <v>60</v>
      </c>
      <c r="L6" s="33" t="s">
        <v>59</v>
      </c>
      <c r="M6" s="34" t="s">
        <v>61</v>
      </c>
      <c r="N6" s="35" t="s">
        <v>46</v>
      </c>
      <c r="O6" s="35" t="s">
        <v>47</v>
      </c>
    </row>
    <row r="7" spans="1:17">
      <c r="A7" s="37">
        <v>1</v>
      </c>
      <c r="B7" s="55" t="s">
        <v>76</v>
      </c>
      <c r="C7" s="38">
        <v>13</v>
      </c>
      <c r="D7" s="37">
        <v>5</v>
      </c>
      <c r="E7" s="72" t="s">
        <v>30</v>
      </c>
      <c r="F7" s="73"/>
      <c r="G7" s="73">
        <f>25+11+30+20+20+30+20+20+10+7+15+35+49+34+76+50+40+90+40+20</f>
        <v>642</v>
      </c>
      <c r="H7" s="73">
        <f>50+25+50+45+30+40+80+40+30+20+25+35+90+90+95+170+80+70+180+60+20</f>
        <v>1325</v>
      </c>
      <c r="I7" s="73"/>
      <c r="J7" s="73">
        <f>1200+150+100+300+348+3500+4200+2600+2700+2000+4200+2100+2670+100+300</f>
        <v>26468</v>
      </c>
      <c r="K7" s="74">
        <f>SUM(G7:J7)</f>
        <v>28435</v>
      </c>
      <c r="L7" s="74">
        <f>K7-F7</f>
        <v>28435</v>
      </c>
      <c r="M7" s="75"/>
      <c r="N7" s="56">
        <f>K7*C7</f>
        <v>369655</v>
      </c>
      <c r="O7" s="57">
        <f>N7/1000</f>
        <v>369.65499999999997</v>
      </c>
      <c r="P7" s="39"/>
    </row>
    <row r="8" spans="1:17">
      <c r="A8" s="37">
        <f>1+A7</f>
        <v>2</v>
      </c>
      <c r="B8" s="55" t="s">
        <v>76</v>
      </c>
      <c r="C8" s="38">
        <v>32.5</v>
      </c>
      <c r="D8" s="40">
        <v>10</v>
      </c>
      <c r="E8" s="72" t="s">
        <v>30</v>
      </c>
      <c r="F8" s="73"/>
      <c r="G8" s="73">
        <f>6+20+10+20+27+44+84+15+15+30+50+60+40+50+100+200</f>
        <v>771</v>
      </c>
      <c r="H8" s="73">
        <f>10+50+30+60+90+90+190+40+45+90+100+200+100+200+100+300</f>
        <v>1695</v>
      </c>
      <c r="I8" s="73"/>
      <c r="J8" s="73">
        <f>205+250+200+240+1500+2200+500+1000+500+1000+1000+500</f>
        <v>9095</v>
      </c>
      <c r="K8" s="74">
        <f t="shared" ref="K8:K22" si="0">SUM(G8:J8)</f>
        <v>11561</v>
      </c>
      <c r="L8" s="74">
        <f t="shared" ref="L8:L22" si="1">K8-F8</f>
        <v>11561</v>
      </c>
      <c r="M8" s="75"/>
      <c r="N8" s="56">
        <f t="shared" ref="N8:N22" si="2">K8*C8</f>
        <v>375732.5</v>
      </c>
      <c r="O8" s="57">
        <f t="shared" ref="O8:O22" si="3">N8/1000</f>
        <v>375.73250000000002</v>
      </c>
      <c r="P8" s="39"/>
    </row>
    <row r="9" spans="1:17">
      <c r="A9" s="37">
        <f t="shared" ref="A9:A22" si="4">1+A8</f>
        <v>3</v>
      </c>
      <c r="B9" s="55" t="s">
        <v>76</v>
      </c>
      <c r="C9" s="38">
        <v>29</v>
      </c>
      <c r="D9" s="40">
        <v>15</v>
      </c>
      <c r="E9" s="72" t="s">
        <v>30</v>
      </c>
      <c r="F9" s="73"/>
      <c r="G9" s="73">
        <f>300+200+400</f>
        <v>900</v>
      </c>
      <c r="H9" s="73">
        <f>200+300+600</f>
        <v>1100</v>
      </c>
      <c r="I9" s="73"/>
      <c r="J9" s="73">
        <f>3900+500+1000+800+50+2300</f>
        <v>8550</v>
      </c>
      <c r="K9" s="74">
        <f t="shared" ref="K9:K10" si="5">SUM(G9:J9)</f>
        <v>10550</v>
      </c>
      <c r="L9" s="74">
        <f t="shared" ref="L9:L10" si="6">K9-F9</f>
        <v>10550</v>
      </c>
      <c r="M9" s="75"/>
      <c r="N9" s="56">
        <f t="shared" ref="N9:N10" si="7">K9*C9</f>
        <v>305950</v>
      </c>
      <c r="O9" s="57">
        <f t="shared" ref="O9:O10" si="8">N9/1000</f>
        <v>305.95</v>
      </c>
      <c r="P9" s="39"/>
    </row>
    <row r="10" spans="1:17">
      <c r="A10" s="37">
        <f t="shared" si="4"/>
        <v>4</v>
      </c>
      <c r="B10" s="55" t="s">
        <v>76</v>
      </c>
      <c r="C10" s="38">
        <v>75</v>
      </c>
      <c r="D10" s="40">
        <v>20</v>
      </c>
      <c r="E10" s="72" t="s">
        <v>30</v>
      </c>
      <c r="F10" s="73"/>
      <c r="G10" s="73">
        <f>7+6+7+5</f>
        <v>25</v>
      </c>
      <c r="H10" s="73">
        <f>10+20+16+10</f>
        <v>56</v>
      </c>
      <c r="I10" s="73"/>
      <c r="J10" s="73">
        <f>100+30+50+95+25</f>
        <v>300</v>
      </c>
      <c r="K10" s="74">
        <f t="shared" si="5"/>
        <v>381</v>
      </c>
      <c r="L10" s="74">
        <f t="shared" si="6"/>
        <v>381</v>
      </c>
      <c r="M10" s="75"/>
      <c r="N10" s="56">
        <f t="shared" si="7"/>
        <v>28575</v>
      </c>
      <c r="O10" s="57">
        <f t="shared" si="8"/>
        <v>28.574999999999999</v>
      </c>
      <c r="P10" s="39"/>
    </row>
    <row r="11" spans="1:17">
      <c r="A11" s="37">
        <f t="shared" si="4"/>
        <v>5</v>
      </c>
      <c r="B11" s="55" t="s">
        <v>106</v>
      </c>
      <c r="C11" s="38">
        <v>455</v>
      </c>
      <c r="D11" s="40">
        <v>130</v>
      </c>
      <c r="E11" s="72" t="s">
        <v>107</v>
      </c>
      <c r="F11" s="73"/>
      <c r="G11" s="73"/>
      <c r="H11" s="73"/>
      <c r="I11" s="73"/>
      <c r="J11" s="73">
        <v>11</v>
      </c>
      <c r="K11" s="74">
        <f t="shared" si="0"/>
        <v>11</v>
      </c>
      <c r="L11" s="74">
        <f t="shared" si="1"/>
        <v>11</v>
      </c>
      <c r="M11" s="75"/>
      <c r="N11" s="56">
        <f t="shared" si="2"/>
        <v>5005</v>
      </c>
      <c r="O11" s="57">
        <f t="shared" si="3"/>
        <v>5.0049999999999999</v>
      </c>
      <c r="P11" s="39"/>
      <c r="Q11" s="39"/>
    </row>
    <row r="12" spans="1:17">
      <c r="A12" s="37">
        <f t="shared" si="4"/>
        <v>6</v>
      </c>
      <c r="B12" s="55" t="s">
        <v>77</v>
      </c>
      <c r="C12" s="38">
        <v>20</v>
      </c>
      <c r="D12" s="40">
        <v>5</v>
      </c>
      <c r="E12" s="72" t="s">
        <v>30</v>
      </c>
      <c r="F12" s="73"/>
      <c r="G12" s="73">
        <f>15+80+27+16+21+41+22+30+25+20</f>
        <v>297</v>
      </c>
      <c r="H12" s="73">
        <f>40+100+50+30+80+40+55+90+50+40+40+20</f>
        <v>635</v>
      </c>
      <c r="I12" s="73"/>
      <c r="J12" s="73">
        <f>215+188+800+220+280+200+100+200+200+250+200+200+100+22+2700+1300+2300+1500+850+1000+1100+700+60</f>
        <v>14685</v>
      </c>
      <c r="K12" s="74">
        <f t="shared" si="0"/>
        <v>15617</v>
      </c>
      <c r="L12" s="74">
        <f t="shared" si="1"/>
        <v>15617</v>
      </c>
      <c r="M12" s="75"/>
      <c r="N12" s="56">
        <f t="shared" si="2"/>
        <v>312340</v>
      </c>
      <c r="O12" s="57">
        <f t="shared" si="3"/>
        <v>312.33999999999997</v>
      </c>
      <c r="P12" s="39"/>
      <c r="Q12" s="39"/>
    </row>
    <row r="13" spans="1:17">
      <c r="A13" s="37">
        <f t="shared" si="4"/>
        <v>7</v>
      </c>
      <c r="B13" s="55" t="s">
        <v>77</v>
      </c>
      <c r="C13" s="38">
        <v>42</v>
      </c>
      <c r="D13" s="40">
        <v>10</v>
      </c>
      <c r="E13" s="72" t="s">
        <v>30</v>
      </c>
      <c r="F13" s="73"/>
      <c r="G13" s="73">
        <f>7+17+11+8+6+12+15+15+100+200+100</f>
        <v>491</v>
      </c>
      <c r="H13" s="73">
        <f>10+30+20+15+15+25+30+40+200+200+100+100</f>
        <v>785</v>
      </c>
      <c r="I13" s="73"/>
      <c r="J13" s="73">
        <f>100+100+600+800+150+100+20+370+400+400+50+1000+1000+500</f>
        <v>5590</v>
      </c>
      <c r="K13" s="74">
        <f t="shared" si="0"/>
        <v>6866</v>
      </c>
      <c r="L13" s="74">
        <f t="shared" si="1"/>
        <v>6866</v>
      </c>
      <c r="M13" s="75"/>
      <c r="N13" s="56">
        <f t="shared" si="2"/>
        <v>288372</v>
      </c>
      <c r="O13" s="57">
        <f t="shared" si="3"/>
        <v>288.37200000000001</v>
      </c>
      <c r="P13" s="39"/>
      <c r="Q13" s="39"/>
    </row>
    <row r="14" spans="1:17">
      <c r="A14" s="37">
        <f t="shared" si="4"/>
        <v>8</v>
      </c>
      <c r="B14" s="55" t="s">
        <v>77</v>
      </c>
      <c r="C14" s="38">
        <v>85</v>
      </c>
      <c r="D14" s="40">
        <v>20</v>
      </c>
      <c r="E14" s="72" t="s">
        <v>30</v>
      </c>
      <c r="F14" s="73"/>
      <c r="G14" s="73">
        <f>6+2</f>
        <v>8</v>
      </c>
      <c r="H14" s="73">
        <f>9+3</f>
        <v>12</v>
      </c>
      <c r="I14" s="73">
        <f>200</f>
        <v>200</v>
      </c>
      <c r="J14" s="73">
        <f>40</f>
        <v>40</v>
      </c>
      <c r="K14" s="74">
        <f t="shared" si="0"/>
        <v>260</v>
      </c>
      <c r="L14" s="74">
        <f t="shared" si="1"/>
        <v>260</v>
      </c>
      <c r="M14" s="75"/>
      <c r="N14" s="56">
        <f t="shared" si="2"/>
        <v>22100</v>
      </c>
      <c r="O14" s="57">
        <f t="shared" si="3"/>
        <v>22.1</v>
      </c>
      <c r="P14" s="39"/>
      <c r="Q14" s="39"/>
    </row>
    <row r="15" spans="1:17">
      <c r="A15" s="37">
        <f t="shared" si="4"/>
        <v>9</v>
      </c>
      <c r="B15" s="55" t="s">
        <v>78</v>
      </c>
      <c r="C15" s="38">
        <v>18</v>
      </c>
      <c r="D15" s="40">
        <v>5</v>
      </c>
      <c r="E15" s="72" t="s">
        <v>30</v>
      </c>
      <c r="F15" s="73"/>
      <c r="G15" s="73">
        <f>15+25+35+30</f>
        <v>105</v>
      </c>
      <c r="H15" s="73">
        <f>50+40+70+40+20</f>
        <v>220</v>
      </c>
      <c r="I15" s="73"/>
      <c r="J15" s="73">
        <f>1900+400+1200+100+150</f>
        <v>3750</v>
      </c>
      <c r="K15" s="74">
        <f t="shared" si="0"/>
        <v>4075</v>
      </c>
      <c r="L15" s="74">
        <f t="shared" si="1"/>
        <v>4075</v>
      </c>
      <c r="M15" s="75"/>
      <c r="N15" s="56">
        <f t="shared" si="2"/>
        <v>73350</v>
      </c>
      <c r="O15" s="57">
        <f t="shared" si="3"/>
        <v>73.349999999999994</v>
      </c>
      <c r="P15" s="39"/>
      <c r="Q15" s="39"/>
    </row>
    <row r="16" spans="1:17">
      <c r="A16" s="37">
        <f t="shared" si="4"/>
        <v>10</v>
      </c>
      <c r="B16" s="55" t="s">
        <v>78</v>
      </c>
      <c r="C16" s="38">
        <v>36</v>
      </c>
      <c r="D16" s="40">
        <v>10</v>
      </c>
      <c r="E16" s="72" t="s">
        <v>30</v>
      </c>
      <c r="F16" s="73"/>
      <c r="G16" s="73">
        <f>9+12+27+20</f>
        <v>68</v>
      </c>
      <c r="H16" s="73">
        <f>18+25+40+45</f>
        <v>128</v>
      </c>
      <c r="I16" s="73"/>
      <c r="J16" s="73">
        <f>650+500+550</f>
        <v>1700</v>
      </c>
      <c r="K16" s="74">
        <f t="shared" si="0"/>
        <v>1896</v>
      </c>
      <c r="L16" s="74">
        <f t="shared" si="1"/>
        <v>1896</v>
      </c>
      <c r="M16" s="75"/>
      <c r="N16" s="56">
        <f t="shared" si="2"/>
        <v>68256</v>
      </c>
      <c r="O16" s="57">
        <f t="shared" si="3"/>
        <v>68.256</v>
      </c>
      <c r="P16" s="39"/>
      <c r="Q16" s="39"/>
    </row>
    <row r="17" spans="1:17">
      <c r="A17" s="37">
        <f t="shared" si="4"/>
        <v>11</v>
      </c>
      <c r="B17" s="55" t="s">
        <v>79</v>
      </c>
      <c r="C17" s="38">
        <v>12</v>
      </c>
      <c r="D17" s="40">
        <v>5</v>
      </c>
      <c r="E17" s="72" t="s">
        <v>30</v>
      </c>
      <c r="F17" s="73"/>
      <c r="G17" s="73">
        <f>7+61+30+16+43+6+8+35+60+200</f>
        <v>466</v>
      </c>
      <c r="H17" s="73">
        <f>15+130+34+40+100+15+10+55+110+200+100</f>
        <v>809</v>
      </c>
      <c r="I17" s="73"/>
      <c r="J17" s="73">
        <f>143+153+134+124+125+100+2700+2370+600+1400+1200+950+1200+180+50+600</f>
        <v>12029</v>
      </c>
      <c r="K17" s="74">
        <f t="shared" si="0"/>
        <v>13304</v>
      </c>
      <c r="L17" s="74">
        <f t="shared" si="1"/>
        <v>13304</v>
      </c>
      <c r="M17" s="75"/>
      <c r="N17" s="56">
        <f t="shared" si="2"/>
        <v>159648</v>
      </c>
      <c r="O17" s="57">
        <f t="shared" si="3"/>
        <v>159.648</v>
      </c>
      <c r="P17" s="39"/>
      <c r="Q17" s="39"/>
    </row>
    <row r="18" spans="1:17">
      <c r="A18" s="37">
        <f t="shared" si="4"/>
        <v>12</v>
      </c>
      <c r="B18" s="55" t="s">
        <v>80</v>
      </c>
      <c r="C18" s="38">
        <v>22</v>
      </c>
      <c r="D18" s="40">
        <v>5</v>
      </c>
      <c r="E18" s="72" t="s">
        <v>30</v>
      </c>
      <c r="F18" s="73"/>
      <c r="G18" s="73">
        <f>8+30+35+29+36+21+26+47+20+30</f>
        <v>282</v>
      </c>
      <c r="H18" s="73">
        <f>14+50+60+80+90+80+65+130+60+40+50</f>
        <v>719</v>
      </c>
      <c r="I18" s="73"/>
      <c r="J18" s="73">
        <f>200+249+161+200+133+150+181+201+157+150+600+2370+3300+3600+2000+1050+2100+360+1000+500+200</f>
        <v>18862</v>
      </c>
      <c r="K18" s="74">
        <f t="shared" si="0"/>
        <v>19863</v>
      </c>
      <c r="L18" s="74">
        <f t="shared" si="1"/>
        <v>19863</v>
      </c>
      <c r="M18" s="75"/>
      <c r="N18" s="56">
        <f t="shared" si="2"/>
        <v>436986</v>
      </c>
      <c r="O18" s="57">
        <f t="shared" si="3"/>
        <v>436.98599999999999</v>
      </c>
      <c r="P18" s="39"/>
      <c r="Q18" s="39"/>
    </row>
    <row r="19" spans="1:17">
      <c r="A19" s="37">
        <f t="shared" si="4"/>
        <v>13</v>
      </c>
      <c r="B19" s="55" t="s">
        <v>81</v>
      </c>
      <c r="C19" s="38">
        <v>18</v>
      </c>
      <c r="D19" s="40">
        <v>5</v>
      </c>
      <c r="E19" s="72" t="s">
        <v>30</v>
      </c>
      <c r="F19" s="73"/>
      <c r="G19" s="73">
        <f>118</f>
        <v>118</v>
      </c>
      <c r="H19" s="73">
        <f>215</f>
        <v>215</v>
      </c>
      <c r="I19" s="73"/>
      <c r="J19" s="73">
        <f>8000</f>
        <v>8000</v>
      </c>
      <c r="K19" s="74">
        <f t="shared" si="0"/>
        <v>8333</v>
      </c>
      <c r="L19" s="74">
        <f t="shared" si="1"/>
        <v>8333</v>
      </c>
      <c r="M19" s="75"/>
      <c r="N19" s="56">
        <f t="shared" si="2"/>
        <v>149994</v>
      </c>
      <c r="O19" s="57">
        <f t="shared" si="3"/>
        <v>149.994</v>
      </c>
      <c r="P19" s="39"/>
      <c r="Q19" s="39"/>
    </row>
    <row r="20" spans="1:17">
      <c r="A20" s="37">
        <f t="shared" si="4"/>
        <v>14</v>
      </c>
      <c r="B20" s="55" t="s">
        <v>81</v>
      </c>
      <c r="C20" s="38">
        <v>28</v>
      </c>
      <c r="D20" s="40">
        <v>10</v>
      </c>
      <c r="E20" s="72" t="s">
        <v>30</v>
      </c>
      <c r="F20" s="73"/>
      <c r="G20" s="73">
        <f>25</f>
        <v>25</v>
      </c>
      <c r="H20" s="73">
        <f>40</f>
        <v>40</v>
      </c>
      <c r="I20" s="73"/>
      <c r="J20" s="73">
        <f>850</f>
        <v>850</v>
      </c>
      <c r="K20" s="74">
        <f t="shared" si="0"/>
        <v>915</v>
      </c>
      <c r="L20" s="74">
        <f t="shared" si="1"/>
        <v>915</v>
      </c>
      <c r="M20" s="75"/>
      <c r="N20" s="56">
        <f t="shared" si="2"/>
        <v>25620</v>
      </c>
      <c r="O20" s="57">
        <f t="shared" si="3"/>
        <v>25.62</v>
      </c>
      <c r="P20" s="39"/>
      <c r="Q20" s="39"/>
    </row>
    <row r="21" spans="1:17">
      <c r="A21" s="37">
        <f t="shared" si="4"/>
        <v>15</v>
      </c>
      <c r="B21" s="55" t="s">
        <v>104</v>
      </c>
      <c r="C21" s="38">
        <v>12</v>
      </c>
      <c r="D21" s="40">
        <v>5</v>
      </c>
      <c r="E21" s="72" t="s">
        <v>30</v>
      </c>
      <c r="F21" s="73"/>
      <c r="G21" s="73">
        <f>20</f>
        <v>20</v>
      </c>
      <c r="H21" s="73">
        <f>40</f>
        <v>40</v>
      </c>
      <c r="I21" s="73"/>
      <c r="J21" s="73">
        <f>400+180+600+600+500</f>
        <v>2280</v>
      </c>
      <c r="K21" s="74">
        <f t="shared" si="0"/>
        <v>2340</v>
      </c>
      <c r="L21" s="74">
        <f t="shared" si="1"/>
        <v>2340</v>
      </c>
      <c r="M21" s="75"/>
      <c r="N21" s="56">
        <f t="shared" si="2"/>
        <v>28080</v>
      </c>
      <c r="O21" s="57">
        <f t="shared" si="3"/>
        <v>28.08</v>
      </c>
      <c r="P21" s="39"/>
      <c r="Q21" s="39"/>
    </row>
    <row r="22" spans="1:17">
      <c r="A22" s="37">
        <f t="shared" si="4"/>
        <v>16</v>
      </c>
      <c r="B22" s="55" t="s">
        <v>99</v>
      </c>
      <c r="C22" s="38">
        <v>25</v>
      </c>
      <c r="D22" s="40">
        <v>5</v>
      </c>
      <c r="E22" s="72" t="s">
        <v>30</v>
      </c>
      <c r="F22" s="73"/>
      <c r="G22" s="73">
        <f>80+15</f>
        <v>95</v>
      </c>
      <c r="H22" s="73">
        <f>130+25</f>
        <v>155</v>
      </c>
      <c r="I22" s="73"/>
      <c r="J22" s="73">
        <f>2600+340+38</f>
        <v>2978</v>
      </c>
      <c r="K22" s="74">
        <f t="shared" si="0"/>
        <v>3228</v>
      </c>
      <c r="L22" s="74">
        <f t="shared" si="1"/>
        <v>3228</v>
      </c>
      <c r="M22" s="75"/>
      <c r="N22" s="56">
        <f t="shared" si="2"/>
        <v>80700</v>
      </c>
      <c r="O22" s="57">
        <f t="shared" si="3"/>
        <v>80.7</v>
      </c>
      <c r="P22" s="39"/>
      <c r="Q22" s="39"/>
    </row>
    <row r="23" spans="1:17">
      <c r="A23" s="118" t="s">
        <v>8</v>
      </c>
      <c r="B23" s="118"/>
      <c r="C23" s="118"/>
      <c r="D23" s="118"/>
      <c r="E23" s="118"/>
      <c r="F23" s="43">
        <f t="shared" ref="F23:O23" si="9">SUM(F7:F22)</f>
        <v>0</v>
      </c>
      <c r="G23" s="43">
        <f t="shared" si="9"/>
        <v>4313</v>
      </c>
      <c r="H23" s="43">
        <f t="shared" si="9"/>
        <v>7934</v>
      </c>
      <c r="I23" s="43">
        <f t="shared" si="9"/>
        <v>200</v>
      </c>
      <c r="J23" s="43">
        <f t="shared" si="9"/>
        <v>115188</v>
      </c>
      <c r="K23" s="43">
        <f t="shared" si="9"/>
        <v>127635</v>
      </c>
      <c r="L23" s="43">
        <f t="shared" si="9"/>
        <v>127635</v>
      </c>
      <c r="M23" s="43">
        <f t="shared" si="9"/>
        <v>0</v>
      </c>
      <c r="N23" s="43">
        <f t="shared" si="9"/>
        <v>2730363.5</v>
      </c>
      <c r="O23" s="43">
        <f t="shared" si="9"/>
        <v>2730.3634999999999</v>
      </c>
      <c r="P23" s="39"/>
    </row>
    <row r="24" spans="1:17">
      <c r="A24" s="46"/>
      <c r="B24" s="46"/>
      <c r="C24" s="46"/>
      <c r="D24" s="47"/>
    </row>
    <row r="25" spans="1:17">
      <c r="A25" s="110" t="s">
        <v>4</v>
      </c>
      <c r="B25" s="110"/>
      <c r="C25" s="110"/>
      <c r="D25" s="110"/>
      <c r="E25" s="44"/>
      <c r="F25" s="44"/>
      <c r="G25" s="44"/>
      <c r="H25" s="44"/>
      <c r="I25" s="44"/>
      <c r="J25" s="44"/>
      <c r="K25" s="44"/>
      <c r="L25" s="44"/>
    </row>
    <row r="26" spans="1:17">
      <c r="A26" s="101" t="s">
        <v>6</v>
      </c>
      <c r="B26" s="101"/>
      <c r="C26" s="101"/>
      <c r="D26" s="101"/>
      <c r="E26" s="101"/>
      <c r="F26" s="101"/>
      <c r="G26" s="101"/>
      <c r="H26" s="101"/>
      <c r="I26" s="101"/>
      <c r="J26" s="101"/>
      <c r="K26" s="101"/>
      <c r="L26" s="101"/>
    </row>
    <row r="27" spans="1:17">
      <c r="A27" s="101" t="s">
        <v>7</v>
      </c>
      <c r="B27" s="101"/>
      <c r="C27" s="101"/>
      <c r="D27" s="101"/>
      <c r="E27" s="101"/>
      <c r="F27" s="101"/>
      <c r="G27" s="101"/>
      <c r="H27" s="101"/>
      <c r="I27" s="101"/>
      <c r="J27" s="101"/>
      <c r="K27" s="101"/>
      <c r="L27" s="101"/>
    </row>
    <row r="28" spans="1:17">
      <c r="A28" s="44"/>
      <c r="B28" s="44"/>
      <c r="C28" s="44"/>
      <c r="D28" s="44"/>
      <c r="E28" s="44"/>
      <c r="F28" s="44"/>
      <c r="G28" s="44"/>
      <c r="H28" s="44"/>
      <c r="I28" s="44"/>
      <c r="J28" s="44"/>
      <c r="K28" s="44"/>
      <c r="L28" s="44"/>
    </row>
    <row r="29" spans="1:17">
      <c r="A29" s="41" t="s">
        <v>9</v>
      </c>
      <c r="B29" s="41"/>
      <c r="C29" s="41"/>
      <c r="D29" s="42" t="s">
        <v>5</v>
      </c>
      <c r="E29" s="45"/>
      <c r="F29" s="45"/>
      <c r="G29" s="45"/>
      <c r="H29" s="45"/>
      <c r="I29" s="45"/>
      <c r="J29" s="45"/>
      <c r="K29" s="45"/>
      <c r="L29" s="45"/>
    </row>
    <row r="30" spans="1:17">
      <c r="A30" s="41" t="s">
        <v>3</v>
      </c>
      <c r="B30" s="62">
        <v>45534</v>
      </c>
      <c r="C30" s="42"/>
      <c r="D30" s="42" t="s">
        <v>3</v>
      </c>
      <c r="E30" s="45"/>
      <c r="F30" s="45"/>
      <c r="G30" s="45"/>
      <c r="H30" s="45"/>
      <c r="I30" s="45"/>
      <c r="J30" s="45"/>
      <c r="K30" s="45"/>
      <c r="L30" s="45"/>
    </row>
  </sheetData>
  <mergeCells count="12">
    <mergeCell ref="B1:C1"/>
    <mergeCell ref="A27:L27"/>
    <mergeCell ref="B3:D3"/>
    <mergeCell ref="B4:D4"/>
    <mergeCell ref="G5:K5"/>
    <mergeCell ref="A25:D25"/>
    <mergeCell ref="A26:L26"/>
    <mergeCell ref="D1:E1"/>
    <mergeCell ref="E3:M4"/>
    <mergeCell ref="A2:M2"/>
    <mergeCell ref="A23:E23"/>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
  <sheetViews>
    <sheetView tabSelected="1" topLeftCell="A2" zoomScaleNormal="100" workbookViewId="0">
      <selection activeCell="G4" sqref="G4:G14"/>
    </sheetView>
  </sheetViews>
  <sheetFormatPr defaultColWidth="24.21875" defaultRowHeight="14.4"/>
  <cols>
    <col min="1" max="1" width="23.88671875" bestFit="1" customWidth="1"/>
    <col min="2" max="2" width="17.77734375" bestFit="1" customWidth="1"/>
    <col min="3" max="3" width="7.88671875" bestFit="1" customWidth="1"/>
    <col min="4" max="4" width="11.33203125" bestFit="1" customWidth="1"/>
    <col min="5" max="5" width="7.21875" bestFit="1" customWidth="1"/>
    <col min="6" max="6" width="8.33203125" bestFit="1" customWidth="1"/>
    <col min="7" max="7" width="15.77734375" bestFit="1" customWidth="1"/>
    <col min="8" max="8" width="18.6640625" bestFit="1" customWidth="1"/>
  </cols>
  <sheetData>
    <row r="1" spans="1:8">
      <c r="A1" s="17" t="s">
        <v>32</v>
      </c>
      <c r="B1" s="18"/>
      <c r="C1" s="18"/>
      <c r="D1" s="19"/>
      <c r="E1" s="12"/>
      <c r="F1" s="12"/>
      <c r="G1" s="7" t="s">
        <v>16</v>
      </c>
      <c r="H1" s="76">
        <f>Declaration!C10</f>
        <v>45521</v>
      </c>
    </row>
    <row r="2" spans="1:8">
      <c r="A2" s="3" t="s">
        <v>11</v>
      </c>
      <c r="B2" s="85" t="str">
        <f>Declaration!C3</f>
        <v>MZ PRINTING AND PACKAGING</v>
      </c>
      <c r="C2" s="85"/>
      <c r="D2" s="19"/>
      <c r="E2" s="12"/>
      <c r="F2" s="12"/>
      <c r="G2" s="7" t="s">
        <v>18</v>
      </c>
      <c r="H2" s="77">
        <f>Declaration!C12</f>
        <v>45534</v>
      </c>
    </row>
    <row r="3" spans="1:8" ht="24">
      <c r="A3" s="58" t="s">
        <v>33</v>
      </c>
      <c r="B3" s="58" t="s">
        <v>41</v>
      </c>
      <c r="C3" s="58" t="s">
        <v>39</v>
      </c>
      <c r="D3" s="20" t="s">
        <v>34</v>
      </c>
      <c r="E3" s="21" t="s">
        <v>35</v>
      </c>
      <c r="F3" s="20" t="s">
        <v>36</v>
      </c>
      <c r="G3" s="21" t="s">
        <v>37</v>
      </c>
      <c r="H3" s="22" t="s">
        <v>38</v>
      </c>
    </row>
    <row r="4" spans="1:8">
      <c r="A4" s="59">
        <v>1</v>
      </c>
      <c r="B4" s="60" t="s">
        <v>87</v>
      </c>
      <c r="C4" s="48">
        <v>1</v>
      </c>
      <c r="D4" s="80">
        <v>45521</v>
      </c>
      <c r="E4" s="81" t="s">
        <v>89</v>
      </c>
      <c r="F4" s="81" t="s">
        <v>90</v>
      </c>
      <c r="G4" s="122" t="s">
        <v>112</v>
      </c>
      <c r="H4" s="61"/>
    </row>
    <row r="5" spans="1:8">
      <c r="A5" s="59">
        <f>A4+1</f>
        <v>2</v>
      </c>
      <c r="B5" s="60" t="s">
        <v>88</v>
      </c>
      <c r="C5" s="48">
        <v>1</v>
      </c>
      <c r="D5" s="80">
        <v>45524</v>
      </c>
      <c r="E5" s="81" t="s">
        <v>91</v>
      </c>
      <c r="F5" s="81" t="s">
        <v>90</v>
      </c>
      <c r="G5" s="122" t="s">
        <v>112</v>
      </c>
      <c r="H5" s="61"/>
    </row>
    <row r="6" spans="1:8">
      <c r="A6" s="59">
        <f t="shared" ref="A6:A14" si="0">A5+1</f>
        <v>3</v>
      </c>
      <c r="B6" s="60" t="s">
        <v>87</v>
      </c>
      <c r="C6" s="48">
        <v>1</v>
      </c>
      <c r="D6" s="80">
        <v>45525</v>
      </c>
      <c r="E6" s="81" t="s">
        <v>92</v>
      </c>
      <c r="F6" s="81" t="s">
        <v>90</v>
      </c>
      <c r="G6" s="122" t="s">
        <v>112</v>
      </c>
      <c r="H6" s="61"/>
    </row>
    <row r="7" spans="1:8">
      <c r="A7" s="59">
        <f t="shared" si="0"/>
        <v>4</v>
      </c>
      <c r="B7" s="60" t="s">
        <v>87</v>
      </c>
      <c r="C7" s="48">
        <v>1</v>
      </c>
      <c r="D7" s="80">
        <v>45526</v>
      </c>
      <c r="E7" s="81" t="s">
        <v>94</v>
      </c>
      <c r="F7" s="81" t="s">
        <v>90</v>
      </c>
      <c r="G7" s="122" t="s">
        <v>112</v>
      </c>
      <c r="H7" s="61"/>
    </row>
    <row r="8" spans="1:8">
      <c r="A8" s="59">
        <f t="shared" si="0"/>
        <v>5</v>
      </c>
      <c r="B8" s="60" t="s">
        <v>87</v>
      </c>
      <c r="C8" s="48">
        <v>1</v>
      </c>
      <c r="D8" s="80">
        <v>45527</v>
      </c>
      <c r="E8" s="81" t="s">
        <v>94</v>
      </c>
      <c r="F8" s="81" t="s">
        <v>90</v>
      </c>
      <c r="G8" s="122" t="s">
        <v>112</v>
      </c>
      <c r="H8" s="61"/>
    </row>
    <row r="9" spans="1:8">
      <c r="A9" s="59">
        <f t="shared" si="0"/>
        <v>6</v>
      </c>
      <c r="B9" s="60" t="s">
        <v>87</v>
      </c>
      <c r="C9" s="48">
        <v>1</v>
      </c>
      <c r="D9" s="80">
        <v>45528</v>
      </c>
      <c r="E9" s="81" t="s">
        <v>95</v>
      </c>
      <c r="F9" s="81" t="s">
        <v>90</v>
      </c>
      <c r="G9" s="122" t="s">
        <v>112</v>
      </c>
      <c r="H9" s="61"/>
    </row>
    <row r="10" spans="1:8">
      <c r="A10" s="59">
        <f t="shared" si="0"/>
        <v>7</v>
      </c>
      <c r="B10" s="60" t="s">
        <v>87</v>
      </c>
      <c r="C10" s="48">
        <v>1</v>
      </c>
      <c r="D10" s="80">
        <v>45530</v>
      </c>
      <c r="E10" s="81" t="s">
        <v>96</v>
      </c>
      <c r="F10" s="81" t="s">
        <v>97</v>
      </c>
      <c r="G10" s="122" t="s">
        <v>112</v>
      </c>
      <c r="H10" s="61"/>
    </row>
    <row r="11" spans="1:8">
      <c r="A11" s="59">
        <f t="shared" si="0"/>
        <v>8</v>
      </c>
      <c r="B11" s="60" t="s">
        <v>87</v>
      </c>
      <c r="C11" s="48">
        <v>1</v>
      </c>
      <c r="D11" s="80">
        <v>45531</v>
      </c>
      <c r="E11" s="81" t="s">
        <v>98</v>
      </c>
      <c r="F11" s="81" t="s">
        <v>100</v>
      </c>
      <c r="G11" s="122" t="s">
        <v>112</v>
      </c>
      <c r="H11" s="61"/>
    </row>
    <row r="12" spans="1:8">
      <c r="A12" s="59">
        <f t="shared" si="0"/>
        <v>9</v>
      </c>
      <c r="B12" s="60" t="s">
        <v>87</v>
      </c>
      <c r="C12" s="48">
        <v>1</v>
      </c>
      <c r="D12" s="80">
        <v>45532</v>
      </c>
      <c r="E12" s="81" t="s">
        <v>98</v>
      </c>
      <c r="F12" s="81" t="s">
        <v>100</v>
      </c>
      <c r="G12" s="122" t="s">
        <v>112</v>
      </c>
      <c r="H12" s="61"/>
    </row>
    <row r="13" spans="1:8">
      <c r="A13" s="59">
        <f t="shared" si="0"/>
        <v>10</v>
      </c>
      <c r="B13" s="60" t="s">
        <v>88</v>
      </c>
      <c r="C13" s="48">
        <v>0.5</v>
      </c>
      <c r="D13" s="80">
        <v>45533</v>
      </c>
      <c r="E13" s="81" t="s">
        <v>102</v>
      </c>
      <c r="F13" s="81" t="s">
        <v>101</v>
      </c>
      <c r="G13" s="122" t="s">
        <v>112</v>
      </c>
      <c r="H13" s="61"/>
    </row>
    <row r="14" spans="1:8">
      <c r="A14" s="59">
        <f t="shared" si="0"/>
        <v>11</v>
      </c>
      <c r="B14" s="60" t="s">
        <v>88</v>
      </c>
      <c r="C14" s="48">
        <v>1</v>
      </c>
      <c r="D14" s="80">
        <v>45534</v>
      </c>
      <c r="E14" s="81" t="s">
        <v>91</v>
      </c>
      <c r="F14" s="81" t="s">
        <v>108</v>
      </c>
      <c r="G14" s="122" t="s">
        <v>112</v>
      </c>
      <c r="H14" s="61"/>
    </row>
    <row r="15" spans="1:8">
      <c r="B15" s="78" t="s">
        <v>68</v>
      </c>
      <c r="C15" s="79">
        <f>SUM(C4:C14)</f>
        <v>10.5</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13"/>
  <sheetViews>
    <sheetView zoomScale="96" zoomScaleNormal="96" workbookViewId="0">
      <selection activeCell="L22" sqref="L22"/>
    </sheetView>
  </sheetViews>
  <sheetFormatPr defaultColWidth="10" defaultRowHeight="14.4"/>
  <cols>
    <col min="1" max="1" width="5.44140625" bestFit="1" customWidth="1"/>
    <col min="2" max="2" width="43.5546875" customWidth="1"/>
    <col min="3" max="3" width="26.77734375" bestFit="1" customWidth="1"/>
    <col min="4" max="4" width="16.5546875" bestFit="1" customWidth="1"/>
    <col min="5" max="5" width="7.77734375" bestFit="1" customWidth="1"/>
    <col min="6" max="6" width="12.6640625" bestFit="1" customWidth="1"/>
    <col min="7" max="7" width="11.109375" bestFit="1" customWidth="1"/>
    <col min="8" max="8" width="10.44140625" bestFit="1" customWidth="1"/>
    <col min="9" max="9" width="7.6640625" bestFit="1" customWidth="1"/>
    <col min="10" max="10" width="20.21875" customWidth="1"/>
  </cols>
  <sheetData>
    <row r="2" spans="1:11">
      <c r="B2" s="65">
        <f>Declaration!C10</f>
        <v>45521</v>
      </c>
      <c r="C2" s="66" t="str">
        <f>Declaration!C3</f>
        <v>MZ PRINTING AND PACKAGING</v>
      </c>
    </row>
    <row r="3" spans="1:11">
      <c r="A3" s="50" t="s">
        <v>40</v>
      </c>
      <c r="B3" s="54" t="s">
        <v>72</v>
      </c>
      <c r="C3" s="51" t="s">
        <v>52</v>
      </c>
      <c r="D3" s="50" t="s">
        <v>42</v>
      </c>
      <c r="E3" s="68" t="s">
        <v>83</v>
      </c>
      <c r="F3" s="68" t="s">
        <v>84</v>
      </c>
      <c r="G3" s="68" t="s">
        <v>85</v>
      </c>
      <c r="H3" s="68" t="s">
        <v>86</v>
      </c>
      <c r="I3" s="50" t="s">
        <v>43</v>
      </c>
    </row>
    <row r="4" spans="1:11">
      <c r="A4" s="24">
        <v>1</v>
      </c>
      <c r="B4" s="24" t="s">
        <v>82</v>
      </c>
      <c r="C4" s="25">
        <f>17.74+19.8+18.14+16.02+20.78+17.4+18.1+13.9+20.2+17.72+18.2+20.9+16.92+16.82+16.5+16.48+18+19.3+20.2+21.06+15.08+17.8+14.88+17.12+17.02+17.2+15.08+21.32+18.8+18.86+17.6+13.2+22.36+20.76+16.9+19.46+18.36+18.94+17.52+19.8+11.9+9.94+17.56+13.42+20.5+21.3+21.4+20.9+18.35</f>
        <v>877.50999999999988</v>
      </c>
      <c r="D4" s="24">
        <v>49</v>
      </c>
      <c r="E4" s="69">
        <v>20</v>
      </c>
      <c r="F4" s="69">
        <f t="shared" ref="F4:F7" si="0">C4*E4</f>
        <v>17550.199999999997</v>
      </c>
      <c r="G4" s="69">
        <v>0</v>
      </c>
      <c r="H4" s="70">
        <f t="shared" ref="H4:H7" si="1">F4-G4</f>
        <v>17550.199999999997</v>
      </c>
      <c r="I4" s="24"/>
    </row>
    <row r="5" spans="1:11">
      <c r="A5" s="24">
        <f>A4+1</f>
        <v>2</v>
      </c>
      <c r="B5" s="24" t="s">
        <v>77</v>
      </c>
      <c r="C5" s="25">
        <f>21.32+20.48+19.6+17.14+21.1+19.92+18.94+16.86+17.32+19.94+19.66+17.82+23.02+19.42+21.34+17.96+18.1+21.3+19.64+11.32+20.32+21.64+17.74+21.1+20.3+20.5+15.2</f>
        <v>519</v>
      </c>
      <c r="D5" s="24">
        <v>27</v>
      </c>
      <c r="E5" s="69">
        <v>20</v>
      </c>
      <c r="F5" s="69">
        <f t="shared" si="0"/>
        <v>10380</v>
      </c>
      <c r="G5" s="69">
        <v>0</v>
      </c>
      <c r="H5" s="70">
        <f t="shared" si="1"/>
        <v>10380</v>
      </c>
      <c r="I5" s="24"/>
    </row>
    <row r="6" spans="1:11">
      <c r="A6" s="24">
        <f t="shared" ref="A6:A7" si="2">A5+1</f>
        <v>3</v>
      </c>
      <c r="B6" s="24" t="s">
        <v>78</v>
      </c>
      <c r="C6" s="25">
        <f>35.7+47+25.6+18.3</f>
        <v>126.60000000000001</v>
      </c>
      <c r="D6" s="24">
        <v>4</v>
      </c>
      <c r="E6" s="69">
        <v>20</v>
      </c>
      <c r="F6" s="69">
        <f t="shared" si="0"/>
        <v>2532</v>
      </c>
      <c r="G6" s="69">
        <v>0</v>
      </c>
      <c r="H6" s="70">
        <f t="shared" si="1"/>
        <v>2532</v>
      </c>
      <c r="I6" s="24"/>
    </row>
    <row r="7" spans="1:11">
      <c r="A7" s="24">
        <f t="shared" si="2"/>
        <v>4</v>
      </c>
      <c r="B7" s="24" t="s">
        <v>111</v>
      </c>
      <c r="C7" s="25">
        <f>13.9+5.06+7.5+5.16+7.34+10.78+8.3+6.08+5.72+5+5.56+5.4+9.02+9.4+9.5+10.74+8.52+8.96+7.56+5.76+4.6+9+7.9+6.2+8.96+8.22+8.92+8.58+9.4+7.26+8.02+8.54+6.2+7.26+5.38+6.08+6.86+5.86+8.46+8.4+8.46+5.56+7.2+10.06+6.56+8.64+7.52+6.88+5.88+7.98+6.74+5.92+7+25.08+4.28+24.42+23.5+23.8+21.04+28.72+39.74+33.9+17.74+18.14+25.9+25.32+28.66+12.26+19.42+5.36+30.4+31.5+30.4</f>
        <v>869.3399999999998</v>
      </c>
      <c r="D7" s="24">
        <v>75</v>
      </c>
      <c r="E7" s="69">
        <v>10</v>
      </c>
      <c r="F7" s="69">
        <f t="shared" si="0"/>
        <v>8693.3999999999978</v>
      </c>
      <c r="G7" s="69">
        <v>0</v>
      </c>
      <c r="H7" s="70">
        <f t="shared" si="1"/>
        <v>8693.3999999999978</v>
      </c>
      <c r="I7" s="24"/>
    </row>
    <row r="8" spans="1:11">
      <c r="A8" s="11"/>
      <c r="B8" s="11" t="s">
        <v>44</v>
      </c>
      <c r="C8" s="49">
        <f>SUM(C4:C7)</f>
        <v>2392.4499999999994</v>
      </c>
      <c r="D8" s="63">
        <f>SUM(D4:D7)</f>
        <v>155</v>
      </c>
      <c r="E8" s="71"/>
      <c r="F8" s="71">
        <f>SUM(F4:F7)</f>
        <v>39155.599999999991</v>
      </c>
      <c r="G8" s="71">
        <f>SUM(G4:G7)</f>
        <v>0</v>
      </c>
      <c r="H8" s="71">
        <f>SUM(H4:H7)</f>
        <v>39155.599999999991</v>
      </c>
      <c r="I8" s="24"/>
    </row>
    <row r="10" spans="1:11" ht="28.8">
      <c r="B10" s="67" t="s">
        <v>53</v>
      </c>
      <c r="K10" s="23"/>
    </row>
    <row r="13" spans="1:11">
      <c r="B13" t="s">
        <v>31</v>
      </c>
    </row>
  </sheetData>
  <pageMargins left="0.7" right="0.7" top="0.75" bottom="0.75" header="0.3" footer="0.3"/>
  <pageSetup paperSize="9" fitToWidth="0"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BC63A8-6981-45C2-A473-37306D3BAA09}">
  <ds:schemaRefs>
    <ds:schemaRef ds:uri="26f0e883-195c-4097-964b-4652bc177b58"/>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www.w3.org/XML/1998/namespace"/>
    <ds:schemaRef ds:uri="http://schemas.microsoft.com/office/2006/metadata/properties"/>
    <ds:schemaRef ds:uri="http://purl.org/dc/terms/"/>
    <ds:schemaRef ds:uri="fa66f92d-833a-4cb8-a712-221909bdb10d"/>
    <ds:schemaRef ds:uri="http://purl.org/dc/dcmitype/"/>
  </ds:schemaRefs>
</ds:datastoreItem>
</file>

<file path=customXml/itemProps3.xml><?xml version="1.0" encoding="utf-8"?>
<ds:datastoreItem xmlns:ds="http://schemas.openxmlformats.org/officeDocument/2006/customXml" ds:itemID="{687618BF-4687-456E-9C4B-C593496D95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cp:lastPrinted>2024-08-30T10:58:21Z</cp:lastPrinted>
  <dcterms:created xsi:type="dcterms:W3CDTF">2018-09-14T16:50:16Z</dcterms:created>
  <dcterms:modified xsi:type="dcterms:W3CDTF">2024-08-30T11:07:30Z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