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BDS\OneDrive\Desktop\YELLOW DAIMOND'S\"/>
    </mc:Choice>
  </mc:AlternateContent>
  <xr:revisionPtr revIDLastSave="0" documentId="13_ncr:1_{916EAD67-BF1F-4A4A-A55B-9E06F01E708A}" xr6:coauthVersionLast="47" xr6:coauthVersionMax="47" xr10:uidLastSave="{00000000-0000-0000-0000-000000000000}"/>
  <bookViews>
    <workbookView xWindow="-108" yWindow="-108" windowWidth="23256" windowHeight="13176" activeTab="1"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Sheet'!$A$2:$O$26</definedName>
    <definedName name="_xlnm._FilterDatabase" localSheetId="3" hidden="1">'Scrap stock detail'!$A$3:$H$9</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Sheet'!$A$1:$P$33</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4" l="1"/>
  <c r="G7" i="2"/>
  <c r="H7" i="2"/>
  <c r="G8" i="2"/>
  <c r="H8" i="2"/>
  <c r="H9" i="2"/>
  <c r="G10" i="2"/>
  <c r="H10" i="2"/>
  <c r="G11" i="2"/>
  <c r="H11" i="2"/>
  <c r="H12" i="2"/>
  <c r="H13" i="2"/>
  <c r="G14" i="2"/>
  <c r="H14" i="2"/>
  <c r="G15" i="2"/>
  <c r="H15" i="2"/>
  <c r="G16" i="2"/>
  <c r="H16" i="2"/>
  <c r="G17" i="2"/>
  <c r="H17" i="2"/>
  <c r="G19" i="2"/>
  <c r="H19" i="2"/>
  <c r="G20" i="2"/>
  <c r="H20" i="2"/>
  <c r="H21" i="2"/>
  <c r="G24" i="2"/>
  <c r="H24" i="2"/>
  <c r="C7" i="4"/>
  <c r="C6" i="4"/>
  <c r="C5" i="4"/>
  <c r="J16" i="2"/>
  <c r="J15" i="2"/>
  <c r="J10" i="2"/>
  <c r="J24" i="2"/>
  <c r="J19" i="2"/>
  <c r="J7" i="2"/>
  <c r="C6" i="3" l="1"/>
  <c r="A23" i="2" l="1"/>
  <c r="K23" i="2"/>
  <c r="L23" i="2" s="1"/>
  <c r="J20" i="2"/>
  <c r="J11" i="2"/>
  <c r="K10" i="2"/>
  <c r="L10" i="2" s="1"/>
  <c r="J22" i="2"/>
  <c r="K22" i="2" s="1"/>
  <c r="L22" i="2" s="1"/>
  <c r="J21" i="2"/>
  <c r="K25" i="2"/>
  <c r="N25" i="2" s="1"/>
  <c r="O25" i="2" s="1"/>
  <c r="J8" i="2"/>
  <c r="J14" i="2"/>
  <c r="J18" i="2"/>
  <c r="J13" i="2"/>
  <c r="J17" i="2"/>
  <c r="J9" i="2"/>
  <c r="J12" i="2"/>
  <c r="K11" i="2"/>
  <c r="N11" i="2" s="1"/>
  <c r="O11" i="2" s="1"/>
  <c r="F7" i="4"/>
  <c r="H7" i="4" s="1"/>
  <c r="F6" i="4"/>
  <c r="H6" i="4" s="1"/>
  <c r="F5" i="4"/>
  <c r="H5" i="4" s="1"/>
  <c r="F4" i="4"/>
  <c r="H4" i="4" s="1"/>
  <c r="K18" i="2"/>
  <c r="N18" i="2" s="1"/>
  <c r="O18" i="2" s="1"/>
  <c r="G9" i="4"/>
  <c r="N23" i="2" l="1"/>
  <c r="O23" i="2" s="1"/>
  <c r="L25" i="2"/>
  <c r="K24" i="2"/>
  <c r="N24" i="2" s="1"/>
  <c r="O24" i="2" s="1"/>
  <c r="K20" i="2"/>
  <c r="L20" i="2" s="1"/>
  <c r="K8" i="2"/>
  <c r="L8" i="2" s="1"/>
  <c r="K17" i="2"/>
  <c r="N17" i="2" s="1"/>
  <c r="O17" i="2" s="1"/>
  <c r="K21" i="2"/>
  <c r="N21" i="2" s="1"/>
  <c r="O21" i="2" s="1"/>
  <c r="K12" i="2"/>
  <c r="L12" i="2" s="1"/>
  <c r="K14" i="2"/>
  <c r="L14" i="2" s="1"/>
  <c r="K13" i="2"/>
  <c r="L13" i="2" s="1"/>
  <c r="K9" i="2"/>
  <c r="L9" i="2" s="1"/>
  <c r="K15" i="2"/>
  <c r="N15" i="2" s="1"/>
  <c r="O15" i="2" s="1"/>
  <c r="K19" i="2"/>
  <c r="N19" i="2" s="1"/>
  <c r="O19" i="2" s="1"/>
  <c r="K16" i="2"/>
  <c r="N16" i="2" s="1"/>
  <c r="O16" i="2" s="1"/>
  <c r="N22" i="2"/>
  <c r="O22" i="2" s="1"/>
  <c r="N20" i="2"/>
  <c r="O20" i="2" s="1"/>
  <c r="L18" i="2"/>
  <c r="L11" i="2"/>
  <c r="N10" i="2"/>
  <c r="O10" i="2" s="1"/>
  <c r="H9" i="4"/>
  <c r="F9" i="4"/>
  <c r="D9" i="4"/>
  <c r="D23" i="1" s="1"/>
  <c r="C9" i="4"/>
  <c r="J26" i="2"/>
  <c r="I26" i="2"/>
  <c r="H26" i="2"/>
  <c r="G26" i="2"/>
  <c r="F26" i="2"/>
  <c r="N8" i="2" l="1"/>
  <c r="O8" i="2" s="1"/>
  <c r="N9" i="2"/>
  <c r="O9" i="2" s="1"/>
  <c r="N13" i="2"/>
  <c r="O13" i="2" s="1"/>
  <c r="L24" i="2"/>
  <c r="L17" i="2"/>
  <c r="L21" i="2"/>
  <c r="N14" i="2"/>
  <c r="O14" i="2" s="1"/>
  <c r="N12" i="2"/>
  <c r="O12" i="2" s="1"/>
  <c r="L15" i="2"/>
  <c r="L19" i="2"/>
  <c r="L16" i="2"/>
  <c r="H1" i="3"/>
  <c r="B2" i="3"/>
  <c r="C2" i="4"/>
  <c r="B2" i="4"/>
  <c r="B30" i="1"/>
  <c r="C30" i="1"/>
  <c r="D30" i="1"/>
  <c r="B5" i="2"/>
  <c r="B3" i="2"/>
  <c r="K7" i="2"/>
  <c r="N7" i="2" s="1"/>
  <c r="O7" i="2" s="1"/>
  <c r="C19" i="1"/>
  <c r="C17" i="1"/>
  <c r="L7" i="2" l="1"/>
  <c r="A5" i="4"/>
  <c r="A6" i="4" s="1"/>
  <c r="A7" i="4" s="1"/>
  <c r="A8" i="2"/>
  <c r="A9" i="2" s="1"/>
  <c r="A10" i="2" s="1"/>
  <c r="A11" i="2" s="1"/>
  <c r="A12" i="2" s="1"/>
  <c r="A13" i="2" s="1"/>
  <c r="A14" i="2" s="1"/>
  <c r="A15" i="2" s="1"/>
  <c r="A16" i="2" s="1"/>
  <c r="A17" i="2" s="1"/>
  <c r="A18" i="2" s="1"/>
  <c r="A19" i="2" s="1"/>
  <c r="A20" i="2" s="1"/>
  <c r="A21" i="2" s="1"/>
  <c r="A22" i="2" s="1"/>
  <c r="A24" i="2" s="1"/>
  <c r="A25" i="2" s="1"/>
  <c r="C18" i="1" l="1"/>
  <c r="C20" i="1"/>
  <c r="L26" i="2" l="1"/>
  <c r="K26" i="2"/>
  <c r="C21" i="1"/>
  <c r="N26" i="2"/>
  <c r="O26" i="2" l="1"/>
  <c r="H2" i="3"/>
</calcChain>
</file>

<file path=xl/sharedStrings.xml><?xml version="1.0" encoding="utf-8"?>
<sst xmlns="http://schemas.openxmlformats.org/spreadsheetml/2006/main" count="144" uniqueCount="107">
  <si>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</si>
  <si>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</si>
  <si>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</si>
  <si>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</si>
  <si>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</si>
  <si>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</si>
  <si>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</si>
  <si>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</si>
  <si>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</si>
  <si>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</si>
  <si>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</si>
  <si>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</si>
  <si>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</si>
  <si>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</si>
  <si>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</si>
  <si>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</si>
  <si>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</si>
  <si>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</si>
  <si>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</si>
  <si>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</si>
  <si>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</si>
  <si>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</si>
  <si>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</si>
  <si>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</si>
  <si>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</si>
  <si>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</si>
  <si>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</si>
  <si>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</si>
  <si>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</si>
  <si>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</si>
  <si>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</si>
  <si>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</si>
  <si>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</si>
  <si>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</si>
  <si>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</si>
  <si>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</si>
  <si>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</si>
  <si>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</si>
  <si>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</si>
  <si>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</si>
  <si>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</si>
  <si>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</si>
  <si>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</si>
  <si>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</si>
  <si>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</si>
  <si>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</si>
  <si>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</si>
  <si>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</si>
  <si>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</si>
  <si>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</si>
  <si>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</si>
  <si>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</si>
  <si>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</si>
  <si>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</si>
  <si>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</si>
  <si>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</si>
  <si>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</si>
  <si>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</si>
  <si>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</si>
  <si>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</si>
  <si>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</si>
  <si>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</si>
  <si>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</si>
  <si>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</si>
  <si>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</si>
  <si>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</si>
  <si>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</si>
  <si>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</si>
  <si>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</si>
  <si>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</si>
  <si>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</si>
  <si>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</si>
  <si>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</si>
  <si>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</si>
  <si>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Rate/KG</t>
  </si>
  <si>
    <t>Scrap Amount</t>
  </si>
  <si>
    <t>Pay Amount</t>
  </si>
  <si>
    <t>Balance</t>
  </si>
  <si>
    <t>Remarks</t>
  </si>
  <si>
    <t>Chips</t>
  </si>
  <si>
    <t>Chulbule</t>
  </si>
  <si>
    <t>Namkeen</t>
  </si>
  <si>
    <t>CHIPS</t>
  </si>
  <si>
    <t>CHULBULE</t>
  </si>
  <si>
    <t>PUFF</t>
  </si>
  <si>
    <t>STIX</t>
  </si>
  <si>
    <t>CAKE</t>
  </si>
  <si>
    <t>NAMKEEN</t>
  </si>
  <si>
    <t>Pcs</t>
  </si>
  <si>
    <t>Date:-</t>
  </si>
  <si>
    <t>PARTY TOY</t>
  </si>
  <si>
    <t>RING</t>
  </si>
  <si>
    <t>AVADH</t>
  </si>
  <si>
    <t>POPCORN</t>
  </si>
  <si>
    <t>MINI BITES</t>
  </si>
  <si>
    <t>CORN FLAKES</t>
  </si>
  <si>
    <t>wow puff</t>
  </si>
  <si>
    <t>SHREE JI ENTERPRISES</t>
  </si>
  <si>
    <t>4/15 GROUND FLOOR ASHOK NAGAR NEW DELHI 110018</t>
  </si>
  <si>
    <t>RAJEEV KUMAR</t>
  </si>
  <si>
    <t>KAPIL CHADHA</t>
  </si>
  <si>
    <t>N/A</t>
  </si>
  <si>
    <t>10:00AM</t>
  </si>
  <si>
    <t>06:00PM</t>
  </si>
  <si>
    <t>06:30PM</t>
  </si>
  <si>
    <t>avdh,puff,cake,ring,popcorn</t>
  </si>
  <si>
    <t>mini bites,corn flakes,party toy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</si>
</sst>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5" x14ac:knownFonts="1">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9"/>
      <color rgb="FF000000"/>
      <name val="Arial"/>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37">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6" fillId="0" borderId="0" xfId="0" applyFont="1" applyAlignment="1">
      <alignment horizontal="center" vertical="top"/>
    </xf>
    <xf numFmtId="0" fontId="28" fillId="5" borderId="2" xfId="0" applyFont="1" applyFill="1" applyBorder="1" applyAlignment="1">
      <alignment horizontal="center" vertical="center"/>
    </xf>
    <xf numFmtId="166" fontId="26" fillId="7" borderId="1" xfId="0" applyNumberFormat="1" applyFont="1" applyFill="1" applyBorder="1" applyAlignment="1">
      <alignment vertical="top"/>
    </xf>
    <xf numFmtId="166" fontId="26" fillId="0" borderId="15" xfId="0" applyNumberFormat="1" applyFont="1" applyBorder="1" applyAlignment="1">
      <alignment vertical="top"/>
    </xf>
    <xf numFmtId="0" fontId="28" fillId="8"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5" borderId="1" xfId="0" applyFont="1" applyFill="1" applyBorder="1" applyAlignment="1">
      <alignment horizontal="center" vertical="top" wrapText="1"/>
    </xf>
    <xf numFmtId="0" fontId="26" fillId="0" borderId="0" xfId="0" applyFont="1" applyAlignment="1">
      <alignment horizontal="center" vertical="top" wrapText="1"/>
    </xf>
    <xf numFmtId="0" fontId="29" fillId="0" borderId="1" xfId="4" applyFont="1" applyBorder="1" applyAlignment="1" applyProtection="1">
      <alignment horizontal="center" vertical="top"/>
    </xf>
    <xf numFmtId="0" fontId="26" fillId="0" borderId="1" xfId="0" applyFont="1" applyBorder="1" applyAlignment="1">
      <alignment horizontal="center" vertical="center" wrapText="1"/>
    </xf>
    <xf numFmtId="43" fontId="26" fillId="0" borderId="1" xfId="3" applyFont="1" applyBorder="1" applyAlignment="1" applyProtection="1">
      <alignment horizontal="center" vertical="center" wrapText="1"/>
    </xf>
    <xf numFmtId="164" fontId="26" fillId="0" borderId="1" xfId="0" applyNumberFormat="1" applyFont="1" applyBorder="1" applyAlignment="1">
      <alignment horizontal="center" vertical="center" wrapText="1"/>
    </xf>
    <xf numFmtId="43" fontId="26" fillId="0" borderId="0" xfId="0" applyNumberFormat="1" applyFont="1" applyAlignment="1">
      <alignment horizontal="center" vertical="top"/>
    </xf>
    <xf numFmtId="0" fontId="26" fillId="0" borderId="1" xfId="0" applyFont="1" applyBorder="1" applyAlignment="1">
      <alignment horizontal="center" vertical="top"/>
    </xf>
    <xf numFmtId="0" fontId="28" fillId="0" borderId="1" xfId="0" applyFont="1" applyBorder="1">
      <alignment vertical="center"/>
    </xf>
    <xf numFmtId="0" fontId="28" fillId="0" borderId="1" xfId="0" applyFont="1" applyBorder="1" applyAlignment="1">
      <alignment horizontal="center" vertical="center"/>
    </xf>
    <xf numFmtId="43" fontId="28" fillId="10" borderId="1" xfId="3" applyFont="1" applyFill="1" applyBorder="1" applyAlignment="1" applyProtection="1">
      <alignment horizontal="center" vertical="top"/>
    </xf>
    <xf numFmtId="0" fontId="28" fillId="0" borderId="0" xfId="0" applyFont="1" applyAlignment="1">
      <alignment horizontal="center" vertical="top"/>
    </xf>
    <xf numFmtId="0" fontId="28" fillId="0" borderId="0" xfId="0" applyFont="1">
      <alignment vertical="center"/>
    </xf>
    <xf numFmtId="0" fontId="26" fillId="0" borderId="17" xfId="0" applyFont="1" applyBorder="1" applyAlignment="1">
      <alignment horizontal="center" vertical="top"/>
    </xf>
    <xf numFmtId="0" fontId="26" fillId="0" borderId="18" xfId="0" applyFont="1" applyBorder="1" applyAlignment="1">
      <alignment horizontal="center" vertical="top"/>
    </xf>
    <xf numFmtId="167" fontId="29" fillId="0" borderId="1" xfId="3" applyNumberFormat="1" applyFont="1" applyBorder="1">
      <protection locked="0"/>
    </xf>
    <xf numFmtId="0" fontId="18" fillId="0" borderId="1" xfId="5" applyFont="1" applyBorder="1" applyAlignment="1" applyProtection="1">
      <alignment vertical="center"/>
    </xf>
    <xf numFmtId="0" fontId="32" fillId="0" borderId="1" xfId="5" applyFont="1" applyBorder="1" applyAlignment="1" applyProtection="1">
      <alignment vertical="center" wrapText="1"/>
    </xf>
    <xf numFmtId="168" fontId="13" fillId="0" borderId="1" xfId="0" applyNumberFormat="1" applyFont="1" applyBorder="1" applyAlignment="1"/>
    <xf numFmtId="169" fontId="17" fillId="11" borderId="1" xfId="5" applyNumberFormat="1" applyFont="1" applyFill="1" applyBorder="1" applyProtection="1"/>
    <xf numFmtId="0" fontId="23" fillId="13" borderId="0" xfId="0" applyFont="1" applyFill="1">
      <alignment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3" fillId="14" borderId="7" xfId="0" applyFont="1" applyFill="1" applyBorder="1" applyAlignment="1">
      <alignment horizontal="left" vertical="top"/>
    </xf>
    <xf numFmtId="0" fontId="33"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171" fontId="31" fillId="0" borderId="1" xfId="0" applyNumberFormat="1" applyFont="1" applyBorder="1" applyAlignment="1">
      <alignment horizontal="center"/>
    </xf>
    <xf numFmtId="170" fontId="17" fillId="0" borderId="1" xfId="5" applyNumberFormat="1" applyFont="1" applyBorder="1" applyAlignment="1" applyProtection="1">
      <alignment horizontal="center" vertical="center" wrapText="1"/>
    </xf>
    <xf numFmtId="0" fontId="27" fillId="0" borderId="1" xfId="4" applyFont="1" applyBorder="1" applyAlignment="1" applyProtection="1">
      <alignment horizontal="left" vertical="top"/>
    </xf>
    <xf numFmtId="165" fontId="28" fillId="15" borderId="1" xfId="3" applyNumberFormat="1" applyFont="1" applyFill="1" applyBorder="1" applyAlignment="1" applyProtection="1">
      <alignment horizontal="center" vertical="center" wrapText="1"/>
    </xf>
    <xf numFmtId="165" fontId="28" fillId="15" borderId="1" xfId="3" applyNumberFormat="1" applyFont="1" applyFill="1" applyBorder="1" applyAlignment="1" applyProtection="1">
      <alignment horizontal="center" vertical="top"/>
    </xf>
    <xf numFmtId="43" fontId="28"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4" fillId="0" borderId="1" xfId="3" applyFont="1" applyBorder="1" applyAlignment="1" applyProtection="1">
      <alignment vertical="center" wrapText="1"/>
    </xf>
    <xf numFmtId="0" fontId="17" fillId="0" borderId="1" xfId="5" applyFont="1" applyBorder="1" applyAlignment="1" applyProtection="1">
      <alignment horizontal="center" vertical="center"/>
    </xf>
    <xf numFmtId="14" fontId="28" fillId="0" borderId="1" xfId="0" applyNumberFormat="1" applyFont="1" applyBorder="1" applyAlignment="1">
      <alignment horizontal="center" vertical="center"/>
    </xf>
    <xf numFmtId="0" fontId="17" fillId="0" borderId="1" xfId="5" applyFont="1" applyBorder="1" applyAlignment="1" applyProtection="1">
      <alignment vertical="center" wrapText="1"/>
    </xf>
    <xf numFmtId="0" fontId="2" fillId="0" borderId="0" xfId="0" applyFont="1">
      <alignment vertical="center"/>
    </xf>
    <xf numFmtId="43" fontId="2" fillId="0" borderId="16" xfId="3" applyFont="1" applyBorder="1" applyAlignment="1" applyProtection="1">
      <alignment vertical="center"/>
    </xf>
    <xf numFmtId="43" fontId="23" fillId="5" borderId="11" xfId="3" applyFont="1" applyFill="1" applyBorder="1" applyAlignment="1" applyProtection="1">
      <alignment vertical="center"/>
    </xf>
    <xf numFmtId="0" fontId="0" fillId="0" borderId="1" xfId="0" applyBorder="1">
      <alignment vertical="center"/>
    </xf>
    <xf numFmtId="0" fontId="2" fillId="0" borderId="21" xfId="0" applyFont="1" applyBorder="1">
      <alignment vertical="center"/>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4" fillId="2" borderId="1" xfId="0" applyNumberFormat="1" applyFont="1" applyFill="1" applyBorder="1" applyAlignment="1" applyProtection="1">
      <alignment horizontal="center" vertical="center" wrapText="1"/>
      <protection hidden="1"/>
    </xf>
    <xf numFmtId="18" fontId="2" fillId="2" borderId="1" xfId="0" applyNumberFormat="1" applyFont="1" applyFill="1" applyBorder="1" applyAlignment="1" applyProtection="1">
      <alignment horizontal="center" vertical="center" wrapText="1"/>
      <protection hidden="1"/>
    </xf>
    <xf numFmtId="0" fontId="24" fillId="2" borderId="1" xfId="0"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5" fillId="3" borderId="2" xfId="0" applyFont="1" applyFill="1" applyBorder="1" applyAlignment="1">
      <alignment horizontal="center"/>
    </xf>
    <xf numFmtId="0" fontId="25" fillId="3" borderId="3" xfId="0" applyFont="1" applyFill="1" applyBorder="1" applyAlignment="1">
      <alignment horizontal="center"/>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27" fillId="2" borderId="1" xfId="0" applyFont="1" applyFill="1" applyBorder="1" applyAlignment="1" applyProtection="1">
      <alignment horizontal="center" vertical="center" wrapText="1"/>
      <protection hidden="1"/>
    </xf>
    <xf numFmtId="0" fontId="28" fillId="0" borderId="1" xfId="0" applyFont="1" applyBorder="1" applyAlignment="1">
      <alignment horizontal="left"/>
    </xf>
    <xf numFmtId="0" fontId="33" fillId="14" borderId="8" xfId="0" applyFont="1" applyFill="1" applyBorder="1" applyAlignment="1">
      <alignment horizontal="center" vertical="center"/>
    </xf>
    <xf numFmtId="0" fontId="33" fillId="14" borderId="9" xfId="0" applyFont="1" applyFill="1" applyBorder="1" applyAlignment="1">
      <alignment horizontal="center" vertical="center"/>
    </xf>
    <xf numFmtId="0" fontId="33" fillId="14" borderId="10" xfId="0" applyFont="1" applyFill="1" applyBorder="1" applyAlignment="1">
      <alignment horizontal="center" vertical="center"/>
    </xf>
    <xf numFmtId="0" fontId="33" fillId="14" borderId="2" xfId="0" applyFont="1" applyFill="1" applyBorder="1" applyAlignment="1">
      <alignment horizontal="center"/>
    </xf>
    <xf numFmtId="0" fontId="33" fillId="14" borderId="14" xfId="0" applyFont="1" applyFill="1" applyBorder="1" applyAlignment="1">
      <alignment horizontal="center"/>
    </xf>
    <xf numFmtId="0" fontId="33" fillId="14" borderId="3" xfId="0" applyFont="1" applyFill="1" applyBorder="1" applyAlignment="1">
      <alignment horizontal="center"/>
    </xf>
    <xf numFmtId="166" fontId="28" fillId="6" borderId="2" xfId="0" applyNumberFormat="1" applyFont="1" applyFill="1" applyBorder="1" applyAlignment="1">
      <alignment horizontal="center" vertical="top"/>
    </xf>
    <xf numFmtId="166" fontId="28" fillId="6" borderId="14" xfId="0" applyNumberFormat="1" applyFont="1" applyFill="1" applyBorder="1" applyAlignment="1">
      <alignment horizontal="center" vertical="top"/>
    </xf>
    <xf numFmtId="0" fontId="30" fillId="0" borderId="1" xfId="0" applyFont="1" applyBorder="1" applyAlignment="1">
      <alignment horizontal="left" vertical="top"/>
    </xf>
    <xf numFmtId="0" fontId="26" fillId="3" borderId="11" xfId="0" applyFont="1" applyFill="1" applyBorder="1" applyAlignment="1">
      <alignment horizontal="left" vertical="center"/>
    </xf>
    <xf numFmtId="0" fontId="26" fillId="3" borderId="12" xfId="0" applyFont="1" applyFill="1" applyBorder="1" applyAlignment="1">
      <alignment horizontal="left" vertical="center"/>
    </xf>
    <xf numFmtId="0" fontId="26" fillId="3" borderId="1" xfId="0" applyFont="1" applyFill="1" applyBorder="1" applyAlignment="1">
      <alignment horizontal="left" vertical="center"/>
    </xf>
    <xf numFmtId="0" fontId="26" fillId="3" borderId="15" xfId="0" applyFont="1" applyFill="1" applyBorder="1" applyAlignment="1">
      <alignment horizontal="left" vertical="center"/>
    </xf>
    <xf numFmtId="0" fontId="28" fillId="3" borderId="4"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6" xfId="0" applyFont="1" applyFill="1" applyBorder="1" applyAlignment="1">
      <alignment horizontal="center" vertical="center"/>
    </xf>
    <xf numFmtId="0" fontId="28" fillId="10" borderId="1" xfId="0" applyFont="1" applyFill="1" applyBorder="1" applyAlignment="1">
      <alignment horizontal="center"/>
    </xf>
    <xf numFmtId="0" fontId="33" fillId="14" borderId="2" xfId="0" applyFont="1" applyFill="1" applyBorder="1" applyAlignment="1" applyProtection="1">
      <alignment vertical="center" wrapText="1"/>
      <protection hidden="1"/>
    </xf>
    <xf numFmtId="0" fontId="33" fillId="14" borderId="14" xfId="0" applyFont="1" applyFill="1" applyBorder="1" applyAlignment="1" applyProtection="1">
      <alignment vertical="center" wrapText="1"/>
      <protection hidden="1"/>
    </xf>
    <xf numFmtId="0" fontId="33" fillId="14" borderId="3" xfId="0" applyFont="1" applyFill="1" applyBorder="1" applyAlignment="1" applyProtection="1">
      <alignment vertical="center" wrapText="1"/>
      <protection hidden="1"/>
    </xf>
    <xf numFmtId="0" fontId="2" fillId="0" borderId="16" xfId="0" applyFont="1" applyBorder="1" applyAlignment="1">
      <alignment horizontal="center" vertical="center"/>
    </xf>
    <xf numFmtId="0" fontId="2" fillId="0" borderId="11" xfId="0" applyFont="1" applyBorder="1" applyAlignment="1">
      <alignment horizontal="center" vertical="center"/>
    </xf>
    <xf numFmtId="0" fontId="2" fillId="0" borderId="1" xfId="0" applyFont="1" applyBorder="1" applyAlignment="1">
      <alignment horizontal="center" vertical="center"/>
    </xf>
    <xf numFmtId="43" fontId="2" fillId="0" borderId="1" xfId="3" applyFont="1" applyBorder="1" applyAlignment="1" applyProtection="1">
      <alignment horizontal="center" vertical="center"/>
    </xf>
    <xf numFmtId="0" fontId="2" fillId="0" borderId="20" xfId="0" applyFont="1" applyBorder="1" applyAlignment="1">
      <alignment horizontal="right" vertical="center"/>
    </xf>
    <xf numFmtId="0" fontId="2" fillId="0" borderId="19" xfId="0" applyFont="1" applyBorder="1" applyAlignment="1">
      <alignment horizontal="right" vertical="center"/>
    </xf>
    <xf numFmtId="43" fontId="2" fillId="0" borderId="16" xfId="3" applyFont="1" applyBorder="1" applyAlignment="1" applyProtection="1">
      <alignment horizontal="center" vertical="center" wrapText="1"/>
    </xf>
    <xf numFmtId="43" fontId="2" fillId="0" borderId="11" xfId="3" applyFont="1" applyBorder="1" applyAlignment="1" applyProtection="1">
      <alignment horizontal="center" vertical="center" wrapText="1"/>
    </xf>
    <xf numFmtId="43" fontId="34" fillId="0" borderId="16" xfId="3" applyFont="1" applyBorder="1" applyAlignment="1" applyProtection="1">
      <alignment horizontal="center" vertical="center" wrapText="1"/>
    </xf>
    <xf numFmtId="43" fontId="34" fillId="0" borderId="11" xfId="3" applyFont="1" applyBorder="1" applyAlignment="1" applyProtection="1">
      <alignment horizontal="center" vertical="center" wrapText="1"/>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zoomScaleNormal="100" workbookViewId="0">
      <selection activeCell="E13" sqref="E13"/>
    </sheetView>
  </sheetViews>
  <sheetFormatPr defaultColWidth="10.44140625" defaultRowHeight="14.4" x14ac:dyDescent="0.3"/>
  <cols>
    <col min="1" max="1" width="3.5546875" style="1" customWidth="1"/>
    <col min="2" max="2" width="44.5546875" style="1" customWidth="1"/>
    <col min="3" max="3" width="36.5546875" style="1" bestFit="1" customWidth="1"/>
    <col min="4" max="4" width="46" style="1" customWidth="1"/>
    <col min="5" max="16384" width="10.44140625" style="1"/>
  </cols>
  <sheetData>
    <row r="1" spans="1:4" x14ac:dyDescent="0.3">
      <c r="A1" s="1" t="s">
        <v>65</v>
      </c>
    </row>
    <row r="2" spans="1:4" s="2" customFormat="1" ht="15.6" x14ac:dyDescent="0.3">
      <c r="B2" s="87" t="s">
        <v>10</v>
      </c>
      <c r="C2" s="87"/>
      <c r="D2" s="87"/>
    </row>
    <row r="3" spans="1:4" x14ac:dyDescent="0.3">
      <c r="B3" s="3" t="s">
        <v>11</v>
      </c>
      <c r="C3" s="88" t="s">
        <v>97</v>
      </c>
      <c r="D3" s="88"/>
    </row>
    <row r="4" spans="1:4" x14ac:dyDescent="0.3">
      <c r="B4" s="4" t="s">
        <v>12</v>
      </c>
      <c r="C4" s="88" t="s">
        <v>98</v>
      </c>
      <c r="D4" s="88"/>
    </row>
    <row r="5" spans="1:4" x14ac:dyDescent="0.3">
      <c r="B5" s="5" t="s">
        <v>13</v>
      </c>
      <c r="C5" s="89" t="s">
        <v>99</v>
      </c>
      <c r="D5" s="89"/>
    </row>
    <row r="6" spans="1:4" x14ac:dyDescent="0.3">
      <c r="B6" s="6" t="s">
        <v>14</v>
      </c>
      <c r="C6" s="89" t="s">
        <v>100</v>
      </c>
      <c r="D6" s="89"/>
    </row>
    <row r="7" spans="1:4" x14ac:dyDescent="0.3">
      <c r="B7" s="6" t="s">
        <v>15</v>
      </c>
      <c r="C7" s="89">
        <v>9811453545</v>
      </c>
      <c r="D7" s="89"/>
    </row>
    <row r="8" spans="1:4" x14ac:dyDescent="0.3">
      <c r="B8" s="6" t="s">
        <v>46</v>
      </c>
      <c r="C8" s="100" t="s">
        <v>101</v>
      </c>
      <c r="D8" s="101"/>
    </row>
    <row r="9" spans="1:4" x14ac:dyDescent="0.3">
      <c r="B9" s="6" t="s">
        <v>27</v>
      </c>
      <c r="C9" s="100" t="s">
        <v>101</v>
      </c>
      <c r="D9" s="101"/>
    </row>
    <row r="10" spans="1:4" x14ac:dyDescent="0.3">
      <c r="B10" s="7" t="s">
        <v>16</v>
      </c>
      <c r="C10" s="96">
        <v>45583</v>
      </c>
      <c r="D10" s="96"/>
    </row>
    <row r="11" spans="1:4" x14ac:dyDescent="0.3">
      <c r="B11" s="7" t="s">
        <v>17</v>
      </c>
      <c r="C11" s="97" t="s">
        <v>102</v>
      </c>
      <c r="D11" s="98"/>
    </row>
    <row r="12" spans="1:4" x14ac:dyDescent="0.3">
      <c r="B12" s="7" t="s">
        <v>18</v>
      </c>
      <c r="C12" s="96">
        <v>45584</v>
      </c>
      <c r="D12" s="96"/>
    </row>
    <row r="13" spans="1:4" x14ac:dyDescent="0.3">
      <c r="B13" s="7" t="s">
        <v>19</v>
      </c>
      <c r="C13" s="97" t="s">
        <v>103</v>
      </c>
      <c r="D13" s="98"/>
    </row>
    <row r="14" spans="1:4" x14ac:dyDescent="0.3">
      <c r="B14" s="93" t="s">
        <v>20</v>
      </c>
      <c r="C14" s="93"/>
      <c r="D14" s="93"/>
    </row>
    <row r="15" spans="1:4" x14ac:dyDescent="0.3">
      <c r="B15" s="93"/>
      <c r="C15" s="93"/>
      <c r="D15" s="93"/>
    </row>
    <row r="16" spans="1:4" x14ac:dyDescent="0.3">
      <c r="B16" s="8"/>
      <c r="C16" s="85" t="s">
        <v>21</v>
      </c>
      <c r="D16" s="86"/>
    </row>
    <row r="17" spans="2:4" x14ac:dyDescent="0.3">
      <c r="B17" s="9" t="s">
        <v>22</v>
      </c>
      <c r="C17" s="94">
        <f>'Distributor Claim Sheet'!G26</f>
        <v>720</v>
      </c>
      <c r="D17" s="95"/>
    </row>
    <row r="18" spans="2:4" x14ac:dyDescent="0.3">
      <c r="B18" s="9" t="s">
        <v>53</v>
      </c>
      <c r="C18" s="90">
        <f>'Distributor Claim Sheet'!H26</f>
        <v>1587</v>
      </c>
      <c r="D18" s="91"/>
    </row>
    <row r="19" spans="2:4" x14ac:dyDescent="0.3">
      <c r="B19" s="9" t="s">
        <v>61</v>
      </c>
      <c r="C19" s="90">
        <f>'Distributor Claim Sheet'!I26</f>
        <v>0</v>
      </c>
      <c r="D19" s="91"/>
    </row>
    <row r="20" spans="2:4" x14ac:dyDescent="0.3">
      <c r="B20" s="9" t="s">
        <v>62</v>
      </c>
      <c r="C20" s="90">
        <f>'Distributor Claim Sheet'!J26</f>
        <v>24975</v>
      </c>
      <c r="D20" s="91"/>
    </row>
    <row r="21" spans="2:4" x14ac:dyDescent="0.3">
      <c r="B21" s="10" t="s">
        <v>64</v>
      </c>
      <c r="C21" s="102">
        <f>SUM(C17:C20)</f>
        <v>27282</v>
      </c>
      <c r="D21" s="103"/>
    </row>
    <row r="22" spans="2:4" x14ac:dyDescent="0.3">
      <c r="B22" s="104" t="s">
        <v>23</v>
      </c>
      <c r="C22" s="104"/>
      <c r="D22" s="104"/>
    </row>
    <row r="23" spans="2:4" x14ac:dyDescent="0.3">
      <c r="B23" s="99" t="s">
        <v>60</v>
      </c>
      <c r="C23" s="99"/>
      <c r="D23" s="73">
        <f>'Scrap stock detail'!D9</f>
        <v>24</v>
      </c>
    </row>
    <row r="24" spans="2:4" s="2" customFormat="1" x14ac:dyDescent="0.3">
      <c r="B24" s="92" t="s">
        <v>29</v>
      </c>
      <c r="C24" s="92"/>
      <c r="D24" s="92"/>
    </row>
    <row r="25" spans="2:4" s="2" customFormat="1" x14ac:dyDescent="0.3">
      <c r="B25" s="92"/>
      <c r="C25" s="92"/>
      <c r="D25" s="92"/>
    </row>
    <row r="26" spans="2:4" s="2" customFormat="1" x14ac:dyDescent="0.3">
      <c r="B26" s="92"/>
      <c r="C26" s="92"/>
      <c r="D26" s="92"/>
    </row>
    <row r="27" spans="2:4" s="2" customFormat="1" x14ac:dyDescent="0.3">
      <c r="B27" s="92"/>
      <c r="C27" s="92"/>
      <c r="D27" s="92"/>
    </row>
    <row r="28" spans="2:4" x14ac:dyDescent="0.3">
      <c r="B28" s="92"/>
      <c r="C28" s="92"/>
      <c r="D28" s="92"/>
    </row>
    <row r="29" spans="2:4" s="2" customFormat="1" x14ac:dyDescent="0.3">
      <c r="B29" s="13" t="s">
        <v>73</v>
      </c>
      <c r="C29" s="13" t="s">
        <v>72</v>
      </c>
      <c r="D29" s="13" t="s">
        <v>71</v>
      </c>
    </row>
    <row r="30" spans="2:4" s="2" customFormat="1" x14ac:dyDescent="0.3">
      <c r="B30" s="14" t="str">
        <f>C3</f>
        <v>SHREE JI ENTERPRISES</v>
      </c>
      <c r="C30" s="14" t="str">
        <f>C8</f>
        <v>N/A</v>
      </c>
      <c r="D30" s="14" t="str">
        <f>C5</f>
        <v>RAJEEV KUMAR</v>
      </c>
    </row>
    <row r="31" spans="2:4" s="2" customFormat="1" x14ac:dyDescent="0.3">
      <c r="B31" s="13" t="s">
        <v>24</v>
      </c>
      <c r="C31" s="13" t="s">
        <v>25</v>
      </c>
      <c r="D31" s="13" t="s">
        <v>24</v>
      </c>
    </row>
    <row r="32" spans="2:4" s="2" customFormat="1" x14ac:dyDescent="0.3">
      <c r="B32" s="13"/>
      <c r="C32" s="13"/>
      <c r="D32" s="13"/>
    </row>
    <row r="33" spans="2:4" s="2" customFormat="1" x14ac:dyDescent="0.3">
      <c r="B33" s="15"/>
      <c r="C33" s="15"/>
      <c r="D33" s="15"/>
    </row>
    <row r="34" spans="2:4" s="2" customFormat="1" x14ac:dyDescent="0.3">
      <c r="B34" s="16" t="s">
        <v>26</v>
      </c>
      <c r="C34" s="16"/>
      <c r="D34" s="16" t="s">
        <v>26</v>
      </c>
    </row>
  </sheetData>
  <mergeCells count="22">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 ref="C16:D16"/>
    <mergeCell ref="B2:D2"/>
    <mergeCell ref="C3:D3"/>
    <mergeCell ref="C4:D4"/>
    <mergeCell ref="C5:D5"/>
    <mergeCell ref="C6:D6"/>
  </mergeCells>
  <pageMargins left="0.24" right="0.24" top="0.63" bottom="0.74803149606299213" header="0.31496062992125984" footer="0.31496062992125984"/>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Q33"/>
  <sheetViews>
    <sheetView showGridLines="0" tabSelected="1" topLeftCell="A5" zoomScale="80" zoomScaleNormal="100" workbookViewId="0">
      <selection activeCell="Q17" sqref="Q17"/>
    </sheetView>
  </sheetViews>
  <sheetFormatPr defaultColWidth="16" defaultRowHeight="13.8" x14ac:dyDescent="0.3"/>
  <cols>
    <col min="1" max="1" width="16.6640625" style="27" bestFit="1" customWidth="1"/>
    <col min="2" max="2" width="10.109375" style="27" bestFit="1" customWidth="1"/>
    <col min="3" max="3" width="7.6640625" style="27" bestFit="1" customWidth="1"/>
    <col min="4" max="4" width="6.44140625" style="27" bestFit="1" customWidth="1"/>
    <col min="5" max="5" width="4.109375" style="27" bestFit="1" customWidth="1"/>
    <col min="6" max="6" width="9.5546875" style="27" bestFit="1" customWidth="1"/>
    <col min="7" max="7" width="7.33203125" style="27" bestFit="1" customWidth="1"/>
    <col min="8" max="8" width="9.5546875" style="27" bestFit="1" customWidth="1"/>
    <col min="9" max="9" width="7.5546875" style="27" bestFit="1" customWidth="1"/>
    <col min="10" max="10" width="9.88671875" style="27" bestFit="1" customWidth="1"/>
    <col min="11" max="11" width="11.33203125" style="27" bestFit="1" customWidth="1"/>
    <col min="12" max="12" width="11" style="27" bestFit="1" customWidth="1"/>
    <col min="13" max="13" width="5.6640625" style="27" bestFit="1" customWidth="1"/>
    <col min="14" max="14" width="11.109375" style="27" bestFit="1" customWidth="1"/>
    <col min="15" max="15" width="11" style="27" bestFit="1" customWidth="1"/>
    <col min="16" max="19" width="16" style="27"/>
    <col min="20" max="20" width="1.5546875" style="27" bestFit="1" customWidth="1"/>
    <col min="21" max="16384" width="16" style="27"/>
  </cols>
  <sheetData>
    <row r="1" spans="1:17" x14ac:dyDescent="0.3">
      <c r="B1" s="105"/>
      <c r="C1" s="105"/>
      <c r="D1" s="105"/>
      <c r="E1" s="105"/>
    </row>
    <row r="2" spans="1:17" x14ac:dyDescent="0.3">
      <c r="A2" s="120" t="s">
        <v>47</v>
      </c>
      <c r="B2" s="121"/>
      <c r="C2" s="121"/>
      <c r="D2" s="121"/>
      <c r="E2" s="121"/>
      <c r="F2" s="121"/>
      <c r="G2" s="121"/>
      <c r="H2" s="121"/>
      <c r="I2" s="121"/>
      <c r="J2" s="121"/>
      <c r="K2" s="121"/>
      <c r="L2" s="121"/>
      <c r="M2" s="122"/>
    </row>
    <row r="3" spans="1:17" x14ac:dyDescent="0.3">
      <c r="A3" s="62" t="s">
        <v>67</v>
      </c>
      <c r="B3" s="107" t="str">
        <f>Declaration!C3</f>
        <v>SHREE JI ENTERPRISES</v>
      </c>
      <c r="C3" s="108"/>
      <c r="D3" s="109"/>
      <c r="E3" s="116"/>
      <c r="F3" s="116"/>
      <c r="G3" s="116"/>
      <c r="H3" s="116"/>
      <c r="I3" s="116"/>
      <c r="J3" s="116"/>
      <c r="K3" s="116"/>
      <c r="L3" s="116"/>
      <c r="M3" s="117"/>
    </row>
    <row r="4" spans="1:17" x14ac:dyDescent="0.3">
      <c r="A4" s="63" t="s">
        <v>68</v>
      </c>
      <c r="B4" s="110"/>
      <c r="C4" s="111"/>
      <c r="D4" s="112"/>
      <c r="E4" s="118"/>
      <c r="F4" s="118"/>
      <c r="G4" s="118"/>
      <c r="H4" s="118"/>
      <c r="I4" s="118"/>
      <c r="J4" s="118"/>
      <c r="K4" s="118"/>
      <c r="L4" s="118"/>
      <c r="M4" s="119"/>
    </row>
    <row r="5" spans="1:17" ht="27" customHeight="1" x14ac:dyDescent="0.3">
      <c r="A5" s="63" t="s">
        <v>69</v>
      </c>
      <c r="B5" s="124" t="str">
        <f>Declaration!C4</f>
        <v>4/15 GROUND FLOOR ASHOK NAGAR NEW DELHI 110018</v>
      </c>
      <c r="C5" s="125"/>
      <c r="D5" s="125"/>
      <c r="E5" s="126"/>
      <c r="F5" s="28" t="s">
        <v>54</v>
      </c>
      <c r="G5" s="113" t="s">
        <v>55</v>
      </c>
      <c r="H5" s="114"/>
      <c r="I5" s="114"/>
      <c r="J5" s="114"/>
      <c r="K5" s="114"/>
      <c r="L5" s="29"/>
      <c r="M5" s="30"/>
    </row>
    <row r="6" spans="1:17" s="37" customFormat="1" ht="41.4" x14ac:dyDescent="0.3">
      <c r="A6" s="31" t="s">
        <v>63</v>
      </c>
      <c r="B6" s="31" t="s">
        <v>0</v>
      </c>
      <c r="C6" s="31" t="s">
        <v>43</v>
      </c>
      <c r="D6" s="31" t="s">
        <v>2</v>
      </c>
      <c r="E6" s="31" t="s">
        <v>1</v>
      </c>
      <c r="F6" s="32" t="s">
        <v>28</v>
      </c>
      <c r="G6" s="33" t="s">
        <v>56</v>
      </c>
      <c r="H6" s="33" t="s">
        <v>52</v>
      </c>
      <c r="I6" s="33" t="s">
        <v>48</v>
      </c>
      <c r="J6" s="33" t="s">
        <v>49</v>
      </c>
      <c r="K6" s="33" t="s">
        <v>58</v>
      </c>
      <c r="L6" s="34" t="s">
        <v>57</v>
      </c>
      <c r="M6" s="35" t="s">
        <v>59</v>
      </c>
      <c r="N6" s="36" t="s">
        <v>44</v>
      </c>
      <c r="O6" s="36" t="s">
        <v>45</v>
      </c>
    </row>
    <row r="7" spans="1:17" x14ac:dyDescent="0.3">
      <c r="A7" s="39">
        <v>1</v>
      </c>
      <c r="B7" s="69" t="s">
        <v>82</v>
      </c>
      <c r="C7" s="38">
        <v>14</v>
      </c>
      <c r="D7" s="43">
        <v>5</v>
      </c>
      <c r="E7" s="40" t="s">
        <v>88</v>
      </c>
      <c r="F7" s="51">
        <v>1352</v>
      </c>
      <c r="G7" s="51">
        <f>50+90+20</f>
        <v>160</v>
      </c>
      <c r="H7" s="51">
        <f>110+100+50</f>
        <v>260</v>
      </c>
      <c r="I7" s="51"/>
      <c r="J7" s="51">
        <f>600+600+250+700+300+900+1000+1100</f>
        <v>5450</v>
      </c>
      <c r="K7" s="70">
        <f>SUM(G7:J7)</f>
        <v>5870</v>
      </c>
      <c r="L7" s="70">
        <f>K7-F7</f>
        <v>4518</v>
      </c>
      <c r="M7" s="41"/>
      <c r="N7" s="71">
        <f>K7*C7</f>
        <v>82180</v>
      </c>
      <c r="O7" s="72">
        <f>N7/1000</f>
        <v>82.18</v>
      </c>
      <c r="P7" s="42"/>
      <c r="Q7" s="42"/>
    </row>
    <row r="8" spans="1:17" x14ac:dyDescent="0.3">
      <c r="A8" s="39">
        <f t="shared" ref="A8:A25" si="0">1+A7</f>
        <v>2</v>
      </c>
      <c r="B8" s="69" t="s">
        <v>82</v>
      </c>
      <c r="C8" s="38">
        <v>32.5</v>
      </c>
      <c r="D8" s="43">
        <v>10</v>
      </c>
      <c r="E8" s="40" t="s">
        <v>88</v>
      </c>
      <c r="F8" s="51">
        <v>628</v>
      </c>
      <c r="G8" s="51">
        <f>20+10</f>
        <v>30</v>
      </c>
      <c r="H8" s="51">
        <f>30+20</f>
        <v>50</v>
      </c>
      <c r="I8" s="51"/>
      <c r="J8" s="51">
        <f>200+380+100</f>
        <v>680</v>
      </c>
      <c r="K8" s="70">
        <f t="shared" ref="K8:K16" si="1">SUM(G8:J8)</f>
        <v>760</v>
      </c>
      <c r="L8" s="70">
        <f t="shared" ref="L8:L16" si="2">K8-F8</f>
        <v>132</v>
      </c>
      <c r="M8" s="41"/>
      <c r="N8" s="71">
        <f t="shared" ref="N8:N16" si="3">K8*C8</f>
        <v>24700</v>
      </c>
      <c r="O8" s="72">
        <f t="shared" ref="O8:O16" si="4">N8/1000</f>
        <v>24.7</v>
      </c>
      <c r="P8" s="42"/>
      <c r="Q8" s="42"/>
    </row>
    <row r="9" spans="1:17" x14ac:dyDescent="0.3">
      <c r="A9" s="39">
        <f t="shared" si="0"/>
        <v>3</v>
      </c>
      <c r="B9" s="69" t="s">
        <v>82</v>
      </c>
      <c r="C9" s="38">
        <v>75</v>
      </c>
      <c r="D9" s="43">
        <v>20</v>
      </c>
      <c r="E9" s="40" t="s">
        <v>88</v>
      </c>
      <c r="F9" s="51">
        <v>100</v>
      </c>
      <c r="G9" s="51"/>
      <c r="H9" s="51">
        <f>12</f>
        <v>12</v>
      </c>
      <c r="I9" s="51"/>
      <c r="J9" s="51">
        <f>90+40</f>
        <v>130</v>
      </c>
      <c r="K9" s="70">
        <f t="shared" si="1"/>
        <v>142</v>
      </c>
      <c r="L9" s="70">
        <f t="shared" si="2"/>
        <v>42</v>
      </c>
      <c r="M9" s="41"/>
      <c r="N9" s="71">
        <f t="shared" si="3"/>
        <v>10650</v>
      </c>
      <c r="O9" s="72">
        <f t="shared" si="4"/>
        <v>10.65</v>
      </c>
      <c r="P9" s="42"/>
      <c r="Q9" s="42"/>
    </row>
    <row r="10" spans="1:17" x14ac:dyDescent="0.3">
      <c r="A10" s="39">
        <f t="shared" si="0"/>
        <v>4</v>
      </c>
      <c r="B10" s="69" t="s">
        <v>83</v>
      </c>
      <c r="C10" s="38">
        <v>20</v>
      </c>
      <c r="D10" s="39">
        <v>5</v>
      </c>
      <c r="E10" s="40" t="s">
        <v>88</v>
      </c>
      <c r="F10" s="51">
        <v>1151</v>
      </c>
      <c r="G10" s="51">
        <f>100+40</f>
        <v>140</v>
      </c>
      <c r="H10" s="51">
        <f>150+20+100+80</f>
        <v>350</v>
      </c>
      <c r="I10" s="51"/>
      <c r="J10" s="51">
        <f>900+400+400+100+1000+500+400</f>
        <v>3700</v>
      </c>
      <c r="K10" s="70">
        <f t="shared" si="1"/>
        <v>4190</v>
      </c>
      <c r="L10" s="70">
        <f t="shared" si="2"/>
        <v>3039</v>
      </c>
      <c r="M10" s="41"/>
      <c r="N10" s="71">
        <f t="shared" si="3"/>
        <v>83800</v>
      </c>
      <c r="O10" s="72">
        <f t="shared" si="4"/>
        <v>83.8</v>
      </c>
      <c r="P10" s="42"/>
      <c r="Q10" s="42"/>
    </row>
    <row r="11" spans="1:17" x14ac:dyDescent="0.3">
      <c r="A11" s="39">
        <f t="shared" si="0"/>
        <v>5</v>
      </c>
      <c r="B11" s="69" t="s">
        <v>83</v>
      </c>
      <c r="C11" s="38">
        <v>45</v>
      </c>
      <c r="D11" s="43">
        <v>10</v>
      </c>
      <c r="E11" s="40" t="s">
        <v>88</v>
      </c>
      <c r="F11" s="51">
        <v>420</v>
      </c>
      <c r="G11" s="51">
        <f>20+20</f>
        <v>40</v>
      </c>
      <c r="H11" s="51">
        <f>50+20+10</f>
        <v>80</v>
      </c>
      <c r="I11" s="51"/>
      <c r="J11" s="51">
        <f>360+100+50</f>
        <v>510</v>
      </c>
      <c r="K11" s="70">
        <f t="shared" si="1"/>
        <v>630</v>
      </c>
      <c r="L11" s="70">
        <f t="shared" si="2"/>
        <v>210</v>
      </c>
      <c r="M11" s="41"/>
      <c r="N11" s="71">
        <f t="shared" si="3"/>
        <v>28350</v>
      </c>
      <c r="O11" s="72">
        <f t="shared" si="4"/>
        <v>28.35</v>
      </c>
      <c r="P11" s="42"/>
      <c r="Q11" s="42"/>
    </row>
    <row r="12" spans="1:17" x14ac:dyDescent="0.3">
      <c r="A12" s="39">
        <f t="shared" si="0"/>
        <v>6</v>
      </c>
      <c r="B12" s="69" t="s">
        <v>83</v>
      </c>
      <c r="C12" s="38">
        <v>85</v>
      </c>
      <c r="D12" s="43">
        <v>20</v>
      </c>
      <c r="E12" s="40" t="s">
        <v>88</v>
      </c>
      <c r="F12" s="51">
        <v>158</v>
      </c>
      <c r="G12" s="51"/>
      <c r="H12" s="51">
        <f>10</f>
        <v>10</v>
      </c>
      <c r="I12" s="51"/>
      <c r="J12" s="51">
        <f>150</f>
        <v>150</v>
      </c>
      <c r="K12" s="70">
        <f t="shared" si="1"/>
        <v>160</v>
      </c>
      <c r="L12" s="70">
        <f t="shared" si="2"/>
        <v>2</v>
      </c>
      <c r="M12" s="41"/>
      <c r="N12" s="71">
        <f t="shared" si="3"/>
        <v>13600</v>
      </c>
      <c r="O12" s="72">
        <f t="shared" si="4"/>
        <v>13.6</v>
      </c>
      <c r="P12" s="42"/>
      <c r="Q12" s="42"/>
    </row>
    <row r="13" spans="1:17" x14ac:dyDescent="0.3">
      <c r="A13" s="39">
        <f t="shared" si="0"/>
        <v>7</v>
      </c>
      <c r="B13" s="69" t="s">
        <v>84</v>
      </c>
      <c r="C13" s="38">
        <v>21</v>
      </c>
      <c r="D13" s="43">
        <v>5</v>
      </c>
      <c r="E13" s="40" t="s">
        <v>88</v>
      </c>
      <c r="F13" s="51"/>
      <c r="G13" s="51">
        <v>10</v>
      </c>
      <c r="H13" s="51">
        <f>20+20</f>
        <v>40</v>
      </c>
      <c r="I13" s="51"/>
      <c r="J13" s="51">
        <f>180+600+400</f>
        <v>1180</v>
      </c>
      <c r="K13" s="70">
        <f t="shared" si="1"/>
        <v>1230</v>
      </c>
      <c r="L13" s="70">
        <f t="shared" si="2"/>
        <v>1230</v>
      </c>
      <c r="M13" s="41"/>
      <c r="N13" s="71">
        <f t="shared" si="3"/>
        <v>25830</v>
      </c>
      <c r="O13" s="72">
        <f t="shared" si="4"/>
        <v>25.83</v>
      </c>
      <c r="P13" s="42"/>
      <c r="Q13" s="42"/>
    </row>
    <row r="14" spans="1:17" x14ac:dyDescent="0.3">
      <c r="A14" s="39">
        <f t="shared" si="0"/>
        <v>8</v>
      </c>
      <c r="B14" s="69" t="s">
        <v>90</v>
      </c>
      <c r="C14" s="38">
        <v>12</v>
      </c>
      <c r="D14" s="43">
        <v>5</v>
      </c>
      <c r="E14" s="40" t="s">
        <v>88</v>
      </c>
      <c r="F14" s="51"/>
      <c r="G14" s="51">
        <f>20</f>
        <v>20</v>
      </c>
      <c r="H14" s="51">
        <f>80</f>
        <v>80</v>
      </c>
      <c r="I14" s="51"/>
      <c r="J14" s="51">
        <f>600+500+180</f>
        <v>1280</v>
      </c>
      <c r="K14" s="70">
        <f t="shared" si="1"/>
        <v>1380</v>
      </c>
      <c r="L14" s="70">
        <f t="shared" si="2"/>
        <v>1380</v>
      </c>
      <c r="M14" s="41"/>
      <c r="N14" s="71">
        <f t="shared" si="3"/>
        <v>16560</v>
      </c>
      <c r="O14" s="72">
        <f t="shared" si="4"/>
        <v>16.559999999999999</v>
      </c>
      <c r="P14" s="42"/>
      <c r="Q14" s="42"/>
    </row>
    <row r="15" spans="1:17" x14ac:dyDescent="0.3">
      <c r="A15" s="39">
        <f t="shared" si="0"/>
        <v>9</v>
      </c>
      <c r="B15" s="69" t="s">
        <v>91</v>
      </c>
      <c r="C15" s="38">
        <v>12</v>
      </c>
      <c r="D15" s="43">
        <v>5</v>
      </c>
      <c r="E15" s="40" t="s">
        <v>88</v>
      </c>
      <c r="F15" s="51">
        <v>260</v>
      </c>
      <c r="G15" s="51">
        <f>20+10</f>
        <v>30</v>
      </c>
      <c r="H15" s="51">
        <f>15+20+30</f>
        <v>65</v>
      </c>
      <c r="I15" s="51"/>
      <c r="J15" s="51">
        <f>250+150+250+250+100+200+600+500</f>
        <v>2300</v>
      </c>
      <c r="K15" s="70">
        <f t="shared" si="1"/>
        <v>2395</v>
      </c>
      <c r="L15" s="70">
        <f t="shared" si="2"/>
        <v>2135</v>
      </c>
      <c r="M15" s="41"/>
      <c r="N15" s="71">
        <f t="shared" si="3"/>
        <v>28740</v>
      </c>
      <c r="O15" s="72">
        <f t="shared" si="4"/>
        <v>28.74</v>
      </c>
      <c r="P15" s="42"/>
      <c r="Q15" s="42"/>
    </row>
    <row r="16" spans="1:17" x14ac:dyDescent="0.3">
      <c r="A16" s="39">
        <f t="shared" si="0"/>
        <v>10</v>
      </c>
      <c r="B16" s="69" t="s">
        <v>92</v>
      </c>
      <c r="C16" s="38">
        <v>20</v>
      </c>
      <c r="D16" s="43">
        <v>5</v>
      </c>
      <c r="E16" s="40" t="s">
        <v>88</v>
      </c>
      <c r="F16" s="51">
        <v>370</v>
      </c>
      <c r="G16" s="51">
        <f>30+20</f>
        <v>50</v>
      </c>
      <c r="H16" s="51">
        <f>50+30</f>
        <v>80</v>
      </c>
      <c r="I16" s="51"/>
      <c r="J16" s="51">
        <f>300+145+350+500+100+400</f>
        <v>1795</v>
      </c>
      <c r="K16" s="70">
        <f t="shared" si="1"/>
        <v>1925</v>
      </c>
      <c r="L16" s="70">
        <f t="shared" si="2"/>
        <v>1555</v>
      </c>
      <c r="M16" s="41"/>
      <c r="N16" s="71">
        <f t="shared" si="3"/>
        <v>38500</v>
      </c>
      <c r="O16" s="72">
        <f t="shared" si="4"/>
        <v>38.5</v>
      </c>
      <c r="P16" s="42"/>
      <c r="Q16" s="42"/>
    </row>
    <row r="17" spans="1:17" x14ac:dyDescent="0.3">
      <c r="A17" s="39">
        <f t="shared" si="0"/>
        <v>11</v>
      </c>
      <c r="B17" s="69" t="s">
        <v>93</v>
      </c>
      <c r="C17" s="38">
        <v>13</v>
      </c>
      <c r="D17" s="43">
        <v>5</v>
      </c>
      <c r="E17" s="40" t="s">
        <v>88</v>
      </c>
      <c r="F17" s="51">
        <v>300</v>
      </c>
      <c r="G17" s="51">
        <f>20</f>
        <v>20</v>
      </c>
      <c r="H17" s="51">
        <f>30</f>
        <v>30</v>
      </c>
      <c r="I17" s="51"/>
      <c r="J17" s="51">
        <f>260</f>
        <v>260</v>
      </c>
      <c r="K17" s="70">
        <f t="shared" ref="K17:K22" si="5">SUM(G17:J17)</f>
        <v>310</v>
      </c>
      <c r="L17" s="70">
        <f t="shared" ref="L17:L22" si="6">K17-F17</f>
        <v>10</v>
      </c>
      <c r="M17" s="41"/>
      <c r="N17" s="71">
        <f t="shared" ref="N17:N22" si="7">K17*C17</f>
        <v>4030</v>
      </c>
      <c r="O17" s="72">
        <f t="shared" ref="O17:O22" si="8">N17/1000</f>
        <v>4.03</v>
      </c>
      <c r="P17" s="42"/>
      <c r="Q17" s="42"/>
    </row>
    <row r="18" spans="1:17" x14ac:dyDescent="0.3">
      <c r="A18" s="39">
        <f t="shared" si="0"/>
        <v>12</v>
      </c>
      <c r="B18" s="69" t="s">
        <v>93</v>
      </c>
      <c r="C18" s="38">
        <v>26</v>
      </c>
      <c r="D18" s="43">
        <v>10</v>
      </c>
      <c r="E18" s="40" t="s">
        <v>88</v>
      </c>
      <c r="F18" s="51"/>
      <c r="G18" s="51">
        <v>20</v>
      </c>
      <c r="H18" s="51">
        <v>20</v>
      </c>
      <c r="I18" s="51"/>
      <c r="J18" s="51">
        <f>200+50+90+70</f>
        <v>410</v>
      </c>
      <c r="K18" s="70">
        <f t="shared" si="5"/>
        <v>450</v>
      </c>
      <c r="L18" s="70">
        <f t="shared" si="6"/>
        <v>450</v>
      </c>
      <c r="M18" s="41"/>
      <c r="N18" s="71">
        <f t="shared" si="7"/>
        <v>11700</v>
      </c>
      <c r="O18" s="72">
        <f t="shared" si="8"/>
        <v>11.7</v>
      </c>
      <c r="P18" s="42"/>
      <c r="Q18" s="42"/>
    </row>
    <row r="19" spans="1:17" x14ac:dyDescent="0.3">
      <c r="A19" s="39">
        <f t="shared" si="0"/>
        <v>13</v>
      </c>
      <c r="B19" s="69" t="s">
        <v>86</v>
      </c>
      <c r="C19" s="38">
        <v>14</v>
      </c>
      <c r="D19" s="43">
        <v>5</v>
      </c>
      <c r="E19" s="40" t="s">
        <v>88</v>
      </c>
      <c r="F19" s="51"/>
      <c r="G19" s="51">
        <f>50+30+20</f>
        <v>100</v>
      </c>
      <c r="H19" s="51">
        <f>140+50+50</f>
        <v>240</v>
      </c>
      <c r="I19" s="51"/>
      <c r="J19" s="51">
        <f>500+600+300+400+200+600+400</f>
        <v>3000</v>
      </c>
      <c r="K19" s="70">
        <f t="shared" si="5"/>
        <v>3340</v>
      </c>
      <c r="L19" s="70">
        <f t="shared" si="6"/>
        <v>3340</v>
      </c>
      <c r="M19" s="41"/>
      <c r="N19" s="71">
        <f t="shared" si="7"/>
        <v>46760</v>
      </c>
      <c r="O19" s="72">
        <f t="shared" si="8"/>
        <v>46.76</v>
      </c>
      <c r="P19" s="42"/>
      <c r="Q19" s="42"/>
    </row>
    <row r="20" spans="1:17" x14ac:dyDescent="0.3">
      <c r="A20" s="39">
        <f t="shared" si="0"/>
        <v>14</v>
      </c>
      <c r="B20" s="69" t="s">
        <v>86</v>
      </c>
      <c r="C20" s="38">
        <v>22</v>
      </c>
      <c r="D20" s="43">
        <v>10</v>
      </c>
      <c r="E20" s="40" t="s">
        <v>88</v>
      </c>
      <c r="F20" s="51"/>
      <c r="G20" s="51">
        <f>30</f>
        <v>30</v>
      </c>
      <c r="H20" s="51">
        <f>50</f>
        <v>50</v>
      </c>
      <c r="I20" s="51"/>
      <c r="J20" s="51">
        <f>130+1000</f>
        <v>1130</v>
      </c>
      <c r="K20" s="70">
        <f t="shared" si="5"/>
        <v>1210</v>
      </c>
      <c r="L20" s="70">
        <f t="shared" si="6"/>
        <v>1210</v>
      </c>
      <c r="M20" s="41"/>
      <c r="N20" s="71">
        <f t="shared" si="7"/>
        <v>26620</v>
      </c>
      <c r="O20" s="72">
        <f t="shared" si="8"/>
        <v>26.62</v>
      </c>
      <c r="P20" s="42"/>
      <c r="Q20" s="42"/>
    </row>
    <row r="21" spans="1:17" x14ac:dyDescent="0.3">
      <c r="A21" s="39">
        <f t="shared" si="0"/>
        <v>15</v>
      </c>
      <c r="B21" s="69" t="s">
        <v>94</v>
      </c>
      <c r="C21" s="38">
        <v>25</v>
      </c>
      <c r="D21" s="43">
        <v>5</v>
      </c>
      <c r="E21" s="40" t="s">
        <v>88</v>
      </c>
      <c r="F21" s="51"/>
      <c r="G21" s="51">
        <v>10</v>
      </c>
      <c r="H21" s="51">
        <f>30</f>
        <v>30</v>
      </c>
      <c r="I21" s="51"/>
      <c r="J21" s="51">
        <f>200</f>
        <v>200</v>
      </c>
      <c r="K21" s="70">
        <f t="shared" si="5"/>
        <v>240</v>
      </c>
      <c r="L21" s="70">
        <f t="shared" si="6"/>
        <v>240</v>
      </c>
      <c r="M21" s="41"/>
      <c r="N21" s="71">
        <f t="shared" si="7"/>
        <v>6000</v>
      </c>
      <c r="O21" s="72">
        <f t="shared" si="8"/>
        <v>6</v>
      </c>
      <c r="P21" s="42"/>
      <c r="Q21" s="42"/>
    </row>
    <row r="22" spans="1:17" x14ac:dyDescent="0.3">
      <c r="A22" s="39">
        <f t="shared" si="0"/>
        <v>16</v>
      </c>
      <c r="B22" s="69" t="s">
        <v>95</v>
      </c>
      <c r="C22" s="38">
        <v>25</v>
      </c>
      <c r="D22" s="43">
        <v>5</v>
      </c>
      <c r="E22" s="40" t="s">
        <v>88</v>
      </c>
      <c r="F22" s="51"/>
      <c r="G22" s="51"/>
      <c r="H22" s="51"/>
      <c r="I22" s="51"/>
      <c r="J22" s="51">
        <f>200</f>
        <v>200</v>
      </c>
      <c r="K22" s="70">
        <f t="shared" si="5"/>
        <v>200</v>
      </c>
      <c r="L22" s="70">
        <f t="shared" si="6"/>
        <v>200</v>
      </c>
      <c r="M22" s="41"/>
      <c r="N22" s="71">
        <f t="shared" si="7"/>
        <v>5000</v>
      </c>
      <c r="O22" s="72">
        <f t="shared" si="8"/>
        <v>5</v>
      </c>
      <c r="P22" s="42"/>
    </row>
    <row r="23" spans="1:17" x14ac:dyDescent="0.3">
      <c r="A23" s="39">
        <f t="shared" si="0"/>
        <v>17</v>
      </c>
      <c r="B23" s="69" t="s">
        <v>85</v>
      </c>
      <c r="C23" s="38">
        <v>18</v>
      </c>
      <c r="D23" s="43">
        <v>5</v>
      </c>
      <c r="E23" s="40" t="s">
        <v>88</v>
      </c>
      <c r="F23" s="51">
        <v>100</v>
      </c>
      <c r="G23" s="51"/>
      <c r="H23" s="51"/>
      <c r="I23" s="51"/>
      <c r="J23" s="51"/>
      <c r="K23" s="70">
        <f t="shared" ref="K23" si="9">SUM(G23:J23)</f>
        <v>0</v>
      </c>
      <c r="L23" s="70">
        <f t="shared" ref="L23" si="10">K23-F23</f>
        <v>-100</v>
      </c>
      <c r="M23" s="41"/>
      <c r="N23" s="71">
        <f t="shared" ref="N23" si="11">K23*C23</f>
        <v>0</v>
      </c>
      <c r="O23" s="72">
        <f t="shared" ref="O23" si="12">N23/1000</f>
        <v>0</v>
      </c>
      <c r="P23" s="42"/>
    </row>
    <row r="24" spans="1:17" x14ac:dyDescent="0.3">
      <c r="A24" s="39">
        <f>1+A22</f>
        <v>17</v>
      </c>
      <c r="B24" s="69" t="s">
        <v>87</v>
      </c>
      <c r="C24" s="38">
        <v>18</v>
      </c>
      <c r="D24" s="43">
        <v>5</v>
      </c>
      <c r="E24" s="40" t="s">
        <v>88</v>
      </c>
      <c r="F24" s="51">
        <v>1003</v>
      </c>
      <c r="G24" s="51">
        <f>30+20+10</f>
        <v>60</v>
      </c>
      <c r="H24" s="51">
        <f>80+30+80</f>
        <v>190</v>
      </c>
      <c r="I24" s="51"/>
      <c r="J24" s="51">
        <f>300+600+300+400+700+300</f>
        <v>2600</v>
      </c>
      <c r="K24" s="70">
        <f t="shared" ref="K24:K25" si="13">SUM(G24:J24)</f>
        <v>2850</v>
      </c>
      <c r="L24" s="70">
        <f t="shared" ref="L24:L25" si="14">K24-F24</f>
        <v>1847</v>
      </c>
      <c r="M24" s="41"/>
      <c r="N24" s="71">
        <f t="shared" ref="N24:N25" si="15">K24*C24</f>
        <v>51300</v>
      </c>
      <c r="O24" s="72">
        <f t="shared" ref="O24:O25" si="16">N24/1000</f>
        <v>51.3</v>
      </c>
      <c r="P24" s="42"/>
    </row>
    <row r="25" spans="1:17" x14ac:dyDescent="0.3">
      <c r="A25" s="39">
        <f t="shared" si="0"/>
        <v>18</v>
      </c>
      <c r="B25" s="69" t="s">
        <v>96</v>
      </c>
      <c r="C25" s="38">
        <v>12</v>
      </c>
      <c r="D25" s="43">
        <v>5</v>
      </c>
      <c r="E25" s="40" t="s">
        <v>88</v>
      </c>
      <c r="F25" s="51">
        <v>200</v>
      </c>
      <c r="G25" s="51"/>
      <c r="H25" s="51"/>
      <c r="I25" s="51"/>
      <c r="J25" s="51"/>
      <c r="K25" s="70">
        <f t="shared" si="13"/>
        <v>0</v>
      </c>
      <c r="L25" s="70">
        <f t="shared" si="14"/>
        <v>-200</v>
      </c>
      <c r="M25" s="41"/>
      <c r="N25" s="71">
        <f t="shared" si="15"/>
        <v>0</v>
      </c>
      <c r="O25" s="72">
        <f t="shared" si="16"/>
        <v>0</v>
      </c>
      <c r="P25" s="42"/>
    </row>
    <row r="26" spans="1:17" x14ac:dyDescent="0.3">
      <c r="A26" s="123" t="s">
        <v>8</v>
      </c>
      <c r="B26" s="123"/>
      <c r="C26" s="123"/>
      <c r="D26" s="123"/>
      <c r="E26" s="123"/>
      <c r="F26" s="46">
        <f t="shared" ref="F26:L26" si="17">SUM(F7:F25)</f>
        <v>6042</v>
      </c>
      <c r="G26" s="46">
        <f t="shared" si="17"/>
        <v>720</v>
      </c>
      <c r="H26" s="46">
        <f t="shared" si="17"/>
        <v>1587</v>
      </c>
      <c r="I26" s="46">
        <f t="shared" si="17"/>
        <v>0</v>
      </c>
      <c r="J26" s="46">
        <f t="shared" si="17"/>
        <v>24975</v>
      </c>
      <c r="K26" s="46">
        <f t="shared" si="17"/>
        <v>27282</v>
      </c>
      <c r="L26" s="46">
        <f t="shared" si="17"/>
        <v>21240</v>
      </c>
      <c r="M26" s="46"/>
      <c r="N26" s="46">
        <f>SUM(N7:N25)</f>
        <v>504320</v>
      </c>
      <c r="O26" s="46">
        <f>SUM(O7:O25)</f>
        <v>504.32</v>
      </c>
      <c r="P26" s="42"/>
    </row>
    <row r="27" spans="1:17" x14ac:dyDescent="0.3">
      <c r="A27" s="49"/>
      <c r="B27" s="49"/>
      <c r="C27" s="49"/>
      <c r="D27" s="50"/>
      <c r="K27" s="42"/>
    </row>
    <row r="28" spans="1:17" x14ac:dyDescent="0.3">
      <c r="A28" s="115" t="s">
        <v>4</v>
      </c>
      <c r="B28" s="115"/>
      <c r="C28" s="115"/>
      <c r="D28" s="115"/>
      <c r="E28" s="47"/>
      <c r="F28" s="47"/>
      <c r="G28" s="47"/>
      <c r="H28" s="47"/>
      <c r="I28" s="47"/>
      <c r="J28" s="47"/>
      <c r="K28" s="47"/>
      <c r="L28" s="47"/>
    </row>
    <row r="29" spans="1:17" x14ac:dyDescent="0.3">
      <c r="A29" s="106" t="s">
        <v>6</v>
      </c>
      <c r="B29" s="106"/>
      <c r="C29" s="106"/>
      <c r="D29" s="106"/>
      <c r="E29" s="106"/>
      <c r="F29" s="106"/>
      <c r="G29" s="106"/>
      <c r="H29" s="106"/>
      <c r="I29" s="106"/>
      <c r="J29" s="106"/>
      <c r="K29" s="106"/>
      <c r="L29" s="106"/>
    </row>
    <row r="30" spans="1:17" x14ac:dyDescent="0.3">
      <c r="A30" s="106" t="s">
        <v>7</v>
      </c>
      <c r="B30" s="106"/>
      <c r="C30" s="106"/>
      <c r="D30" s="106"/>
      <c r="E30" s="106"/>
      <c r="F30" s="106"/>
      <c r="G30" s="106"/>
      <c r="H30" s="106"/>
      <c r="I30" s="106"/>
      <c r="J30" s="106"/>
      <c r="K30" s="106"/>
      <c r="L30" s="106"/>
    </row>
    <row r="31" spans="1:17" x14ac:dyDescent="0.3">
      <c r="A31" s="47"/>
      <c r="B31" s="47"/>
      <c r="C31" s="47"/>
      <c r="D31" s="47"/>
      <c r="E31" s="47"/>
      <c r="F31" s="47"/>
      <c r="G31" s="47"/>
      <c r="H31" s="47"/>
      <c r="I31" s="47"/>
      <c r="J31" s="47"/>
      <c r="K31" s="47"/>
      <c r="L31" s="47"/>
    </row>
    <row r="32" spans="1:17" x14ac:dyDescent="0.3">
      <c r="A32" s="44" t="s">
        <v>9</v>
      </c>
      <c r="B32" s="44"/>
      <c r="C32" s="44"/>
      <c r="D32" s="45" t="s">
        <v>5</v>
      </c>
      <c r="E32" s="48"/>
      <c r="F32" s="48"/>
      <c r="G32" s="48"/>
      <c r="H32" s="48"/>
      <c r="I32" s="48"/>
      <c r="J32" s="48"/>
      <c r="K32" s="48"/>
      <c r="L32" s="48"/>
    </row>
    <row r="33" spans="1:12" x14ac:dyDescent="0.3">
      <c r="A33" s="44" t="s">
        <v>89</v>
      </c>
      <c r="B33" s="78">
        <v>45584</v>
      </c>
      <c r="C33" s="45"/>
      <c r="D33" s="45" t="s">
        <v>3</v>
      </c>
      <c r="E33" s="48"/>
      <c r="F33" s="48"/>
      <c r="G33" s="48"/>
      <c r="H33" s="48"/>
      <c r="I33" s="48"/>
      <c r="J33" s="48"/>
      <c r="K33" s="48"/>
      <c r="L33" s="48"/>
    </row>
  </sheetData>
  <mergeCells count="12">
    <mergeCell ref="B1:C1"/>
    <mergeCell ref="A30:L30"/>
    <mergeCell ref="B3:D3"/>
    <mergeCell ref="B4:D4"/>
    <mergeCell ref="G5:K5"/>
    <mergeCell ref="A28:D28"/>
    <mergeCell ref="A29:L29"/>
    <mergeCell ref="D1:E1"/>
    <mergeCell ref="E3:M4"/>
    <mergeCell ref="A2:M2"/>
    <mergeCell ref="A26:E26"/>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5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
  <sheetViews>
    <sheetView topLeftCell="A2" zoomScaleNormal="100" workbookViewId="0">
      <selection activeCell="H4" sqref="H4"/>
    </sheetView>
  </sheetViews>
  <sheetFormatPr defaultColWidth="24.33203125" defaultRowHeight="14.4" x14ac:dyDescent="0.3"/>
  <cols>
    <col min="1" max="1" width="25.88671875" bestFit="1" customWidth="1"/>
    <col min="2" max="2" width="18.88671875" bestFit="1" customWidth="1"/>
    <col min="3" max="3" width="8.33203125" bestFit="1" customWidth="1"/>
    <col min="4" max="4" width="12.33203125" bestFit="1" customWidth="1"/>
    <col min="5" max="5" width="8.44140625" customWidth="1"/>
    <col min="6" max="6" width="8.88671875" bestFit="1" customWidth="1"/>
    <col min="7" max="7" width="16" bestFit="1" customWidth="1"/>
    <col min="8" max="8" width="13.88671875" bestFit="1" customWidth="1"/>
  </cols>
  <sheetData>
    <row r="1" spans="1:8" x14ac:dyDescent="0.3">
      <c r="A1" s="17" t="s">
        <v>31</v>
      </c>
      <c r="B1" s="18"/>
      <c r="C1" s="18"/>
      <c r="D1" s="19"/>
      <c r="E1" s="12"/>
      <c r="F1" s="12"/>
      <c r="G1" s="7" t="s">
        <v>16</v>
      </c>
      <c r="H1" s="54">
        <f>Declaration!C10</f>
        <v>45583</v>
      </c>
    </row>
    <row r="2" spans="1:8" x14ac:dyDescent="0.3">
      <c r="A2" s="3" t="s">
        <v>11</v>
      </c>
      <c r="B2" s="88" t="str">
        <f>Declaration!C3</f>
        <v>SHREE JI ENTERPRISES</v>
      </c>
      <c r="C2" s="88"/>
      <c r="D2" s="19"/>
      <c r="E2" s="12"/>
      <c r="F2" s="12"/>
      <c r="G2" s="7" t="s">
        <v>18</v>
      </c>
      <c r="H2" s="55">
        <f>Declaration!C12</f>
        <v>45584</v>
      </c>
    </row>
    <row r="3" spans="1:8" ht="24" x14ac:dyDescent="0.3">
      <c r="A3" s="20" t="s">
        <v>32</v>
      </c>
      <c r="B3" s="20" t="s">
        <v>40</v>
      </c>
      <c r="C3" s="20" t="s">
        <v>38</v>
      </c>
      <c r="D3" s="21" t="s">
        <v>33</v>
      </c>
      <c r="E3" s="22" t="s">
        <v>34</v>
      </c>
      <c r="F3" s="21" t="s">
        <v>35</v>
      </c>
      <c r="G3" s="22" t="s">
        <v>36</v>
      </c>
      <c r="H3" s="23" t="s">
        <v>37</v>
      </c>
    </row>
    <row r="4" spans="1:8" x14ac:dyDescent="0.25">
      <c r="A4" s="52">
        <v>1</v>
      </c>
      <c r="B4" s="66" t="s">
        <v>99</v>
      </c>
      <c r="C4" s="77">
        <v>1</v>
      </c>
      <c r="D4" s="67">
        <v>45583</v>
      </c>
      <c r="E4" s="68" t="s">
        <v>102</v>
      </c>
      <c r="F4" s="68" t="s">
        <v>104</v>
      </c>
      <c r="G4" s="79" t="s">
        <v>100</v>
      </c>
      <c r="H4" s="53"/>
    </row>
    <row r="5" spans="1:8" x14ac:dyDescent="0.25">
      <c r="A5" s="52">
        <v>2</v>
      </c>
      <c r="B5" s="66" t="s">
        <v>99</v>
      </c>
      <c r="C5" s="77">
        <v>1</v>
      </c>
      <c r="D5" s="67">
        <v>45584</v>
      </c>
      <c r="E5" s="68" t="s">
        <v>102</v>
      </c>
      <c r="F5" s="68" t="s">
        <v>103</v>
      </c>
      <c r="G5" s="79" t="s">
        <v>100</v>
      </c>
      <c r="H5" s="53"/>
    </row>
    <row r="6" spans="1:8" x14ac:dyDescent="0.3">
      <c r="B6" s="56" t="s">
        <v>66</v>
      </c>
      <c r="C6" s="57">
        <f>SUM(C4:C5)</f>
        <v>2</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7"/>
  <sheetViews>
    <sheetView zoomScale="96" zoomScaleNormal="96" workbookViewId="0">
      <selection activeCell="E4" sqref="E4"/>
    </sheetView>
  </sheetViews>
  <sheetFormatPr defaultColWidth="10" defaultRowHeight="14.4" x14ac:dyDescent="0.3"/>
  <cols>
    <col min="1" max="1" width="5.88671875" bestFit="1" customWidth="1"/>
    <col min="2" max="2" width="34.109375" customWidth="1"/>
    <col min="3" max="3" width="28.77734375" customWidth="1"/>
    <col min="4" max="4" width="15.33203125" customWidth="1"/>
    <col min="5" max="5" width="8.33203125" bestFit="1" customWidth="1"/>
    <col min="6" max="6" width="13.44140625" customWidth="1"/>
    <col min="7" max="7" width="17.88671875" hidden="1" customWidth="1"/>
    <col min="8" max="8" width="9.33203125" bestFit="1" customWidth="1"/>
    <col min="9" max="9" width="8.33203125" bestFit="1" customWidth="1"/>
  </cols>
  <sheetData>
    <row r="2" spans="1:10" x14ac:dyDescent="0.3">
      <c r="B2" s="64">
        <f>Declaration!C10</f>
        <v>45583</v>
      </c>
      <c r="C2" s="59" t="str">
        <f>Declaration!C3</f>
        <v>SHREE JI ENTERPRISES</v>
      </c>
    </row>
    <row r="3" spans="1:10" x14ac:dyDescent="0.3">
      <c r="A3" s="60" t="s">
        <v>39</v>
      </c>
      <c r="B3" s="65" t="s">
        <v>70</v>
      </c>
      <c r="C3" s="61" t="s">
        <v>50</v>
      </c>
      <c r="D3" s="60" t="s">
        <v>41</v>
      </c>
      <c r="E3" s="74" t="s">
        <v>74</v>
      </c>
      <c r="F3" s="74" t="s">
        <v>75</v>
      </c>
      <c r="G3" s="74" t="s">
        <v>76</v>
      </c>
      <c r="H3" s="74" t="s">
        <v>77</v>
      </c>
      <c r="I3" s="60" t="s">
        <v>78</v>
      </c>
    </row>
    <row r="4" spans="1:10" x14ac:dyDescent="0.3">
      <c r="A4" s="25">
        <v>1</v>
      </c>
      <c r="B4" s="25" t="s">
        <v>79</v>
      </c>
      <c r="C4" s="26">
        <f>20.5+19.5+18.5+21.3+17.4+18.9</f>
        <v>116.1</v>
      </c>
      <c r="D4" s="25">
        <v>6</v>
      </c>
      <c r="E4" s="75">
        <v>20</v>
      </c>
      <c r="F4" s="75">
        <f>C4*E4</f>
        <v>2322</v>
      </c>
      <c r="G4" s="75">
        <v>0</v>
      </c>
      <c r="H4" s="76">
        <f>F4-G4</f>
        <v>2322</v>
      </c>
      <c r="I4" s="25"/>
    </row>
    <row r="5" spans="1:10" x14ac:dyDescent="0.3">
      <c r="A5" s="25">
        <f>A4+1</f>
        <v>2</v>
      </c>
      <c r="B5" s="25" t="s">
        <v>80</v>
      </c>
      <c r="C5" s="26">
        <f>21.4+20+19.5+21.6+21.5+14.5</f>
        <v>118.5</v>
      </c>
      <c r="D5" s="25">
        <v>6</v>
      </c>
      <c r="E5" s="75">
        <v>20</v>
      </c>
      <c r="F5" s="75">
        <f>C5*E5</f>
        <v>2370</v>
      </c>
      <c r="G5" s="75">
        <v>0</v>
      </c>
      <c r="H5" s="76">
        <f>F5-G5</f>
        <v>2370</v>
      </c>
      <c r="I5" s="25"/>
    </row>
    <row r="6" spans="1:10" x14ac:dyDescent="0.3">
      <c r="A6" s="25">
        <f>A5+1</f>
        <v>3</v>
      </c>
      <c r="B6" s="25" t="s">
        <v>81</v>
      </c>
      <c r="C6" s="81">
        <f>32.4+15.2</f>
        <v>47.599999999999994</v>
      </c>
      <c r="D6" s="25">
        <v>2</v>
      </c>
      <c r="E6" s="75">
        <v>20</v>
      </c>
      <c r="F6" s="75">
        <f>C6*E6</f>
        <v>951.99999999999989</v>
      </c>
      <c r="G6" s="75">
        <v>0</v>
      </c>
      <c r="H6" s="76">
        <f>F6-G6</f>
        <v>951.99999999999989</v>
      </c>
      <c r="I6" s="25"/>
    </row>
    <row r="7" spans="1:10" x14ac:dyDescent="0.3">
      <c r="A7" s="129">
        <f>A6+1</f>
        <v>4</v>
      </c>
      <c r="B7" s="84" t="s">
        <v>106</v>
      </c>
      <c r="C7" s="130">
        <f>14.5+22+19.4+34.8+12.4+18.5+13.7+21.5+20.5+11.7</f>
        <v>188.99999999999997</v>
      </c>
      <c r="D7" s="131">
        <v>10</v>
      </c>
      <c r="E7" s="133">
        <v>10</v>
      </c>
      <c r="F7" s="133">
        <f>C7*E7</f>
        <v>1889.9999999999998</v>
      </c>
      <c r="G7" s="75"/>
      <c r="H7" s="135">
        <f>F7-G8</f>
        <v>1889.9999999999998</v>
      </c>
      <c r="I7" s="127"/>
    </row>
    <row r="8" spans="1:10" x14ac:dyDescent="0.3">
      <c r="A8" s="129"/>
      <c r="B8" s="80" t="s">
        <v>105</v>
      </c>
      <c r="C8" s="130"/>
      <c r="D8" s="132"/>
      <c r="E8" s="134"/>
      <c r="F8" s="134"/>
      <c r="G8" s="75">
        <v>0</v>
      </c>
      <c r="H8" s="136"/>
      <c r="I8" s="128"/>
    </row>
    <row r="9" spans="1:10" x14ac:dyDescent="0.3">
      <c r="A9" s="11"/>
      <c r="B9" s="11" t="s">
        <v>42</v>
      </c>
      <c r="C9" s="82">
        <f>SUM(C4:C7)</f>
        <v>471.19999999999993</v>
      </c>
      <c r="D9" s="58">
        <f>SUM(D4:D8)</f>
        <v>24</v>
      </c>
      <c r="E9" s="58"/>
      <c r="F9" s="58">
        <f>SUM(F4:F7)</f>
        <v>7534</v>
      </c>
      <c r="G9" s="58">
        <f>SUM(G4:G8)</f>
        <v>0</v>
      </c>
      <c r="H9" s="58">
        <f>SUM(H4:H7)</f>
        <v>7534</v>
      </c>
      <c r="I9" s="58"/>
    </row>
    <row r="11" spans="1:10" ht="39" customHeight="1" x14ac:dyDescent="0.3">
      <c r="B11" t="s">
        <v>51</v>
      </c>
      <c r="J11" s="24"/>
    </row>
    <row r="12" spans="1:10" ht="39" customHeight="1" x14ac:dyDescent="0.3"/>
    <row r="13" spans="1:10" x14ac:dyDescent="0.3">
      <c r="B13" t="s">
        <v>30</v>
      </c>
    </row>
    <row r="17" spans="4:4" x14ac:dyDescent="0.3">
      <c r="D17" s="83"/>
    </row>
  </sheetData>
  <mergeCells count="7">
    <mergeCell ref="I7:I8"/>
    <mergeCell ref="A7:A8"/>
    <mergeCell ref="C7:C8"/>
    <mergeCell ref="D7:D8"/>
    <mergeCell ref="E7:E8"/>
    <mergeCell ref="F7:F8"/>
    <mergeCell ref="H7:H8"/>
  </mergeCells>
  <pageMargins left="0.7" right="0.7" top="0.75" bottom="0.75" header="0.3" footer="0.3"/>
  <pageSetup paperSize="9" fitToWidth="0"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Props1.xml><?xml version="1.0" encoding="utf-8"?>
<ds:datastoreItem xmlns:ds="http://schemas.openxmlformats.org/officeDocument/2006/customXml" ds:itemID="{687618BF-4687-456E-9C4B-C593496D954E}">
  <ds:schemaRefs>
    <ds:schemaRef ds:uri="http://schemas.microsoft.com/sharepoint/v3/contenttype/forms"/>
  </ds:schemaRefs>
</ds:datastoreItem>
</file>

<file path=customXml/itemProps2.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1BC63A8-6981-45C2-A473-37306D3BAA09}">
  <ds:schemaRefs>
    <ds:schemaRef ds:uri="http://purl.org/dc/elements/1.1/"/>
    <ds:schemaRef ds:uri="fa66f92d-833a-4cb8-a712-221909bdb10d"/>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26f0e883-195c-4097-964b-4652bc177b58"/>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dcterms:created xsi:type="dcterms:W3CDTF">2018-09-14T16:50:16Z</dcterms:created>
  <dcterms:modified xsi:type="dcterms:W3CDTF">2024-10-19T12:30:04Z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