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90B00565-C604-4589-84F0-946432B16047}"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Sheet'!$A$2:$O$19</definedName>
    <definedName name="_xlnm._FilterDatabase" localSheetId="3" hidden="1">'Scrap stock detail'!$A$3:$I$8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2" i="2" l="1"/>
  <c r="J9" i="2"/>
  <c r="A6" i="3"/>
  <c r="A7" i="3" s="1"/>
  <c r="A8" i="3" s="1"/>
  <c r="A5" i="3"/>
  <c r="A10" i="2"/>
  <c r="A11" i="2" s="1"/>
  <c r="A12" i="2" s="1"/>
  <c r="A13" i="2" s="1"/>
  <c r="A14" i="2" s="1"/>
  <c r="A15" i="2" s="1"/>
  <c r="A16" i="2" s="1"/>
  <c r="A17" i="2" s="1"/>
  <c r="A18" i="2" s="1"/>
  <c r="G13" i="2"/>
  <c r="H13" i="2"/>
  <c r="J13" i="2"/>
  <c r="H17" i="2"/>
  <c r="J17" i="2"/>
  <c r="J15" i="2"/>
  <c r="H18" i="2"/>
  <c r="J18" i="2"/>
  <c r="K18" i="2" s="1"/>
  <c r="N18" i="2" s="1"/>
  <c r="O18" i="2" s="1"/>
  <c r="G10" i="2"/>
  <c r="H10" i="2"/>
  <c r="J10" i="2"/>
  <c r="G7" i="2"/>
  <c r="H7" i="2"/>
  <c r="J7" i="2"/>
  <c r="G11" i="2"/>
  <c r="H11" i="2"/>
  <c r="J11" i="2"/>
  <c r="G8" i="2"/>
  <c r="H8" i="2"/>
  <c r="J8" i="2"/>
  <c r="G14" i="2"/>
  <c r="H14" i="2"/>
  <c r="J14" i="2"/>
  <c r="J16" i="2"/>
  <c r="K16" i="2" s="1"/>
  <c r="G15" i="2"/>
  <c r="H15" i="2"/>
  <c r="F5" i="4"/>
  <c r="H5" i="4" s="1"/>
  <c r="F6" i="4"/>
  <c r="H6" i="4" s="1"/>
  <c r="F7" i="4"/>
  <c r="H7" i="4" s="1"/>
  <c r="G8" i="4"/>
  <c r="C8" i="4"/>
  <c r="D8" i="4"/>
  <c r="L18" i="2" l="1"/>
  <c r="K17" i="2"/>
  <c r="N17" i="2" s="1"/>
  <c r="O17" i="2" s="1"/>
  <c r="L16" i="2"/>
  <c r="N16" i="2"/>
  <c r="O16" i="2" s="1"/>
  <c r="K15" i="2"/>
  <c r="L15" i="2" s="1"/>
  <c r="F4" i="4"/>
  <c r="F8" i="4" s="1"/>
  <c r="L17" i="2" l="1"/>
  <c r="N15" i="2"/>
  <c r="O15" i="2" s="1"/>
  <c r="H4" i="4"/>
  <c r="H8" i="4" s="1"/>
  <c r="B30" i="1"/>
  <c r="C2" i="4" l="1"/>
  <c r="D23" i="1"/>
  <c r="B26" i="2"/>
  <c r="M19" i="2"/>
  <c r="J19" i="2"/>
  <c r="I19" i="2"/>
  <c r="H19" i="2"/>
  <c r="G19" i="2"/>
  <c r="F19" i="2"/>
  <c r="H1" i="3" l="1"/>
  <c r="H2" i="3"/>
  <c r="B2" i="3"/>
  <c r="B2" i="4"/>
  <c r="C9" i="3"/>
  <c r="C30" i="1"/>
  <c r="D30" i="1"/>
  <c r="K11" i="2"/>
  <c r="N11" i="2" s="1"/>
  <c r="O11" i="2" s="1"/>
  <c r="K9" i="2"/>
  <c r="N9" i="2" s="1"/>
  <c r="O9" i="2" s="1"/>
  <c r="B5" i="2"/>
  <c r="B3" i="2"/>
  <c r="K14" i="2"/>
  <c r="N14" i="2" s="1"/>
  <c r="O14" i="2" s="1"/>
  <c r="K13" i="2"/>
  <c r="N13" i="2" s="1"/>
  <c r="O13" i="2" s="1"/>
  <c r="K12" i="2"/>
  <c r="N12" i="2" s="1"/>
  <c r="O12" i="2" s="1"/>
  <c r="K10" i="2"/>
  <c r="N10" i="2" s="1"/>
  <c r="O10" i="2" s="1"/>
  <c r="K8" i="2"/>
  <c r="N8" i="2" s="1"/>
  <c r="O8" i="2" s="1"/>
  <c r="C19" i="1"/>
  <c r="C17" i="1"/>
  <c r="L8" i="2" l="1"/>
  <c r="L9" i="2"/>
  <c r="L10" i="2"/>
  <c r="L11" i="2"/>
  <c r="L12" i="2"/>
  <c r="L13" i="2"/>
  <c r="L14" i="2"/>
  <c r="A5" i="4"/>
  <c r="A6" i="4" s="1"/>
  <c r="A7" i="4" s="1"/>
  <c r="A8" i="2"/>
  <c r="A9" i="2" s="1"/>
  <c r="C18" i="1" l="1"/>
  <c r="K7" i="2"/>
  <c r="C20" i="1"/>
  <c r="L7" i="2" l="1"/>
  <c r="L19" i="2" s="1"/>
  <c r="K19" i="2"/>
  <c r="C21" i="1"/>
  <c r="N7" i="2"/>
  <c r="N19" i="2" s="1"/>
  <c r="O7" i="2" l="1"/>
  <c r="O19" i="2" s="1"/>
</calcChain>
</file>

<file path=xl/sharedStrings.xml><?xml version="1.0" encoding="utf-8"?>
<sst xmlns="http://schemas.openxmlformats.org/spreadsheetml/2006/main" count="142" uniqueCount="100">
  <si>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</si>
  <si>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</si>
  <si>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</si>
  <si>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</si>
  <si>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</si>
  <si>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</si>
  <si>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</si>
  <si>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</si>
  <si>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</si>
  <si>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</si>
  <si>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</si>
  <si>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</si>
  <si>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</si>
  <si>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</si>
  <si>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</si>
  <si>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</si>
  <si>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</si>
  <si>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</si>
  <si>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</si>
  <si>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</si>
  <si>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</si>
  <si>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</si>
  <si>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</si>
  <si>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</si>
  <si>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</si>
  <si>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</si>
  <si>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</si>
  <si>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</si>
  <si>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</si>
  <si>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</si>
  <si>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Pcs</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</si>
  <si>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</si>
  <si>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</si>
  <si>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</si>
  <si>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</si>
  <si>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</si>
  <si>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</si>
  <si>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</si>
  <si>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</si>
  <si>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</si>
  <si>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</si>
  <si>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</si>
  <si>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</si>
  <si>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Remark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</si>
  <si>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</si>
  <si>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</si>
  <si>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</si>
  <si>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</si>
  <si>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</si>
  <si>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</si>
  <si>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</si>
  <si>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</si>
  <si>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</si>
  <si>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</si>
  <si>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</si>
  <si>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</si>
  <si>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</si>
  <si>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</si>
  <si>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</si>
  <si>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</si>
  <si>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</si>
  <si>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</si>
  <si>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</si>
  <si>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</si>
  <si>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</si>
  <si>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</si>
  <si>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</si>
  <si>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</si>
  <si>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</si>
  <si>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</si>
  <si>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</si>
  <si>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</si>
  <si>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</si>
  <si>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</si>
  <si>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</si>
  <si>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</si>
  <si>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 xml:space="preserve">Chips </t>
  </si>
  <si>
    <t>Chulbule</t>
  </si>
  <si>
    <t>Namkeen</t>
  </si>
  <si>
    <t>Ring</t>
  </si>
  <si>
    <t>Avadh</t>
  </si>
  <si>
    <t>Chips</t>
  </si>
  <si>
    <t>Rate/KG</t>
  </si>
  <si>
    <t>Scrap Amount</t>
  </si>
  <si>
    <t>Pay Amount</t>
  </si>
  <si>
    <t>Balance</t>
  </si>
  <si>
    <t>WHITE PAPER TRADERS</t>
  </si>
  <si>
    <t>Borash</t>
  </si>
  <si>
    <t>10:00AM</t>
  </si>
  <si>
    <t>06:30PM</t>
  </si>
  <si>
    <t>POP TUBE</t>
  </si>
  <si>
    <t>TRIKON</t>
  </si>
  <si>
    <t>PASTHA</t>
  </si>
  <si>
    <t>POPCORN</t>
  </si>
  <si>
    <t>rajeev,boras</t>
  </si>
  <si>
    <t>HS NO. GRND FLOOR KH. NO 45/19/2 RANHDLLA VIHAR NANAGLOI DELHI 110041</t>
  </si>
  <si>
    <t>ANIL KALRA</t>
  </si>
  <si>
    <t>N/A</t>
  </si>
  <si>
    <t>07:30PM</t>
  </si>
  <si>
    <t>RING,AVADH,POP TUBE,PASTHA,POPCRON,TRIKON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</si>
</sst>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h:mm"/>
    <numFmt numFmtId="169" formatCode="[$-409]d/mmm/yy;@"/>
  </numFmts>
  <fonts count="35">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3">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5" fillId="0" borderId="0" xfId="0" applyFont="1" applyAlignment="1">
      <alignment horizontal="center" vertical="top"/>
    </xf>
    <xf numFmtId="0" fontId="27" fillId="5" borderId="2" xfId="0" applyFont="1" applyFill="1" applyBorder="1" applyAlignment="1">
      <alignment horizontal="center" vertical="center"/>
    </xf>
    <xf numFmtId="166" fontId="25" fillId="7" borderId="1" xfId="0" applyNumberFormat="1" applyFont="1" applyFill="1" applyBorder="1" applyAlignment="1">
      <alignment vertical="top"/>
    </xf>
    <xf numFmtId="166" fontId="25" fillId="0" borderId="15" xfId="0" applyNumberFormat="1" applyFont="1" applyBorder="1" applyAlignment="1">
      <alignment vertical="top"/>
    </xf>
    <xf numFmtId="0" fontId="27" fillId="8"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9" borderId="1" xfId="0" applyFont="1" applyFill="1" applyBorder="1" applyAlignment="1">
      <alignment horizontal="center" vertical="center" wrapText="1"/>
    </xf>
    <xf numFmtId="0" fontId="27" fillId="5" borderId="1" xfId="0" applyFont="1" applyFill="1" applyBorder="1" applyAlignment="1">
      <alignment horizontal="center" vertical="top" wrapText="1"/>
    </xf>
    <xf numFmtId="0" fontId="25" fillId="0" borderId="0" xfId="0" applyFont="1" applyAlignment="1">
      <alignment horizontal="center" vertical="top" wrapText="1"/>
    </xf>
    <xf numFmtId="0" fontId="25" fillId="0" borderId="1" xfId="0" applyFont="1" applyBorder="1" applyAlignment="1">
      <alignment horizontal="center" vertical="center"/>
    </xf>
    <xf numFmtId="0" fontId="28" fillId="0" borderId="1" xfId="4" applyFont="1" applyBorder="1" applyAlignment="1" applyProtection="1">
      <alignment horizontal="center" vertical="top"/>
    </xf>
    <xf numFmtId="43" fontId="25" fillId="0" borderId="0" xfId="0" applyNumberFormat="1" applyFont="1" applyAlignment="1">
      <alignment horizontal="center" vertical="top"/>
    </xf>
    <xf numFmtId="0" fontId="25" fillId="0" borderId="1" xfId="0" applyFont="1" applyBorder="1" applyAlignment="1">
      <alignment horizontal="center" vertical="top"/>
    </xf>
    <xf numFmtId="0" fontId="27" fillId="0" borderId="1" xfId="0" applyFont="1" applyBorder="1">
      <alignment vertical="center"/>
    </xf>
    <xf numFmtId="0" fontId="27" fillId="0" borderId="1" xfId="0" applyFont="1" applyBorder="1" applyAlignment="1">
      <alignment horizontal="center" vertical="center"/>
    </xf>
    <xf numFmtId="43" fontId="27" fillId="10" borderId="1" xfId="3" applyFont="1" applyFill="1" applyBorder="1" applyAlignment="1" applyProtection="1">
      <alignment horizontal="center" vertical="top"/>
    </xf>
    <xf numFmtId="0" fontId="27" fillId="0" borderId="0" xfId="0" applyFont="1" applyAlignment="1">
      <alignment horizontal="center" vertical="top"/>
    </xf>
    <xf numFmtId="0" fontId="27" fillId="0" borderId="0" xfId="0" applyFont="1">
      <alignment vertical="center"/>
    </xf>
    <xf numFmtId="0" fontId="25" fillId="0" borderId="16" xfId="0" applyFont="1" applyBorder="1" applyAlignment="1">
      <alignment horizontal="center" vertical="top"/>
    </xf>
    <xf numFmtId="0" fontId="25" fillId="0" borderId="17" xfId="0" applyFont="1" applyBorder="1" applyAlignment="1">
      <alignment horizontal="center" vertical="top"/>
    </xf>
    <xf numFmtId="0" fontId="23" fillId="13" borderId="0" xfId="0" applyFont="1" applyFill="1">
      <alignment vertical="center"/>
    </xf>
    <xf numFmtId="0" fontId="30"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3" fillId="14" borderId="7" xfId="0" applyFont="1" applyFill="1" applyBorder="1" applyAlignment="1">
      <alignment horizontal="left" vertical="top"/>
    </xf>
    <xf numFmtId="0" fontId="33" fillId="14" borderId="13" xfId="0" applyFont="1" applyFill="1" applyBorder="1" applyAlignment="1">
      <alignment horizontal="left" vertical="center"/>
    </xf>
    <xf numFmtId="0" fontId="2" fillId="10" borderId="1" xfId="0" applyFont="1" applyFill="1" applyBorder="1" applyAlignment="1">
      <alignment horizontal="center" vertical="center"/>
    </xf>
    <xf numFmtId="168" fontId="17" fillId="0" borderId="1" xfId="5" applyNumberFormat="1" applyFont="1" applyBorder="1" applyAlignment="1" applyProtection="1">
      <alignment horizontal="center" vertical="center" wrapText="1"/>
    </xf>
    <xf numFmtId="0" fontId="26" fillId="0" borderId="1" xfId="4" applyFont="1" applyBorder="1" applyAlignment="1" applyProtection="1">
      <alignment horizontal="left" vertical="top"/>
    </xf>
    <xf numFmtId="165" fontId="27" fillId="15" borderId="1" xfId="3" applyNumberFormat="1" applyFont="1" applyFill="1" applyBorder="1" applyAlignment="1" applyProtection="1">
      <alignment horizontal="center" vertical="top"/>
    </xf>
    <xf numFmtId="43" fontId="27" fillId="15" borderId="1" xfId="3" applyFont="1" applyFill="1" applyBorder="1" applyAlignment="1" applyProtection="1">
      <alignment horizontal="center" vertical="top"/>
    </xf>
    <xf numFmtId="0" fontId="18" fillId="12" borderId="1" xfId="5" applyFont="1" applyFill="1" applyBorder="1" applyAlignment="1" applyProtection="1">
      <alignment horizontal="center" vertical="center"/>
    </xf>
    <xf numFmtId="0" fontId="18" fillId="0" borderId="1" xfId="5" applyFont="1" applyBorder="1" applyAlignment="1" applyProtection="1">
      <alignment horizontal="center" vertical="center"/>
    </xf>
    <xf numFmtId="0" fontId="17" fillId="0" borderId="1" xfId="5" applyFont="1" applyBorder="1" applyAlignment="1" applyProtection="1">
      <alignment horizontal="center" vertical="center"/>
    </xf>
    <xf numFmtId="0" fontId="32" fillId="0" borderId="1" xfId="5" applyFont="1" applyBorder="1" applyAlignment="1" applyProtection="1">
      <alignment horizontal="center" vertical="center" wrapText="1"/>
    </xf>
    <xf numFmtId="169" fontId="31" fillId="0" borderId="1" xfId="0" applyNumberFormat="1" applyFont="1" applyBorder="1" applyAlignment="1">
      <alignment horizontal="center" vertical="center"/>
    </xf>
    <xf numFmtId="15" fontId="27" fillId="0" borderId="1" xfId="0" applyNumberFormat="1" applyFont="1" applyBorder="1" applyAlignment="1">
      <alignment horizontal="center" vertical="center"/>
    </xf>
    <xf numFmtId="165" fontId="23" fillId="5" borderId="1" xfId="3" applyNumberFormat="1" applyFont="1" applyFill="1" applyBorder="1" applyAlignment="1" applyProtection="1">
      <alignment vertical="center"/>
    </xf>
    <xf numFmtId="165" fontId="23" fillId="5" borderId="1" xfId="0" applyNumberFormat="1" applyFont="1" applyFill="1" applyBorder="1" applyAlignment="1">
      <alignment horizontal="center" vertical="center"/>
    </xf>
    <xf numFmtId="15" fontId="4" fillId="0" borderId="18" xfId="0" applyNumberFormat="1" applyFont="1" applyBorder="1" applyAlignment="1">
      <alignment horizontal="center" vertical="center"/>
    </xf>
    <xf numFmtId="0" fontId="0" fillId="0" borderId="18" xfId="0" applyBorder="1" applyAlignment="1">
      <alignment horizontal="center" vertical="center"/>
    </xf>
    <xf numFmtId="0" fontId="0" fillId="0" borderId="0" xfId="0" applyAlignment="1">
      <alignment vertical="center" wrapText="1"/>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4" fillId="0" borderId="1" xfId="3" applyFont="1" applyBorder="1" applyAlignment="1" applyProtection="1">
      <alignment vertical="center" wrapText="1"/>
    </xf>
    <xf numFmtId="43" fontId="4" fillId="5" borderId="1" xfId="3" applyFont="1" applyFill="1" applyBorder="1" applyAlignment="1" applyProtection="1">
      <alignment vertical="center"/>
    </xf>
    <xf numFmtId="43" fontId="25" fillId="0" borderId="1" xfId="3" applyFont="1" applyBorder="1" applyAlignment="1" applyProtection="1">
      <alignment horizontal="center" vertical="center"/>
    </xf>
    <xf numFmtId="167" fontId="28" fillId="0" borderId="1" xfId="3" applyNumberFormat="1" applyFont="1" applyBorder="1">
      <protection locked="0"/>
    </xf>
    <xf numFmtId="165" fontId="27" fillId="15" borderId="1" xfId="3" applyNumberFormat="1" applyFont="1" applyFill="1" applyBorder="1" applyAlignment="1" applyProtection="1">
      <alignment horizontal="center" vertical="center"/>
    </xf>
    <xf numFmtId="164" fontId="25" fillId="0" borderId="1" xfId="0" applyNumberFormat="1" applyFont="1" applyBorder="1" applyAlignment="1">
      <alignment horizontal="center" vertical="center"/>
    </xf>
    <xf numFmtId="15" fontId="13" fillId="0" borderId="1" xfId="0" applyNumberFormat="1" applyFont="1" applyBorder="1" applyAlignment="1">
      <alignment horizontal="center" vertical="center"/>
    </xf>
    <xf numFmtId="15" fontId="17" fillId="11" borderId="1" xfId="5" applyNumberFormat="1" applyFont="1" applyFill="1" applyBorder="1" applyAlignment="1" applyProtection="1">
      <alignment horizontal="center" vertical="center"/>
    </xf>
    <xf numFmtId="0" fontId="17" fillId="0" borderId="1" xfId="5" applyFont="1" applyBorder="1" applyAlignment="1" applyProtection="1">
      <alignment horizontal="center"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5" fontId="24" fillId="2" borderId="1" xfId="0" applyNumberFormat="1" applyFont="1" applyFill="1" applyBorder="1" applyAlignment="1" applyProtection="1">
      <alignment horizontal="center" vertical="center" wrapText="1"/>
      <protection hidden="1"/>
    </xf>
    <xf numFmtId="15"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 fillId="2" borderId="1" xfId="0" applyFont="1" applyFill="1" applyBorder="1" applyAlignment="1" applyProtection="1">
      <alignment horizontal="center" vertical="center" wrapText="1"/>
      <protection hidden="1"/>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6" fillId="2" borderId="1" xfId="0" applyFont="1" applyFill="1" applyBorder="1" applyAlignment="1" applyProtection="1">
      <alignment horizontal="center" vertical="center" wrapText="1"/>
      <protection hidden="1"/>
    </xf>
    <xf numFmtId="0" fontId="27" fillId="0" borderId="1" xfId="0" applyFont="1" applyBorder="1" applyAlignment="1">
      <alignment horizontal="left"/>
    </xf>
    <xf numFmtId="0" fontId="33" fillId="14" borderId="8" xfId="0" applyFont="1" applyFill="1" applyBorder="1" applyAlignment="1">
      <alignment horizontal="center" vertical="center"/>
    </xf>
    <xf numFmtId="0" fontId="33" fillId="14" borderId="9" xfId="0" applyFont="1" applyFill="1" applyBorder="1" applyAlignment="1">
      <alignment horizontal="center" vertical="center"/>
    </xf>
    <xf numFmtId="0" fontId="33" fillId="14" borderId="10" xfId="0" applyFont="1" applyFill="1" applyBorder="1" applyAlignment="1">
      <alignment horizontal="center" vertical="center"/>
    </xf>
    <xf numFmtId="0" fontId="33" fillId="14" borderId="2" xfId="0" applyFont="1" applyFill="1" applyBorder="1" applyAlignment="1">
      <alignment horizontal="center"/>
    </xf>
    <xf numFmtId="0" fontId="33" fillId="14" borderId="14" xfId="0" applyFont="1" applyFill="1" applyBorder="1" applyAlignment="1">
      <alignment horizontal="center"/>
    </xf>
    <xf numFmtId="0" fontId="33" fillId="14" borderId="3" xfId="0" applyFont="1" applyFill="1" applyBorder="1" applyAlignment="1">
      <alignment horizontal="center"/>
    </xf>
    <xf numFmtId="166" fontId="27" fillId="6" borderId="2" xfId="0" applyNumberFormat="1" applyFont="1" applyFill="1" applyBorder="1" applyAlignment="1">
      <alignment horizontal="center" vertical="top"/>
    </xf>
    <xf numFmtId="166" fontId="27" fillId="6" borderId="14" xfId="0" applyNumberFormat="1" applyFont="1" applyFill="1" applyBorder="1" applyAlignment="1">
      <alignment horizontal="center" vertical="top"/>
    </xf>
    <xf numFmtId="0" fontId="29" fillId="0" borderId="1" xfId="0" applyFont="1" applyBorder="1" applyAlignment="1">
      <alignment horizontal="left" vertical="top"/>
    </xf>
    <xf numFmtId="0" fontId="25" fillId="3" borderId="11" xfId="0" applyFont="1" applyFill="1" applyBorder="1" applyAlignment="1">
      <alignment horizontal="left" vertical="center"/>
    </xf>
    <xf numFmtId="0" fontId="25" fillId="3" borderId="12" xfId="0" applyFont="1" applyFill="1" applyBorder="1" applyAlignment="1">
      <alignment horizontal="left" vertical="center"/>
    </xf>
    <xf numFmtId="0" fontId="25" fillId="3" borderId="1" xfId="0" applyFont="1" applyFill="1" applyBorder="1" applyAlignment="1">
      <alignment horizontal="left" vertical="center"/>
    </xf>
    <xf numFmtId="0" fontId="25" fillId="3" borderId="15" xfId="0" applyFont="1" applyFill="1" applyBorder="1" applyAlignment="1">
      <alignment horizontal="left" vertical="center"/>
    </xf>
    <xf numFmtId="0" fontId="27" fillId="3" borderId="4" xfId="0" applyFont="1" applyFill="1" applyBorder="1" applyAlignment="1">
      <alignment horizontal="center" vertical="center"/>
    </xf>
    <xf numFmtId="0" fontId="27" fillId="3" borderId="5" xfId="0" applyFont="1" applyFill="1" applyBorder="1" applyAlignment="1">
      <alignment horizontal="center" vertical="center"/>
    </xf>
    <xf numFmtId="0" fontId="27" fillId="3" borderId="6" xfId="0" applyFont="1" applyFill="1" applyBorder="1" applyAlignment="1">
      <alignment horizontal="center" vertical="center"/>
    </xf>
    <xf numFmtId="0" fontId="27" fillId="10" borderId="1" xfId="0" applyFont="1" applyFill="1" applyBorder="1" applyAlignment="1">
      <alignment horizontal="center"/>
    </xf>
    <xf numFmtId="0" fontId="33" fillId="14" borderId="2" xfId="0" applyFont="1" applyFill="1" applyBorder="1" applyProtection="1">
      <alignment vertical="center"/>
      <protection hidden="1"/>
    </xf>
    <xf numFmtId="0" fontId="33" fillId="14" borderId="14" xfId="0" applyFont="1" applyFill="1" applyBorder="1" applyProtection="1">
      <alignment vertical="center"/>
      <protection hidden="1"/>
    </xf>
    <xf numFmtId="0" fontId="33" fillId="14" borderId="3" xfId="0" applyFont="1" applyFill="1" applyBorder="1" applyProtection="1">
      <alignment vertical="center"/>
      <protection hidden="1"/>
    </xf>
  </cellXfs>
  <cellStyles count="7">
    <cellStyle name="Comma" xfId="3" builtinId="3"/>
    <cellStyle name="Normal" xfId="0" builtinId="0"/>
    <cellStyle name="Normal 2" xfId="4" xr:uid="{00000000-0005-0000-0000-000002000000}"/>
    <cellStyle name="Normal 2 10" xfId="2" xr:uid="{00000000-0005-0000-0000-000003000000}"/>
    <cellStyle name="Normal 3" xfId="6" xr:uid="{00000000-0005-0000-0000-000004000000}"/>
    <cellStyle name="Normal_D&amp;D REPORT OF B.S.N TRADERS FOR THE MONTH OF DEC-08" xfId="5" xr:uid="{00000000-0005-0000-0000-000005000000}"/>
    <cellStyle name="Normal_MI20(1)" xfId="1" xr:uid="{00000000-0005-0000-0000-000006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4"/>
  <sheetViews>
    <sheetView tabSelected="1" zoomScaleNormal="100" workbookViewId="0">
      <selection activeCell="E13" sqref="E13"/>
    </sheetView>
  </sheetViews>
  <sheetFormatPr defaultColWidth="10.44140625" defaultRowHeight="14.4"/>
  <cols>
    <col min="1" max="1" width="3.5546875" style="1" customWidth="1"/>
    <col min="2" max="2" width="44.5546875" style="1" customWidth="1"/>
    <col min="3" max="3" width="36.5546875" style="1" bestFit="1" customWidth="1"/>
    <col min="4" max="4" width="46" style="1" customWidth="1"/>
    <col min="5" max="16384" width="10.44140625" style="1"/>
  </cols>
  <sheetData>
    <row r="1" spans="1:5">
      <c r="A1" s="1" t="s">
        <v>67</v>
      </c>
    </row>
    <row r="2" spans="1:5" s="2" customFormat="1" ht="15.6">
      <c r="B2" s="99" t="s">
        <v>10</v>
      </c>
      <c r="C2" s="99"/>
      <c r="D2" s="99"/>
    </row>
    <row r="3" spans="1:5">
      <c r="B3" s="3" t="s">
        <v>11</v>
      </c>
      <c r="C3" s="100" t="s">
        <v>86</v>
      </c>
      <c r="D3" s="100"/>
    </row>
    <row r="4" spans="1:5">
      <c r="B4" s="4" t="s">
        <v>12</v>
      </c>
      <c r="C4" s="100" t="s">
        <v>95</v>
      </c>
      <c r="D4" s="100"/>
    </row>
    <row r="5" spans="1:5">
      <c r="B5" s="5" t="s">
        <v>13</v>
      </c>
      <c r="C5" s="93" t="s">
        <v>87</v>
      </c>
      <c r="D5" s="86"/>
    </row>
    <row r="6" spans="1:5">
      <c r="B6" s="6" t="s">
        <v>14</v>
      </c>
      <c r="C6" s="93" t="s">
        <v>96</v>
      </c>
      <c r="D6" s="86"/>
    </row>
    <row r="7" spans="1:5">
      <c r="B7" s="6" t="s">
        <v>15</v>
      </c>
      <c r="C7" s="86">
        <v>9250116611</v>
      </c>
      <c r="D7" s="86"/>
      <c r="E7" s="1" t="s">
        <v>67</v>
      </c>
    </row>
    <row r="8" spans="1:5">
      <c r="B8" s="6" t="s">
        <v>48</v>
      </c>
      <c r="C8" s="93" t="s">
        <v>97</v>
      </c>
      <c r="D8" s="86"/>
    </row>
    <row r="9" spans="1:5">
      <c r="B9" s="6" t="s">
        <v>27</v>
      </c>
      <c r="C9" s="93" t="s">
        <v>97</v>
      </c>
      <c r="D9" s="86"/>
    </row>
    <row r="10" spans="1:5">
      <c r="B10" s="7" t="s">
        <v>16</v>
      </c>
      <c r="C10" s="90">
        <v>45556</v>
      </c>
      <c r="D10" s="90"/>
    </row>
    <row r="11" spans="1:5">
      <c r="B11" s="7" t="s">
        <v>17</v>
      </c>
      <c r="C11" s="91" t="s">
        <v>88</v>
      </c>
      <c r="D11" s="90"/>
    </row>
    <row r="12" spans="1:5">
      <c r="B12" s="7" t="s">
        <v>18</v>
      </c>
      <c r="C12" s="90">
        <v>45561</v>
      </c>
      <c r="D12" s="90"/>
    </row>
    <row r="13" spans="1:5">
      <c r="B13" s="7" t="s">
        <v>19</v>
      </c>
      <c r="C13" s="91" t="s">
        <v>98</v>
      </c>
      <c r="D13" s="90"/>
    </row>
    <row r="14" spans="1:5">
      <c r="B14" s="87" t="s">
        <v>20</v>
      </c>
      <c r="C14" s="87"/>
      <c r="D14" s="87"/>
    </row>
    <row r="15" spans="1:5">
      <c r="B15" s="87"/>
      <c r="C15" s="87"/>
      <c r="D15" s="87"/>
    </row>
    <row r="16" spans="1:5">
      <c r="B16" s="8"/>
      <c r="C16" s="97" t="s">
        <v>21</v>
      </c>
      <c r="D16" s="98"/>
    </row>
    <row r="17" spans="2:4">
      <c r="B17" s="9" t="s">
        <v>22</v>
      </c>
      <c r="C17" s="88">
        <f>'Distributor Claim Sheet'!G19</f>
        <v>619</v>
      </c>
      <c r="D17" s="89"/>
    </row>
    <row r="18" spans="2:4">
      <c r="B18" s="9" t="s">
        <v>55</v>
      </c>
      <c r="C18" s="83">
        <f>'Distributor Claim Sheet'!H19</f>
        <v>2301</v>
      </c>
      <c r="D18" s="84"/>
    </row>
    <row r="19" spans="2:4">
      <c r="B19" s="9" t="s">
        <v>63</v>
      </c>
      <c r="C19" s="83">
        <f>'Distributor Claim Sheet'!I19</f>
        <v>0</v>
      </c>
      <c r="D19" s="84"/>
    </row>
    <row r="20" spans="2:4">
      <c r="B20" s="9" t="s">
        <v>64</v>
      </c>
      <c r="C20" s="83">
        <f>'Distributor Claim Sheet'!J19</f>
        <v>43820</v>
      </c>
      <c r="D20" s="84"/>
    </row>
    <row r="21" spans="2:4">
      <c r="B21" s="10" t="s">
        <v>66</v>
      </c>
      <c r="C21" s="94">
        <f>SUM(C17:C20)</f>
        <v>46740</v>
      </c>
      <c r="D21" s="95"/>
    </row>
    <row r="22" spans="2:4">
      <c r="B22" s="96" t="s">
        <v>23</v>
      </c>
      <c r="C22" s="96"/>
      <c r="D22" s="96"/>
    </row>
    <row r="23" spans="2:4">
      <c r="B23" s="92" t="s">
        <v>62</v>
      </c>
      <c r="C23" s="92"/>
      <c r="D23" s="68">
        <f>'Scrap stock detail'!D8</f>
        <v>0</v>
      </c>
    </row>
    <row r="24" spans="2:4" s="2" customFormat="1">
      <c r="B24" s="85" t="s">
        <v>29</v>
      </c>
      <c r="C24" s="85"/>
      <c r="D24" s="85"/>
    </row>
    <row r="25" spans="2:4" s="2" customFormat="1">
      <c r="B25" s="85"/>
      <c r="C25" s="85"/>
      <c r="D25" s="85"/>
    </row>
    <row r="26" spans="2:4" s="2" customFormat="1">
      <c r="B26" s="85"/>
      <c r="C26" s="85"/>
      <c r="D26" s="85"/>
    </row>
    <row r="27" spans="2:4" s="2" customFormat="1">
      <c r="B27" s="85"/>
      <c r="C27" s="85"/>
      <c r="D27" s="85"/>
    </row>
    <row r="28" spans="2:4">
      <c r="B28" s="85"/>
      <c r="C28" s="85"/>
      <c r="D28" s="85"/>
    </row>
    <row r="29" spans="2:4" s="2" customFormat="1">
      <c r="B29" s="13" t="s">
        <v>75</v>
      </c>
      <c r="C29" s="13" t="s">
        <v>74</v>
      </c>
      <c r="D29" s="13" t="s">
        <v>73</v>
      </c>
    </row>
    <row r="30" spans="2:4" s="2" customFormat="1">
      <c r="B30" s="14" t="str">
        <f>C3</f>
        <v>WHITE PAPER TRADERS</v>
      </c>
      <c r="C30" s="14" t="str">
        <f>C8</f>
        <v>N/A</v>
      </c>
      <c r="D30" s="14" t="str">
        <f>C5</f>
        <v>Borash</v>
      </c>
    </row>
    <row r="31" spans="2:4" s="2" customFormat="1">
      <c r="B31" s="13" t="s">
        <v>24</v>
      </c>
      <c r="C31" s="13" t="s">
        <v>25</v>
      </c>
      <c r="D31" s="13" t="s">
        <v>24</v>
      </c>
    </row>
    <row r="32" spans="2:4" s="2" customFormat="1">
      <c r="B32" s="13"/>
      <c r="C32" s="13"/>
      <c r="D32" s="13"/>
    </row>
    <row r="33" spans="2:4" s="2" customFormat="1">
      <c r="B33" s="15"/>
      <c r="C33" s="15"/>
      <c r="D33" s="15"/>
    </row>
    <row r="34" spans="2:4" s="2" customFormat="1">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6"/>
  <sheetViews>
    <sheetView showGridLines="0" topLeftCell="A7" zoomScale="111" zoomScaleNormal="100" workbookViewId="0">
      <selection activeCell="R18" sqref="R18"/>
    </sheetView>
  </sheetViews>
  <sheetFormatPr defaultColWidth="16" defaultRowHeight="13.8"/>
  <cols>
    <col min="1" max="1" width="15.88671875" style="26" bestFit="1" customWidth="1"/>
    <col min="2" max="2" width="9.33203125" style="26" bestFit="1" customWidth="1"/>
    <col min="3" max="3" width="7.21875" style="26" bestFit="1" customWidth="1"/>
    <col min="4" max="4" width="6.21875" style="26" bestFit="1" customWidth="1"/>
    <col min="5" max="5" width="4.109375" style="26" bestFit="1" customWidth="1"/>
    <col min="6" max="6" width="10" style="26" bestFit="1" customWidth="1"/>
    <col min="7" max="7" width="7.44140625" style="26" bestFit="1" customWidth="1"/>
    <col min="8" max="8" width="9.21875" style="26" bestFit="1" customWidth="1"/>
    <col min="9" max="9" width="7.33203125" style="26" bestFit="1" customWidth="1"/>
    <col min="10" max="10" width="9.88671875" style="26" bestFit="1" customWidth="1"/>
    <col min="11" max="11" width="11.21875" style="26" bestFit="1" customWidth="1"/>
    <col min="12" max="12" width="10.5546875" style="26" bestFit="1" customWidth="1"/>
    <col min="13" max="13" width="5.44140625" style="26" bestFit="1" customWidth="1"/>
    <col min="14" max="14" width="11.33203125" style="26" bestFit="1" customWidth="1"/>
    <col min="15" max="15" width="10.6640625" style="26" bestFit="1" customWidth="1"/>
    <col min="16" max="19" width="16" style="26"/>
    <col min="20" max="20" width="1.33203125" style="26" bestFit="1" customWidth="1"/>
    <col min="21" max="16384" width="16" style="26"/>
  </cols>
  <sheetData>
    <row r="1" spans="1:17">
      <c r="B1" s="101"/>
      <c r="C1" s="101"/>
      <c r="D1" s="101"/>
      <c r="E1" s="101"/>
    </row>
    <row r="2" spans="1:17">
      <c r="A2" s="116" t="s">
        <v>49</v>
      </c>
      <c r="B2" s="117"/>
      <c r="C2" s="117"/>
      <c r="D2" s="117"/>
      <c r="E2" s="117"/>
      <c r="F2" s="117"/>
      <c r="G2" s="117"/>
      <c r="H2" s="117"/>
      <c r="I2" s="117"/>
      <c r="J2" s="117"/>
      <c r="K2" s="117"/>
      <c r="L2" s="117"/>
      <c r="M2" s="118"/>
    </row>
    <row r="3" spans="1:17">
      <c r="A3" s="54" t="s">
        <v>69</v>
      </c>
      <c r="B3" s="103" t="str">
        <f>Declaration!C3</f>
        <v>WHITE PAPER TRADERS</v>
      </c>
      <c r="C3" s="104"/>
      <c r="D3" s="105"/>
      <c r="E3" s="112"/>
      <c r="F3" s="112"/>
      <c r="G3" s="112"/>
      <c r="H3" s="112"/>
      <c r="I3" s="112"/>
      <c r="J3" s="112"/>
      <c r="K3" s="112"/>
      <c r="L3" s="112"/>
      <c r="M3" s="113"/>
    </row>
    <row r="4" spans="1:17">
      <c r="A4" s="55" t="s">
        <v>70</v>
      </c>
      <c r="B4" s="106"/>
      <c r="C4" s="107"/>
      <c r="D4" s="108"/>
      <c r="E4" s="114"/>
      <c r="F4" s="114"/>
      <c r="G4" s="114"/>
      <c r="H4" s="114"/>
      <c r="I4" s="114"/>
      <c r="J4" s="114"/>
      <c r="K4" s="114"/>
      <c r="L4" s="114"/>
      <c r="M4" s="115"/>
    </row>
    <row r="5" spans="1:17">
      <c r="A5" s="55" t="s">
        <v>71</v>
      </c>
      <c r="B5" s="120" t="str">
        <f>Declaration!C4</f>
        <v>HS NO. GRND FLOOR KH. NO 45/19/2 RANHDLLA VIHAR NANAGLOI DELHI 110041</v>
      </c>
      <c r="C5" s="121"/>
      <c r="D5" s="121"/>
      <c r="E5" s="122"/>
      <c r="F5" s="27" t="s">
        <v>56</v>
      </c>
      <c r="G5" s="109" t="s">
        <v>57</v>
      </c>
      <c r="H5" s="110"/>
      <c r="I5" s="110"/>
      <c r="J5" s="110"/>
      <c r="K5" s="110"/>
      <c r="L5" s="28"/>
      <c r="M5" s="29"/>
    </row>
    <row r="6" spans="1:17" s="36" customFormat="1" ht="55.2">
      <c r="A6" s="30" t="s">
        <v>65</v>
      </c>
      <c r="B6" s="30" t="s">
        <v>0</v>
      </c>
      <c r="C6" s="30" t="s">
        <v>45</v>
      </c>
      <c r="D6" s="30" t="s">
        <v>2</v>
      </c>
      <c r="E6" s="30" t="s">
        <v>1</v>
      </c>
      <c r="F6" s="31" t="s">
        <v>28</v>
      </c>
      <c r="G6" s="32" t="s">
        <v>58</v>
      </c>
      <c r="H6" s="32" t="s">
        <v>54</v>
      </c>
      <c r="I6" s="32" t="s">
        <v>50</v>
      </c>
      <c r="J6" s="32" t="s">
        <v>51</v>
      </c>
      <c r="K6" s="32" t="s">
        <v>60</v>
      </c>
      <c r="L6" s="33" t="s">
        <v>59</v>
      </c>
      <c r="M6" s="34" t="s">
        <v>61</v>
      </c>
      <c r="N6" s="35" t="s">
        <v>46</v>
      </c>
      <c r="O6" s="35" t="s">
        <v>47</v>
      </c>
    </row>
    <row r="7" spans="1:17">
      <c r="A7" s="37">
        <v>1</v>
      </c>
      <c r="B7" s="58" t="s">
        <v>76</v>
      </c>
      <c r="C7" s="38">
        <v>15</v>
      </c>
      <c r="D7" s="37">
        <v>5</v>
      </c>
      <c r="E7" s="76" t="s">
        <v>30</v>
      </c>
      <c r="F7" s="77"/>
      <c r="G7" s="77">
        <f>65+8+2+1</f>
        <v>76</v>
      </c>
      <c r="H7" s="77">
        <f>20+20+20+10+20+14+15+80+70+30+30+5+40</f>
        <v>374</v>
      </c>
      <c r="I7" s="77"/>
      <c r="J7" s="77">
        <f>180+136+180+40+180+50+230+64+3+630+400+300+280+50+46+200</f>
        <v>2969</v>
      </c>
      <c r="K7" s="78">
        <f>SUM(G7:J7)</f>
        <v>3419</v>
      </c>
      <c r="L7" s="78">
        <f>K7-F7</f>
        <v>3419</v>
      </c>
      <c r="M7" s="79"/>
      <c r="N7" s="59">
        <f>K7*C7</f>
        <v>51285</v>
      </c>
      <c r="O7" s="60">
        <f>N7/1000</f>
        <v>51.284999999999997</v>
      </c>
      <c r="P7" s="39"/>
      <c r="Q7" s="39"/>
    </row>
    <row r="8" spans="1:17">
      <c r="A8" s="37">
        <f>1+A7</f>
        <v>2</v>
      </c>
      <c r="B8" s="58" t="s">
        <v>76</v>
      </c>
      <c r="C8" s="38">
        <v>32.5</v>
      </c>
      <c r="D8" s="40">
        <v>10</v>
      </c>
      <c r="E8" s="76" t="s">
        <v>30</v>
      </c>
      <c r="F8" s="77"/>
      <c r="G8" s="77">
        <f>5</f>
        <v>5</v>
      </c>
      <c r="H8" s="77">
        <f>5+2+5+21+30+8</f>
        <v>71</v>
      </c>
      <c r="I8" s="77"/>
      <c r="J8" s="77">
        <f>195+140+72+200+270+170</f>
        <v>1047</v>
      </c>
      <c r="K8" s="78">
        <f t="shared" ref="K8:K14" si="0">SUM(G8:J8)</f>
        <v>1123</v>
      </c>
      <c r="L8" s="78">
        <f t="shared" ref="L8:L14" si="1">K8-F8</f>
        <v>1123</v>
      </c>
      <c r="M8" s="79"/>
      <c r="N8" s="59">
        <f t="shared" ref="N8:N14" si="2">K8*C8</f>
        <v>36497.5</v>
      </c>
      <c r="O8" s="60">
        <f t="shared" ref="O8:O14" si="3">N8/1000</f>
        <v>36.497500000000002</v>
      </c>
      <c r="P8" s="39"/>
      <c r="Q8" s="39"/>
    </row>
    <row r="9" spans="1:17">
      <c r="A9" s="37">
        <f t="shared" ref="A9:A18" si="4">1+A8</f>
        <v>3</v>
      </c>
      <c r="B9" s="58" t="s">
        <v>76</v>
      </c>
      <c r="C9" s="38">
        <v>75</v>
      </c>
      <c r="D9" s="40">
        <v>20</v>
      </c>
      <c r="E9" s="76" t="s">
        <v>30</v>
      </c>
      <c r="F9" s="77"/>
      <c r="G9" s="77"/>
      <c r="H9" s="77"/>
      <c r="I9" s="77"/>
      <c r="J9" s="77">
        <f>20+30</f>
        <v>50</v>
      </c>
      <c r="K9" s="78">
        <f t="shared" si="0"/>
        <v>50</v>
      </c>
      <c r="L9" s="78">
        <f t="shared" si="1"/>
        <v>50</v>
      </c>
      <c r="M9" s="79"/>
      <c r="N9" s="59">
        <f t="shared" si="2"/>
        <v>3750</v>
      </c>
      <c r="O9" s="60">
        <f t="shared" si="3"/>
        <v>3.75</v>
      </c>
      <c r="P9" s="39"/>
      <c r="Q9" s="39"/>
    </row>
    <row r="10" spans="1:17">
      <c r="A10" s="37">
        <f t="shared" si="4"/>
        <v>4</v>
      </c>
      <c r="B10" s="58" t="s">
        <v>77</v>
      </c>
      <c r="C10" s="38">
        <v>20</v>
      </c>
      <c r="D10" s="40">
        <v>5</v>
      </c>
      <c r="E10" s="76" t="s">
        <v>30</v>
      </c>
      <c r="F10" s="77"/>
      <c r="G10" s="77">
        <f>10+12+10+8+14+10+20+10+20+20+5+10</f>
        <v>149</v>
      </c>
      <c r="H10" s="77">
        <f>150+105+20+40+24+20+20+20+30+20+10+20+20+30+60+30+10+9+15+20+20</f>
        <v>693</v>
      </c>
      <c r="I10" s="77"/>
      <c r="J10" s="77">
        <f>683+811+90+280+200+651+620+219+392+543+1430+422+258+420+70+350+462+280+109+420+420+467+224+420+378+42+420+420+434+390+410+400+280+400+250+260+384+180+90+180+170+150+140+150+190+190+95+310+260+165</f>
        <v>16979</v>
      </c>
      <c r="K10" s="78">
        <f t="shared" si="0"/>
        <v>17821</v>
      </c>
      <c r="L10" s="78">
        <f t="shared" si="1"/>
        <v>17821</v>
      </c>
      <c r="M10" s="79"/>
      <c r="N10" s="59">
        <f t="shared" si="2"/>
        <v>356420</v>
      </c>
      <c r="O10" s="60">
        <f t="shared" si="3"/>
        <v>356.42</v>
      </c>
      <c r="P10" s="39"/>
      <c r="Q10" s="39"/>
    </row>
    <row r="11" spans="1:17">
      <c r="A11" s="37">
        <f t="shared" si="4"/>
        <v>5</v>
      </c>
      <c r="B11" s="58" t="s">
        <v>77</v>
      </c>
      <c r="C11" s="38">
        <v>42</v>
      </c>
      <c r="D11" s="40">
        <v>10</v>
      </c>
      <c r="E11" s="76" t="s">
        <v>30</v>
      </c>
      <c r="F11" s="77"/>
      <c r="G11" s="77">
        <f>10+10+10</f>
        <v>30</v>
      </c>
      <c r="H11" s="77">
        <f>13+30+23+90+4</f>
        <v>160</v>
      </c>
      <c r="I11" s="77"/>
      <c r="J11" s="77">
        <f>100+76+470+320+200+200+200+200+200+100+102+13+200+15+40+25+80+110</f>
        <v>2651</v>
      </c>
      <c r="K11" s="78">
        <f t="shared" si="0"/>
        <v>2841</v>
      </c>
      <c r="L11" s="78">
        <f t="shared" si="1"/>
        <v>2841</v>
      </c>
      <c r="M11" s="79"/>
      <c r="N11" s="59">
        <f t="shared" si="2"/>
        <v>119322</v>
      </c>
      <c r="O11" s="60">
        <f t="shared" si="3"/>
        <v>119.322</v>
      </c>
      <c r="P11" s="39"/>
      <c r="Q11" s="39"/>
    </row>
    <row r="12" spans="1:17">
      <c r="A12" s="37">
        <f t="shared" si="4"/>
        <v>6</v>
      </c>
      <c r="B12" s="58" t="s">
        <v>77</v>
      </c>
      <c r="C12" s="38">
        <v>85</v>
      </c>
      <c r="D12" s="40">
        <v>20</v>
      </c>
      <c r="E12" s="76" t="s">
        <v>30</v>
      </c>
      <c r="F12" s="77"/>
      <c r="G12" s="77"/>
      <c r="H12" s="77"/>
      <c r="I12" s="77"/>
      <c r="J12" s="77">
        <f>20+20</f>
        <v>40</v>
      </c>
      <c r="K12" s="78">
        <f t="shared" si="0"/>
        <v>40</v>
      </c>
      <c r="L12" s="78">
        <f t="shared" si="1"/>
        <v>40</v>
      </c>
      <c r="M12" s="79"/>
      <c r="N12" s="59">
        <f t="shared" si="2"/>
        <v>3400</v>
      </c>
      <c r="O12" s="60">
        <f t="shared" si="3"/>
        <v>3.4</v>
      </c>
      <c r="P12" s="39"/>
      <c r="Q12" s="39"/>
    </row>
    <row r="13" spans="1:17">
      <c r="A13" s="37">
        <f t="shared" si="4"/>
        <v>7</v>
      </c>
      <c r="B13" s="58" t="s">
        <v>79</v>
      </c>
      <c r="C13" s="38">
        <v>12</v>
      </c>
      <c r="D13" s="40">
        <v>5</v>
      </c>
      <c r="E13" s="76" t="s">
        <v>30</v>
      </c>
      <c r="F13" s="77"/>
      <c r="G13" s="77">
        <f>15</f>
        <v>15</v>
      </c>
      <c r="H13" s="77">
        <f>10+14+4+35+20</f>
        <v>83</v>
      </c>
      <c r="I13" s="77"/>
      <c r="J13" s="77">
        <f>190+49+90+70+390+200</f>
        <v>989</v>
      </c>
      <c r="K13" s="78">
        <f t="shared" si="0"/>
        <v>1087</v>
      </c>
      <c r="L13" s="78">
        <f t="shared" si="1"/>
        <v>1087</v>
      </c>
      <c r="M13" s="79"/>
      <c r="N13" s="59">
        <f t="shared" si="2"/>
        <v>13044</v>
      </c>
      <c r="O13" s="60">
        <f t="shared" si="3"/>
        <v>13.044</v>
      </c>
      <c r="P13" s="39"/>
      <c r="Q13" s="39"/>
    </row>
    <row r="14" spans="1:17">
      <c r="A14" s="37">
        <f t="shared" si="4"/>
        <v>8</v>
      </c>
      <c r="B14" s="58" t="s">
        <v>80</v>
      </c>
      <c r="C14" s="38">
        <v>22</v>
      </c>
      <c r="D14" s="40">
        <v>5</v>
      </c>
      <c r="E14" s="76" t="s">
        <v>30</v>
      </c>
      <c r="F14" s="77"/>
      <c r="G14" s="77">
        <f>30+15</f>
        <v>45</v>
      </c>
      <c r="H14" s="77">
        <f>70+10+10+16</f>
        <v>106</v>
      </c>
      <c r="I14" s="77"/>
      <c r="J14" s="77">
        <f>6*100+200+200+200+70+170+165+200+119</f>
        <v>1924</v>
      </c>
      <c r="K14" s="78">
        <f t="shared" si="0"/>
        <v>2075</v>
      </c>
      <c r="L14" s="78">
        <f t="shared" si="1"/>
        <v>2075</v>
      </c>
      <c r="M14" s="79"/>
      <c r="N14" s="59">
        <f t="shared" si="2"/>
        <v>45650</v>
      </c>
      <c r="O14" s="60">
        <f t="shared" si="3"/>
        <v>45.65</v>
      </c>
      <c r="P14" s="39"/>
      <c r="Q14" s="39"/>
    </row>
    <row r="15" spans="1:17">
      <c r="A15" s="37">
        <f t="shared" si="4"/>
        <v>9</v>
      </c>
      <c r="B15" s="58" t="s">
        <v>90</v>
      </c>
      <c r="C15" s="38">
        <v>12</v>
      </c>
      <c r="D15" s="40">
        <v>5</v>
      </c>
      <c r="E15" s="76" t="s">
        <v>30</v>
      </c>
      <c r="F15" s="77"/>
      <c r="G15" s="77">
        <f>16+5+20+20+10+20+10+20+2+12+10+8+10+20+20+10+9+10+10+10+5+8+6+10+4+4+10</f>
        <v>299</v>
      </c>
      <c r="H15" s="77">
        <f>20+16+22+10+16+20+16+20+20+30+20+20+20+16+12+20+14+20+20+10+20+15+26+20+20+15+15+10+20+20+20+20+30+20+16+16+14+20+20+2</f>
        <v>721</v>
      </c>
      <c r="I15" s="77"/>
      <c r="J15" s="77">
        <f>100+91+100+100+27+100+80+100+115+100+116+100+140+100+102+100+80+106+100+92+100+100+91+100+99+100+128+100+98+100+128+150+200+204+200+230+200+200+305+204+200+300+200+160+200+350+200+200+230+280+190+100+100+100+260+180+200+200+160+220+180+250+250+250+250+250+250+250+280+200+200+190+200+180+200+140+190+180+260+217+200+200+80+35</f>
        <v>13898</v>
      </c>
      <c r="K15" s="78">
        <f t="shared" ref="K15:K18" si="5">SUM(G15:J15)</f>
        <v>14918</v>
      </c>
      <c r="L15" s="78">
        <f t="shared" ref="L15:L18" si="6">K15-F15</f>
        <v>14918</v>
      </c>
      <c r="M15" s="79"/>
      <c r="N15" s="59">
        <f t="shared" ref="N15:N18" si="7">K15*C15</f>
        <v>179016</v>
      </c>
      <c r="O15" s="60">
        <f t="shared" ref="O15:O18" si="8">N15/1000</f>
        <v>179.01599999999999</v>
      </c>
      <c r="P15" s="39"/>
      <c r="Q15" s="39"/>
    </row>
    <row r="16" spans="1:17">
      <c r="A16" s="37">
        <f t="shared" si="4"/>
        <v>10</v>
      </c>
      <c r="B16" s="58" t="s">
        <v>91</v>
      </c>
      <c r="C16" s="38">
        <v>17</v>
      </c>
      <c r="D16" s="40">
        <v>5</v>
      </c>
      <c r="E16" s="76" t="s">
        <v>30</v>
      </c>
      <c r="F16" s="77"/>
      <c r="G16" s="77"/>
      <c r="H16" s="77"/>
      <c r="I16" s="77"/>
      <c r="J16" s="77">
        <f>112+85</f>
        <v>197</v>
      </c>
      <c r="K16" s="78">
        <f t="shared" si="5"/>
        <v>197</v>
      </c>
      <c r="L16" s="78">
        <f t="shared" si="6"/>
        <v>197</v>
      </c>
      <c r="M16" s="79"/>
      <c r="N16" s="59">
        <f t="shared" si="7"/>
        <v>3349</v>
      </c>
      <c r="O16" s="60">
        <f t="shared" si="8"/>
        <v>3.3490000000000002</v>
      </c>
      <c r="P16" s="39"/>
      <c r="Q16" s="39"/>
    </row>
    <row r="17" spans="1:17">
      <c r="A17" s="37">
        <f t="shared" si="4"/>
        <v>11</v>
      </c>
      <c r="B17" s="58" t="s">
        <v>92</v>
      </c>
      <c r="C17" s="38">
        <v>17</v>
      </c>
      <c r="D17" s="40">
        <v>5</v>
      </c>
      <c r="E17" s="76" t="s">
        <v>30</v>
      </c>
      <c r="F17" s="77"/>
      <c r="G17" s="77"/>
      <c r="H17" s="77">
        <f>8+12+8+10+36+6+5</f>
        <v>85</v>
      </c>
      <c r="I17" s="77"/>
      <c r="J17" s="77">
        <f>100+100+100+100+100+100+100+80+100+100+200+200+200+200+200+200+190+60+170+50+20</f>
        <v>2670</v>
      </c>
      <c r="K17" s="78">
        <f t="shared" si="5"/>
        <v>2755</v>
      </c>
      <c r="L17" s="78">
        <f t="shared" si="6"/>
        <v>2755</v>
      </c>
      <c r="M17" s="79"/>
      <c r="N17" s="59">
        <f t="shared" si="7"/>
        <v>46835</v>
      </c>
      <c r="O17" s="60">
        <f t="shared" si="8"/>
        <v>46.835000000000001</v>
      </c>
      <c r="P17" s="39"/>
      <c r="Q17" s="39"/>
    </row>
    <row r="18" spans="1:17">
      <c r="A18" s="37">
        <f t="shared" si="4"/>
        <v>12</v>
      </c>
      <c r="B18" s="58" t="s">
        <v>93</v>
      </c>
      <c r="C18" s="38">
        <v>13</v>
      </c>
      <c r="D18" s="40">
        <v>5</v>
      </c>
      <c r="E18" s="76" t="s">
        <v>30</v>
      </c>
      <c r="F18" s="77"/>
      <c r="G18" s="77"/>
      <c r="H18" s="77">
        <f>8</f>
        <v>8</v>
      </c>
      <c r="I18" s="77"/>
      <c r="J18" s="77">
        <f>406</f>
        <v>406</v>
      </c>
      <c r="K18" s="78">
        <f t="shared" si="5"/>
        <v>414</v>
      </c>
      <c r="L18" s="78">
        <f t="shared" si="6"/>
        <v>414</v>
      </c>
      <c r="M18" s="79"/>
      <c r="N18" s="59">
        <f t="shared" si="7"/>
        <v>5382</v>
      </c>
      <c r="O18" s="60">
        <f t="shared" si="8"/>
        <v>5.3819999999999997</v>
      </c>
      <c r="P18" s="39"/>
      <c r="Q18" s="39"/>
    </row>
    <row r="19" spans="1:17">
      <c r="A19" s="119" t="s">
        <v>8</v>
      </c>
      <c r="B19" s="119"/>
      <c r="C19" s="119"/>
      <c r="D19" s="119"/>
      <c r="E19" s="119"/>
      <c r="F19" s="43">
        <f t="shared" ref="F19:O19" si="9">SUM(F7:F18)</f>
        <v>0</v>
      </c>
      <c r="G19" s="43">
        <f t="shared" si="9"/>
        <v>619</v>
      </c>
      <c r="H19" s="43">
        <f t="shared" si="9"/>
        <v>2301</v>
      </c>
      <c r="I19" s="43">
        <f t="shared" si="9"/>
        <v>0</v>
      </c>
      <c r="J19" s="43">
        <f t="shared" si="9"/>
        <v>43820</v>
      </c>
      <c r="K19" s="43">
        <f t="shared" si="9"/>
        <v>46740</v>
      </c>
      <c r="L19" s="43">
        <f t="shared" si="9"/>
        <v>46740</v>
      </c>
      <c r="M19" s="43">
        <f t="shared" si="9"/>
        <v>0</v>
      </c>
      <c r="N19" s="43">
        <f t="shared" si="9"/>
        <v>863950.5</v>
      </c>
      <c r="O19" s="43">
        <f t="shared" si="9"/>
        <v>863.95049999999992</v>
      </c>
    </row>
    <row r="20" spans="1:17">
      <c r="A20" s="46"/>
      <c r="B20" s="46"/>
      <c r="C20" s="46"/>
      <c r="D20" s="47"/>
    </row>
    <row r="21" spans="1:17">
      <c r="A21" s="111" t="s">
        <v>4</v>
      </c>
      <c r="B21" s="111"/>
      <c r="C21" s="111"/>
      <c r="D21" s="111"/>
      <c r="E21" s="44"/>
      <c r="F21" s="44"/>
      <c r="G21" s="44"/>
      <c r="H21" s="44"/>
      <c r="I21" s="44"/>
      <c r="J21" s="44"/>
      <c r="K21" s="44"/>
      <c r="L21" s="44"/>
    </row>
    <row r="22" spans="1:17">
      <c r="A22" s="102" t="s">
        <v>6</v>
      </c>
      <c r="B22" s="102"/>
      <c r="C22" s="102"/>
      <c r="D22" s="102"/>
      <c r="E22" s="102"/>
      <c r="F22" s="102"/>
      <c r="G22" s="102"/>
      <c r="H22" s="102"/>
      <c r="I22" s="102"/>
      <c r="J22" s="102"/>
      <c r="K22" s="102"/>
      <c r="L22" s="102"/>
    </row>
    <row r="23" spans="1:17">
      <c r="A23" s="102" t="s">
        <v>7</v>
      </c>
      <c r="B23" s="102"/>
      <c r="C23" s="102"/>
      <c r="D23" s="102"/>
      <c r="E23" s="102"/>
      <c r="F23" s="102"/>
      <c r="G23" s="102"/>
      <c r="H23" s="102"/>
      <c r="I23" s="102"/>
      <c r="J23" s="102"/>
      <c r="K23" s="102"/>
      <c r="L23" s="102"/>
    </row>
    <row r="24" spans="1:17">
      <c r="A24" s="44"/>
      <c r="B24" s="44"/>
      <c r="C24" s="44"/>
      <c r="D24" s="44"/>
      <c r="E24" s="44"/>
      <c r="F24" s="44"/>
      <c r="G24" s="44"/>
      <c r="H24" s="44"/>
      <c r="I24" s="44"/>
      <c r="J24" s="44"/>
      <c r="K24" s="44"/>
      <c r="L24" s="44"/>
    </row>
    <row r="25" spans="1:17">
      <c r="A25" s="41" t="s">
        <v>9</v>
      </c>
      <c r="B25" s="41"/>
      <c r="C25" s="41"/>
      <c r="D25" s="42" t="s">
        <v>5</v>
      </c>
      <c r="E25" s="45"/>
      <c r="F25" s="45"/>
      <c r="G25" s="45"/>
      <c r="H25" s="45"/>
      <c r="I25" s="45"/>
      <c r="J25" s="45"/>
      <c r="K25" s="45"/>
      <c r="L25" s="45"/>
    </row>
    <row r="26" spans="1:17">
      <c r="A26" s="41" t="s">
        <v>3</v>
      </c>
      <c r="B26" s="66">
        <f>Declaration!C12</f>
        <v>45561</v>
      </c>
      <c r="C26" s="42"/>
      <c r="D26" s="42" t="s">
        <v>3</v>
      </c>
      <c r="E26" s="45"/>
      <c r="F26" s="45"/>
      <c r="G26" s="45"/>
      <c r="H26" s="45"/>
      <c r="I26" s="45"/>
      <c r="J26" s="45"/>
      <c r="K26" s="45"/>
      <c r="L26" s="45"/>
    </row>
  </sheetData>
  <mergeCells count="12">
    <mergeCell ref="B1:C1"/>
    <mergeCell ref="A23:L23"/>
    <mergeCell ref="B3:D3"/>
    <mergeCell ref="B4:D4"/>
    <mergeCell ref="G5:K5"/>
    <mergeCell ref="A21:D21"/>
    <mergeCell ref="A22:L22"/>
    <mergeCell ref="D1:E1"/>
    <mergeCell ref="E3:M4"/>
    <mergeCell ref="A2:M2"/>
    <mergeCell ref="A19:E19"/>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zoomScaleNormal="100" workbookViewId="0">
      <selection activeCell="G9" sqref="G9"/>
    </sheetView>
  </sheetViews>
  <sheetFormatPr defaultColWidth="24.21875" defaultRowHeight="14.4"/>
  <cols>
    <col min="1" max="1" width="23.88671875" bestFit="1" customWidth="1"/>
    <col min="2" max="2" width="17.77734375" bestFit="1" customWidth="1"/>
    <col min="3" max="3" width="7.88671875" bestFit="1" customWidth="1"/>
    <col min="4" max="4" width="11.33203125" bestFit="1" customWidth="1"/>
    <col min="5" max="5" width="7.21875" bestFit="1" customWidth="1"/>
    <col min="6" max="6" width="8.33203125" bestFit="1" customWidth="1"/>
    <col min="7" max="7" width="15.77734375" bestFit="1" customWidth="1"/>
    <col min="8" max="8" width="18.6640625" bestFit="1" customWidth="1"/>
  </cols>
  <sheetData>
    <row r="1" spans="1:8">
      <c r="A1" s="17" t="s">
        <v>32</v>
      </c>
      <c r="B1" s="18"/>
      <c r="C1" s="18"/>
      <c r="D1" s="19"/>
      <c r="E1" s="12"/>
      <c r="F1" s="12"/>
      <c r="G1" s="7" t="s">
        <v>16</v>
      </c>
      <c r="H1" s="80">
        <f>Declaration!C10</f>
        <v>45556</v>
      </c>
    </row>
    <row r="2" spans="1:8">
      <c r="A2" s="3" t="s">
        <v>11</v>
      </c>
      <c r="B2" s="100" t="str">
        <f>Declaration!C3</f>
        <v>WHITE PAPER TRADERS</v>
      </c>
      <c r="C2" s="100"/>
      <c r="D2" s="19"/>
      <c r="E2" s="12"/>
      <c r="F2" s="12"/>
      <c r="G2" s="7" t="s">
        <v>18</v>
      </c>
      <c r="H2" s="81">
        <f>Declaration!C12</f>
        <v>45561</v>
      </c>
    </row>
    <row r="3" spans="1:8" ht="24">
      <c r="A3" s="61" t="s">
        <v>33</v>
      </c>
      <c r="B3" s="61" t="s">
        <v>41</v>
      </c>
      <c r="C3" s="61" t="s">
        <v>39</v>
      </c>
      <c r="D3" s="20" t="s">
        <v>34</v>
      </c>
      <c r="E3" s="21" t="s">
        <v>35</v>
      </c>
      <c r="F3" s="20" t="s">
        <v>36</v>
      </c>
      <c r="G3" s="21" t="s">
        <v>37</v>
      </c>
      <c r="H3" s="22" t="s">
        <v>38</v>
      </c>
    </row>
    <row r="4" spans="1:8">
      <c r="A4" s="62">
        <v>1</v>
      </c>
      <c r="B4" s="63" t="s">
        <v>87</v>
      </c>
      <c r="C4" s="49">
        <v>1</v>
      </c>
      <c r="D4" s="65">
        <v>45556</v>
      </c>
      <c r="E4" s="57" t="s">
        <v>88</v>
      </c>
      <c r="F4" s="57" t="s">
        <v>89</v>
      </c>
      <c r="G4" s="82" t="s">
        <v>96</v>
      </c>
      <c r="H4" s="64"/>
    </row>
    <row r="5" spans="1:8">
      <c r="A5" s="62">
        <f>A4+1</f>
        <v>2</v>
      </c>
      <c r="B5" s="63" t="s">
        <v>87</v>
      </c>
      <c r="C5" s="49">
        <v>1</v>
      </c>
      <c r="D5" s="65">
        <v>45558</v>
      </c>
      <c r="E5" s="57" t="s">
        <v>88</v>
      </c>
      <c r="F5" s="57" t="s">
        <v>89</v>
      </c>
      <c r="G5" s="82" t="s">
        <v>96</v>
      </c>
      <c r="H5" s="64"/>
    </row>
    <row r="6" spans="1:8">
      <c r="A6" s="62">
        <f t="shared" ref="A6:A8" si="0">A5+1</f>
        <v>3</v>
      </c>
      <c r="B6" s="63" t="s">
        <v>94</v>
      </c>
      <c r="C6" s="49">
        <v>1</v>
      </c>
      <c r="D6" s="65">
        <v>45559</v>
      </c>
      <c r="E6" s="57" t="s">
        <v>88</v>
      </c>
      <c r="F6" s="57" t="s">
        <v>89</v>
      </c>
      <c r="G6" s="82" t="s">
        <v>96</v>
      </c>
      <c r="H6" s="64"/>
    </row>
    <row r="7" spans="1:8">
      <c r="A7" s="62">
        <f t="shared" si="0"/>
        <v>4</v>
      </c>
      <c r="B7" s="63" t="s">
        <v>87</v>
      </c>
      <c r="C7" s="49">
        <v>1</v>
      </c>
      <c r="D7" s="65">
        <v>45560</v>
      </c>
      <c r="E7" s="57" t="s">
        <v>88</v>
      </c>
      <c r="F7" s="57" t="s">
        <v>89</v>
      </c>
      <c r="G7" s="82" t="s">
        <v>96</v>
      </c>
      <c r="H7" s="64"/>
    </row>
    <row r="8" spans="1:8">
      <c r="A8" s="62">
        <f t="shared" si="0"/>
        <v>5</v>
      </c>
      <c r="B8" s="63" t="s">
        <v>87</v>
      </c>
      <c r="C8" s="49">
        <v>1</v>
      </c>
      <c r="D8" s="65">
        <v>45561</v>
      </c>
      <c r="E8" s="57" t="s">
        <v>88</v>
      </c>
      <c r="F8" s="57" t="s">
        <v>98</v>
      </c>
      <c r="G8" s="82" t="s">
        <v>96</v>
      </c>
      <c r="H8" s="64"/>
    </row>
    <row r="9" spans="1:8">
      <c r="B9" s="48" t="s">
        <v>68</v>
      </c>
      <c r="C9" s="50">
        <f>SUM(C4:C8)</f>
        <v>5</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K13"/>
  <sheetViews>
    <sheetView zoomScale="96" zoomScaleNormal="96" workbookViewId="0">
      <selection activeCell="C7" sqref="C7"/>
    </sheetView>
  </sheetViews>
  <sheetFormatPr defaultColWidth="10" defaultRowHeight="14.4"/>
  <cols>
    <col min="1" max="1" width="5.44140625" bestFit="1" customWidth="1"/>
    <col min="2" max="2" width="49.77734375" bestFit="1" customWidth="1"/>
    <col min="3" max="3" width="21.21875" bestFit="1" customWidth="1"/>
    <col min="4" max="4" width="16.5546875" bestFit="1" customWidth="1"/>
    <col min="5" max="5" width="7.77734375" bestFit="1" customWidth="1"/>
    <col min="6" max="6" width="12.6640625" bestFit="1" customWidth="1"/>
    <col min="7" max="7" width="11.109375" bestFit="1" customWidth="1"/>
    <col min="8" max="8" width="7.21875" bestFit="1" customWidth="1"/>
    <col min="9" max="9" width="7.6640625" bestFit="1" customWidth="1"/>
    <col min="10" max="10" width="20.21875" customWidth="1"/>
  </cols>
  <sheetData>
    <row r="2" spans="1:11">
      <c r="B2" s="69">
        <f>Declaration!C10</f>
        <v>45556</v>
      </c>
      <c r="C2" s="70" t="str">
        <f>Declaration!C3</f>
        <v>WHITE PAPER TRADERS</v>
      </c>
    </row>
    <row r="3" spans="1:11">
      <c r="A3" s="52" t="s">
        <v>40</v>
      </c>
      <c r="B3" s="56" t="s">
        <v>72</v>
      </c>
      <c r="C3" s="53" t="s">
        <v>52</v>
      </c>
      <c r="D3" s="52" t="s">
        <v>42</v>
      </c>
      <c r="E3" s="72" t="s">
        <v>82</v>
      </c>
      <c r="F3" s="72" t="s">
        <v>83</v>
      </c>
      <c r="G3" s="72" t="s">
        <v>84</v>
      </c>
      <c r="H3" s="72" t="s">
        <v>85</v>
      </c>
      <c r="I3" s="52" t="s">
        <v>43</v>
      </c>
    </row>
    <row r="4" spans="1:11">
      <c r="A4" s="24">
        <v>1</v>
      </c>
      <c r="B4" s="24" t="s">
        <v>81</v>
      </c>
      <c r="C4" s="25"/>
      <c r="D4" s="24"/>
      <c r="E4" s="73">
        <v>20</v>
      </c>
      <c r="F4" s="73">
        <f t="shared" ref="F4:F7" si="0">C4*E4</f>
        <v>0</v>
      </c>
      <c r="G4" s="73">
        <v>0</v>
      </c>
      <c r="H4" s="74">
        <f t="shared" ref="H4:H7" si="1">F4-G4</f>
        <v>0</v>
      </c>
      <c r="I4" s="24"/>
    </row>
    <row r="5" spans="1:11">
      <c r="A5" s="24">
        <f>A4+1</f>
        <v>2</v>
      </c>
      <c r="B5" s="24" t="s">
        <v>77</v>
      </c>
      <c r="C5" s="25"/>
      <c r="D5" s="24"/>
      <c r="E5" s="73">
        <v>20</v>
      </c>
      <c r="F5" s="73">
        <f t="shared" si="0"/>
        <v>0</v>
      </c>
      <c r="G5" s="73">
        <v>0</v>
      </c>
      <c r="H5" s="74">
        <f t="shared" si="1"/>
        <v>0</v>
      </c>
      <c r="I5" s="24"/>
    </row>
    <row r="6" spans="1:11">
      <c r="A6" s="24">
        <f t="shared" ref="A6:A7" si="2">A5+1</f>
        <v>3</v>
      </c>
      <c r="B6" s="24" t="s">
        <v>78</v>
      </c>
      <c r="C6" s="25"/>
      <c r="D6" s="24"/>
      <c r="E6" s="73">
        <v>20</v>
      </c>
      <c r="F6" s="73">
        <f t="shared" si="0"/>
        <v>0</v>
      </c>
      <c r="G6" s="73">
        <v>0</v>
      </c>
      <c r="H6" s="74">
        <f t="shared" si="1"/>
        <v>0</v>
      </c>
      <c r="I6" s="24"/>
    </row>
    <row r="7" spans="1:11">
      <c r="A7" s="24">
        <f t="shared" si="2"/>
        <v>4</v>
      </c>
      <c r="B7" s="24" t="s">
        <v>99</v>
      </c>
      <c r="C7" s="25"/>
      <c r="D7" s="24"/>
      <c r="E7" s="73">
        <v>10</v>
      </c>
      <c r="F7" s="73">
        <f t="shared" si="0"/>
        <v>0</v>
      </c>
      <c r="G7" s="73">
        <v>0</v>
      </c>
      <c r="H7" s="74">
        <f t="shared" si="1"/>
        <v>0</v>
      </c>
      <c r="I7" s="24"/>
    </row>
    <row r="8" spans="1:11">
      <c r="A8" s="11"/>
      <c r="B8" s="11" t="s">
        <v>44</v>
      </c>
      <c r="C8" s="51">
        <f>SUM(C4:C7)</f>
        <v>0</v>
      </c>
      <c r="D8" s="67">
        <f>SUM(D4:D7)</f>
        <v>0</v>
      </c>
      <c r="E8" s="75"/>
      <c r="F8" s="75">
        <f>SUM(F4:F7)</f>
        <v>0</v>
      </c>
      <c r="G8" s="75">
        <f>SUM(G4:G7)</f>
        <v>0</v>
      </c>
      <c r="H8" s="75">
        <f>SUM(H4:H7)</f>
        <v>0</v>
      </c>
      <c r="I8" s="24"/>
    </row>
    <row r="10" spans="1:11" ht="28.8">
      <c r="B10" s="71" t="s">
        <v>53</v>
      </c>
      <c r="K10" s="23"/>
    </row>
    <row r="13" spans="1:11">
      <c r="B13" t="s">
        <v>31</v>
      </c>
    </row>
  </sheetData>
  <pageMargins left="0.7" right="0.7" top="0.75" bottom="0.75" header="0.3" footer="0.3"/>
  <pageSetup paperSize="9"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BC63A8-6981-45C2-A473-37306D3BAA09}">
  <ds:schemaRefs>
    <ds:schemaRef ds:uri="26f0e883-195c-4097-964b-4652bc177b58"/>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 ds:uri="http://schemas.microsoft.com/office/2006/metadata/properties"/>
    <ds:schemaRef ds:uri="http://purl.org/dc/terms/"/>
    <ds:schemaRef ds:uri="fa66f92d-833a-4cb8-a712-221909bdb10d"/>
    <ds:schemaRef ds:uri="http://purl.org/dc/dcmitype/"/>
  </ds:schemaRefs>
</ds:datastoreItem>
</file>

<file path=customXml/itemProps2.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7618BF-4687-456E-9C4B-C593496D9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cp:lastPrinted>2024-06-05T12:15:34Z</cp:lastPrinted>
  <dcterms:created xsi:type="dcterms:W3CDTF">2018-09-14T16:50:16Z</dcterms:created>
  <dcterms:modified xsi:type="dcterms:W3CDTF">2024-09-26T16:49:05Z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