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ann\Desktop\"/>
    </mc:Choice>
  </mc:AlternateContent>
  <xr:revisionPtr revIDLastSave="0" documentId="13_ncr:1_{E4A3D7C7-0B71-4E57-B767-04BACC151595}" xr6:coauthVersionLast="46" xr6:coauthVersionMax="46" xr10:uidLastSave="{00000000-0000-0000-0000-000000000000}"/>
  <bookViews>
    <workbookView xWindow="1860" yWindow="3015" windowWidth="24525" windowHeight="16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J23" i="1" s="1"/>
  <c r="G9" i="1"/>
  <c r="G18" i="1"/>
  <c r="F18" i="1" s="1"/>
  <c r="N18" i="1" s="1"/>
  <c r="J29" i="1"/>
  <c r="J26" i="1"/>
  <c r="O24" i="1"/>
  <c r="F17" i="1"/>
  <c r="N17" i="1" s="1"/>
  <c r="F16" i="1"/>
  <c r="N16" i="1" s="1"/>
  <c r="L15" i="1"/>
  <c r="H7" i="1" l="1"/>
  <c r="I7" i="1" s="1"/>
  <c r="J7" i="1" s="1"/>
  <c r="K7" i="1" s="1"/>
  <c r="H8" i="1"/>
  <c r="I8" i="1" s="1"/>
  <c r="J8" i="1" s="1"/>
  <c r="K8" i="1" s="1"/>
  <c r="H9" i="1"/>
  <c r="I9" i="1" s="1"/>
  <c r="J9" i="1" s="1"/>
  <c r="K9" i="1" s="1"/>
  <c r="O26" i="1"/>
  <c r="N15" i="1"/>
  <c r="M15" i="1" s="1"/>
  <c r="J30" i="1"/>
  <c r="F6" i="1" s="1"/>
  <c r="O29" i="1"/>
  <c r="F50" i="1" l="1"/>
  <c r="F8" i="1"/>
  <c r="O8" i="1" s="1"/>
  <c r="F9" i="1"/>
  <c r="O9" i="1" s="1"/>
  <c r="F7" i="1"/>
  <c r="O7" i="1" s="1"/>
  <c r="H6" i="1"/>
  <c r="I6" i="1"/>
  <c r="O30" i="1"/>
  <c r="L6" i="1" l="1"/>
  <c r="M6" i="1" s="1"/>
  <c r="J6" i="1"/>
  <c r="K6" i="1" s="1"/>
  <c r="O6" i="1" l="1"/>
  <c r="O35" i="1" s="1"/>
  <c r="O52" i="1" s="1"/>
</calcChain>
</file>

<file path=xl/sharedStrings.xml><?xml version="1.0" encoding="utf-8"?>
<sst xmlns="http://schemas.openxmlformats.org/spreadsheetml/2006/main" count="74" uniqueCount="72">
  <si>
    <t>Agents</t>
  </si>
  <si>
    <t>Segment #1 (Top Performers)</t>
  </si>
  <si>
    <t>Segment #2 (Average)</t>
  </si>
  <si>
    <t>Segment #3 (Low Performers)</t>
  </si>
  <si>
    <t>Campaigns</t>
  </si>
  <si>
    <t>Count</t>
  </si>
  <si>
    <t>% of Total</t>
  </si>
  <si>
    <t>Campaigns Type A</t>
  </si>
  <si>
    <t>Campaigns Type B</t>
  </si>
  <si>
    <t>Campaigns Type C</t>
  </si>
  <si>
    <t>Average Conversion</t>
  </si>
  <si>
    <t>Calls</t>
  </si>
  <si>
    <t>Time (s)</t>
  </si>
  <si>
    <t>Initiating Time per Lead (dialing + hello/go to hell)</t>
  </si>
  <si>
    <t>Probability of Argumented Contact per Lead</t>
  </si>
  <si>
    <t>Average Handling Time Unsuccessful Call</t>
  </si>
  <si>
    <t>=f(agent, campaign)</t>
  </si>
  <si>
    <t>Average Handling Time Successful Call (Sale Closed)</t>
  </si>
  <si>
    <t>Cost</t>
  </si>
  <si>
    <t>Hourly Base Cost</t>
  </si>
  <si>
    <t>Commission per Sale</t>
  </si>
  <si>
    <t>Revenue</t>
  </si>
  <si>
    <t>Margin</t>
  </si>
  <si>
    <t>Questions</t>
  </si>
  <si>
    <t>Other???</t>
  </si>
  <si>
    <t>Call Statistics</t>
  </si>
  <si>
    <t>Lead Statistics</t>
  </si>
  <si>
    <t>Agent Statistics</t>
  </si>
  <si>
    <t>Costs &amp; Fees</t>
  </si>
  <si>
    <t>Hourly Base Fee Charged (currently assuming 100% commission with client)</t>
  </si>
  <si>
    <t>Cost per call attempt</t>
  </si>
  <si>
    <t>Cost per Minute</t>
  </si>
  <si>
    <t>What formula to calculate the conversion per agent &amp; per campaign</t>
  </si>
  <si>
    <t>Sensitivity of margin to Commission</t>
  </si>
  <si>
    <t>Sensitivity of margin to campaign mix</t>
  </si>
  <si>
    <t>Sensitivity of margin to agent conversion</t>
  </si>
  <si>
    <t>Sensitivity of margin to agent mix</t>
  </si>
  <si>
    <t>Sensitivity of margin to call handling times</t>
  </si>
  <si>
    <t>Should I give all Type A campaigns to agents #1?  Or #3?  Or does it depend?</t>
  </si>
  <si>
    <t>formula</t>
  </si>
  <si>
    <t>assumption</t>
  </si>
  <si>
    <t>business rule</t>
  </si>
  <si>
    <t>Graph plotting the expected conversion of a lead as function of agent &amp; campaign</t>
  </si>
  <si>
    <t>Probability of Sales per Lead</t>
  </si>
  <si>
    <t>Probability of Sales per Argumented Call</t>
  </si>
  <si>
    <t>Comment</t>
  </si>
  <si>
    <t>Core</t>
  </si>
  <si>
    <t>Sensitivity</t>
  </si>
  <si>
    <t>Validation</t>
  </si>
  <si>
    <t>Other</t>
  </si>
  <si>
    <t>Monthly cost induced by model based on lead volumes and various KPIs</t>
  </si>
  <si>
    <t>Is that consistent with number of agents?</t>
  </si>
  <si>
    <t>=Conversion(agent)/average(Conversion_agents) * Conversion(Campaign) ==&gt; too simplisitic (not working on boundaries), but probably good 1st apprroximation</t>
  </si>
  <si>
    <t>TBD</t>
  </si>
  <si>
    <t>Working Days per Month</t>
  </si>
  <si>
    <t>Calling Time per Month</t>
  </si>
  <si>
    <t>Number of FTEs induced by model based on lead volumes and various KPIs</t>
  </si>
  <si>
    <t>Seems way too low!!!</t>
  </si>
  <si>
    <t>NO</t>
  </si>
  <si>
    <t>Monthly Calling Cost including hourly agent cost and commission</t>
  </si>
  <si>
    <t>most likely function of campaign and agent; assuming 4x conversion, although it doesn't work on easy campaigns…</t>
  </si>
  <si>
    <t>% of Working Time</t>
  </si>
  <si>
    <t>These guys hardly spend time on sales and burn files</t>
  </si>
  <si>
    <t>Are we better off not giving leads to low performers?</t>
  </si>
  <si>
    <t>Revenue is unrealistic (should rather be around 100K to 200K</t>
  </si>
  <si>
    <t>Leads per Agent</t>
  </si>
  <si>
    <t>Sales per Agent</t>
  </si>
  <si>
    <t>SEEMS WRONG</t>
  </si>
  <si>
    <t>playground</t>
  </si>
  <si>
    <t>Missing no calling time (training, other…); averaged cost doesn't summ up with segments costs…</t>
  </si>
  <si>
    <t>Time &amp; Working Time refer to time spent on converted leads</t>
  </si>
  <si>
    <t>Assuming 20% holidays, sick leave…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</si>
</sst>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"/>
    <numFmt numFmtId="166" formatCode="\+#,##0.00\ &quot;CHF&quot;;[Red]\-#,##0.00\ &quot;CHF&quot;"/>
    <numFmt numFmtId="167" formatCode="\+#,##0\ &quot;CHF&quot;;[Red]\-#,##0\ &quot;CHF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6" fontId="0" fillId="2" borderId="0" xfId="0" applyNumberFormat="1" applyFill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3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6" fontId="3" fillId="3" borderId="0" xfId="0" applyNumberFormat="1" applyFont="1" applyFill="1"/>
    <xf numFmtId="0" fontId="0" fillId="0" borderId="1" xfId="0" applyBorder="1" applyAlignment="1">
      <alignment horizontal="right"/>
    </xf>
    <xf numFmtId="3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3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66" fontId="0" fillId="0" borderId="0" xfId="0" applyNumberFormat="1" applyBorder="1"/>
    <xf numFmtId="164" fontId="0" fillId="4" borderId="0" xfId="0" applyNumberFormat="1" applyFill="1"/>
    <xf numFmtId="0" fontId="0" fillId="4" borderId="0" xfId="0" applyFill="1"/>
    <xf numFmtId="0" fontId="0" fillId="2" borderId="0" xfId="0" applyFill="1"/>
    <xf numFmtId="3" fontId="0" fillId="4" borderId="0" xfId="0" applyNumberFormat="1" applyFill="1"/>
    <xf numFmtId="167" fontId="0" fillId="0" borderId="0" xfId="0" applyNumberFormat="1"/>
    <xf numFmtId="166" fontId="0" fillId="0" borderId="0" xfId="0" applyNumberForma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0" xfId="0" applyFill="1" applyBorder="1"/>
    <xf numFmtId="0" fontId="0" fillId="6" borderId="0" xfId="0" quotePrefix="1" applyFill="1" applyBorder="1"/>
    <xf numFmtId="0" fontId="4" fillId="7" borderId="0" xfId="0" applyFont="1" applyFill="1"/>
    <xf numFmtId="165" fontId="4" fillId="7" borderId="0" xfId="0" quotePrefix="1" applyNumberFormat="1" applyFont="1" applyFill="1"/>
    <xf numFmtId="167" fontId="0" fillId="0" borderId="0" xfId="0" applyNumberFormat="1" applyBorder="1"/>
    <xf numFmtId="0" fontId="0" fillId="9" borderId="0" xfId="0" applyFill="1"/>
    <xf numFmtId="164" fontId="0" fillId="9" borderId="0" xfId="0" applyNumberFormat="1" applyFill="1"/>
    <xf numFmtId="3" fontId="0" fillId="9" borderId="0" xfId="0" applyNumberFormat="1" applyFill="1"/>
    <xf numFmtId="166" fontId="0" fillId="9" borderId="0" xfId="0" applyNumberFormat="1" applyFill="1"/>
    <xf numFmtId="167" fontId="0" fillId="9" borderId="0" xfId="0" applyNumberFormat="1" applyFill="1"/>
    <xf numFmtId="167" fontId="4" fillId="9" borderId="0" xfId="0" applyNumberFormat="1" applyFont="1" applyFill="1"/>
    <xf numFmtId="167" fontId="0" fillId="0" borderId="0" xfId="0" applyNumberFormat="1" applyFill="1"/>
    <xf numFmtId="166" fontId="0" fillId="0" borderId="1" xfId="0" applyNumberFormat="1" applyFill="1" applyBorder="1"/>
    <xf numFmtId="167" fontId="0" fillId="0" borderId="0" xfId="0" applyNumberFormat="1" applyFill="1" applyBorder="1"/>
    <xf numFmtId="167" fontId="4" fillId="0" borderId="0" xfId="0" applyNumberFormat="1" applyFont="1" applyFill="1"/>
    <xf numFmtId="3" fontId="0" fillId="0" borderId="0" xfId="0" applyNumberFormat="1" applyFill="1"/>
    <xf numFmtId="3" fontId="0" fillId="9" borderId="0" xfId="0" applyNumberFormat="1" applyFill="1" applyBorder="1"/>
    <xf numFmtId="9" fontId="3" fillId="3" borderId="0" xfId="1" applyFont="1" applyFill="1"/>
    <xf numFmtId="9" fontId="0" fillId="0" borderId="0" xfId="1" applyFont="1"/>
    <xf numFmtId="9" fontId="0" fillId="0" borderId="1" xfId="1" applyFont="1" applyBorder="1"/>
    <xf numFmtId="9" fontId="0" fillId="0" borderId="0" xfId="1" applyFont="1" applyBorder="1"/>
    <xf numFmtId="9" fontId="0" fillId="9" borderId="0" xfId="1" applyFont="1" applyFill="1"/>
    <xf numFmtId="9" fontId="2" fillId="9" borderId="2" xfId="1" applyFont="1" applyFill="1" applyBorder="1"/>
    <xf numFmtId="9" fontId="2" fillId="9" borderId="3" xfId="1" applyFont="1" applyFill="1" applyBorder="1"/>
    <xf numFmtId="9" fontId="2" fillId="9" borderId="4" xfId="1" applyFont="1" applyFill="1" applyBorder="1"/>
    <xf numFmtId="0" fontId="2" fillId="6" borderId="0" xfId="0" applyFont="1" applyFill="1"/>
    <xf numFmtId="165" fontId="0" fillId="9" borderId="0" xfId="0" applyNumberFormat="1" applyFill="1"/>
    <xf numFmtId="9" fontId="0" fillId="4" borderId="0" xfId="0" applyNumberFormat="1" applyFill="1"/>
    <xf numFmtId="165" fontId="4" fillId="7" borderId="0" xfId="0" applyNumberFormat="1" applyFont="1" applyFill="1"/>
    <xf numFmtId="167" fontId="4" fillId="7" borderId="0" xfId="0" applyNumberFormat="1" applyFont="1" applyFill="1"/>
    <xf numFmtId="0" fontId="3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right"/>
    </xf>
    <xf numFmtId="0" fontId="3" fillId="8" borderId="0" xfId="0" applyFont="1" applyFill="1" applyBorder="1" applyAlignment="1">
      <alignment horizontal="left"/>
    </xf>
    <xf numFmtId="0" fontId="3" fillId="8" borderId="0" xfId="0" applyFont="1" applyFill="1" applyAlignment="1">
      <alignment horizontal="left"/>
    </xf>
    <xf numFmtId="0" fontId="0" fillId="8" borderId="0" xfId="0" applyFill="1" applyBorder="1" applyAlignment="1">
      <alignment horizontal="right"/>
    </xf>
    <xf numFmtId="0" fontId="0" fillId="8" borderId="0" xfId="0" applyFill="1" applyAlignment="1">
      <alignment horizontal="right"/>
    </xf>
    <xf numFmtId="9" fontId="0" fillId="8" borderId="0" xfId="1" applyFont="1" applyFill="1"/>
    <xf numFmtId="164" fontId="5" fillId="8" borderId="0" xfId="0" quotePrefix="1" applyNumberFormat="1" applyFont="1" applyFill="1"/>
    <xf numFmtId="9" fontId="0" fillId="9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69"/>
  <sheetViews>
    <sheetView tabSelected="1" zoomScaleNormal="100" workbookViewId="0">
      <selection activeCell="F23" sqref="F23"/>
    </sheetView>
  </sheetViews>
  <sheetFormatPr defaultRowHeight="15" x14ac:dyDescent="0.25"/>
  <cols>
    <col min="3" max="4" width="2.85546875" style="6" customWidth="1"/>
    <col min="5" max="5" width="61.85546875" style="3" customWidth="1"/>
    <col min="6" max="6" width="19.85546875" style="2" customWidth="1"/>
    <col min="7" max="7" width="19.85546875" customWidth="1"/>
    <col min="8" max="10" width="19.85546875" style="2" customWidth="1"/>
    <col min="11" max="11" width="19.85546875" style="53" customWidth="1"/>
    <col min="12" max="12" width="19.85546875" style="1" customWidth="1"/>
    <col min="13" max="16" width="19.85546875" style="4" customWidth="1"/>
    <col min="17" max="17" width="39.85546875" bestFit="1" customWidth="1"/>
    <col min="18" max="18" width="15.7109375" customWidth="1"/>
  </cols>
  <sheetData>
    <row r="1" spans="3:17" x14ac:dyDescent="0.25">
      <c r="F1" s="40" t="s">
        <v>39</v>
      </c>
      <c r="G1" s="27" t="s">
        <v>41</v>
      </c>
      <c r="H1" s="32" t="s">
        <v>40</v>
      </c>
      <c r="I1" s="37" t="s">
        <v>67</v>
      </c>
      <c r="J1" s="26" t="s">
        <v>68</v>
      </c>
      <c r="K1" s="71" t="s">
        <v>53</v>
      </c>
    </row>
    <row r="3" spans="3:17" s="10" customFormat="1" x14ac:dyDescent="0.25">
      <c r="C3" s="7"/>
      <c r="D3" s="7"/>
      <c r="E3" s="8"/>
      <c r="F3" s="9" t="s">
        <v>5</v>
      </c>
      <c r="G3" s="10" t="s">
        <v>6</v>
      </c>
      <c r="H3" s="9" t="s">
        <v>65</v>
      </c>
      <c r="I3" s="9" t="s">
        <v>66</v>
      </c>
      <c r="J3" s="9" t="s">
        <v>12</v>
      </c>
      <c r="K3" s="52" t="s">
        <v>61</v>
      </c>
      <c r="L3" s="11" t="s">
        <v>10</v>
      </c>
      <c r="M3" s="12" t="s">
        <v>20</v>
      </c>
      <c r="N3" s="12" t="s">
        <v>21</v>
      </c>
      <c r="O3" s="12" t="s">
        <v>18</v>
      </c>
      <c r="P3" s="12" t="s">
        <v>22</v>
      </c>
      <c r="Q3" s="31" t="s">
        <v>45</v>
      </c>
    </row>
    <row r="4" spans="3:17" x14ac:dyDescent="0.25">
      <c r="Q4" s="33"/>
    </row>
    <row r="5" spans="3:17" s="15" customFormat="1" ht="15.75" thickBot="1" x14ac:dyDescent="0.3">
      <c r="C5" s="18" t="s">
        <v>0</v>
      </c>
      <c r="D5" s="18"/>
      <c r="E5" s="13"/>
      <c r="F5" s="14"/>
      <c r="H5" s="14"/>
      <c r="I5" s="14"/>
      <c r="J5" s="14"/>
      <c r="K5" s="54"/>
      <c r="L5" s="16"/>
      <c r="M5" s="17"/>
      <c r="N5" s="17"/>
      <c r="O5" s="17"/>
      <c r="P5" s="17"/>
      <c r="Q5" s="34"/>
    </row>
    <row r="6" spans="3:17" ht="15.75" thickBot="1" x14ac:dyDescent="0.3">
      <c r="D6" s="6" t="s">
        <v>27</v>
      </c>
      <c r="F6" s="63">
        <f>J30/3600/8/F23</f>
        <v>30.9375</v>
      </c>
      <c r="H6" s="42">
        <f>SUMPRODUCT(H7:H9,G7:G9)</f>
        <v>3536.6868784865392</v>
      </c>
      <c r="I6" s="42">
        <f>SUMPRODUCT(I7:I9,G7:G9)</f>
        <v>59.374242056754802</v>
      </c>
      <c r="J6" s="42">
        <f t="shared" ref="J6:J8" si="0">I6*$J$29</f>
        <v>160310.45355323795</v>
      </c>
      <c r="K6" s="56">
        <f>J6/$J$23</f>
        <v>0.34789594955129766</v>
      </c>
      <c r="L6" s="41">
        <f>I6/H6</f>
        <v>1.6788096910112363E-2</v>
      </c>
      <c r="M6" s="43">
        <f>SUMPRODUCT(L7:L9,M7:M9,G7:G9)/L6</f>
        <v>-2.4422065359477121</v>
      </c>
      <c r="N6" s="30"/>
      <c r="O6" s="44">
        <f>F15*L15*M6+J30*O11/3600</f>
        <v>-44948.432313725491</v>
      </c>
      <c r="Q6" s="33" t="s">
        <v>69</v>
      </c>
    </row>
    <row r="7" spans="3:17" x14ac:dyDescent="0.25">
      <c r="E7" s="3" t="s">
        <v>1</v>
      </c>
      <c r="F7" s="61">
        <f>G7*F$6</f>
        <v>6.1875</v>
      </c>
      <c r="G7" s="62">
        <v>0.2</v>
      </c>
      <c r="H7" s="42">
        <f>($J$23
/
(30+$L$25*$J$26-$J$26*L7+$J$29*L7))</f>
        <v>2477.4193548387098</v>
      </c>
      <c r="I7" s="42">
        <f>H7*L7</f>
        <v>99.096774193548399</v>
      </c>
      <c r="J7" s="42">
        <f t="shared" si="0"/>
        <v>267561.29032258067</v>
      </c>
      <c r="K7" s="57">
        <f t="shared" ref="K7:K9" si="1">J7/$J$23</f>
        <v>0.58064516129032262</v>
      </c>
      <c r="L7" s="25">
        <v>0.04</v>
      </c>
      <c r="M7" s="4">
        <v>-2.5</v>
      </c>
      <c r="N7" s="30"/>
      <c r="O7" s="44">
        <f>F7*($J$23*$O$11/3600+I7*M7)</f>
        <v>-9452.9032258064508</v>
      </c>
      <c r="Q7" s="33" t="s">
        <v>70</v>
      </c>
    </row>
    <row r="8" spans="3:17" x14ac:dyDescent="0.25">
      <c r="E8" s="3" t="s">
        <v>2</v>
      </c>
      <c r="F8" s="61">
        <f t="shared" ref="F8:F9" si="2">G8*F$6</f>
        <v>15.46875</v>
      </c>
      <c r="G8" s="62">
        <v>0.5</v>
      </c>
      <c r="H8" s="42">
        <f t="shared" ref="H8:H9" si="3">($J$23
/
(30+$L$25*$J$26-$J$26*L8+$J$29*L8))</f>
        <v>3657.1428571428573</v>
      </c>
      <c r="I8" s="42">
        <f t="shared" ref="I8:I9" si="4">H8*L8</f>
        <v>54.857142857142861</v>
      </c>
      <c r="J8" s="42">
        <f t="shared" si="0"/>
        <v>148114.28571428574</v>
      </c>
      <c r="K8" s="58">
        <f t="shared" si="1"/>
        <v>0.32142857142857151</v>
      </c>
      <c r="L8" s="25">
        <v>1.4999999999999999E-2</v>
      </c>
      <c r="M8" s="4">
        <v>-2</v>
      </c>
      <c r="N8" s="30"/>
      <c r="O8" s="44">
        <f t="shared" ref="O8:O9" si="5">F8*($J$23*$O$11/3600+I8*M8)</f>
        <v>-21497.142857142859</v>
      </c>
      <c r="Q8" s="33"/>
    </row>
    <row r="9" spans="3:17" ht="15.75" thickBot="1" x14ac:dyDescent="0.3">
      <c r="E9" s="3" t="s">
        <v>3</v>
      </c>
      <c r="F9" s="61">
        <f t="shared" si="2"/>
        <v>9.2812500000000018</v>
      </c>
      <c r="G9" s="73">
        <f>100%-SUM(G7:G8)</f>
        <v>0.30000000000000004</v>
      </c>
      <c r="H9" s="42">
        <f t="shared" si="3"/>
        <v>4042.1052631578946</v>
      </c>
      <c r="I9" s="42">
        <f t="shared" si="4"/>
        <v>40.421052631578945</v>
      </c>
      <c r="J9" s="42">
        <f>I9*$J$29</f>
        <v>109136.84210526315</v>
      </c>
      <c r="K9" s="59">
        <f t="shared" si="1"/>
        <v>0.23684210526315788</v>
      </c>
      <c r="L9" s="25">
        <v>0.01</v>
      </c>
      <c r="M9" s="4">
        <v>-2</v>
      </c>
      <c r="N9" s="30"/>
      <c r="O9" s="44">
        <f t="shared" si="5"/>
        <v>-12630.315789473687</v>
      </c>
      <c r="Q9" s="60" t="s">
        <v>62</v>
      </c>
    </row>
    <row r="10" spans="3:17" x14ac:dyDescent="0.25">
      <c r="D10" s="6" t="s">
        <v>18</v>
      </c>
      <c r="Q10" s="33"/>
    </row>
    <row r="11" spans="3:17" x14ac:dyDescent="0.25">
      <c r="E11" s="3" t="s">
        <v>19</v>
      </c>
      <c r="O11" s="4">
        <v>-10</v>
      </c>
      <c r="Q11" s="33"/>
    </row>
    <row r="12" spans="3:17" x14ac:dyDescent="0.25">
      <c r="Q12" s="33"/>
    </row>
    <row r="13" spans="3:17" x14ac:dyDescent="0.25">
      <c r="Q13" s="33"/>
    </row>
    <row r="14" spans="3:17" s="15" customFormat="1" ht="15.75" thickBot="1" x14ac:dyDescent="0.3">
      <c r="C14" s="18" t="s">
        <v>4</v>
      </c>
      <c r="D14" s="18"/>
      <c r="E14" s="13"/>
      <c r="F14" s="14"/>
      <c r="H14" s="14"/>
      <c r="I14" s="14"/>
      <c r="J14" s="14"/>
      <c r="K14" s="54"/>
      <c r="L14" s="16"/>
      <c r="M14" s="17"/>
      <c r="N14" s="17"/>
      <c r="O14" s="17"/>
      <c r="P14" s="17"/>
      <c r="Q14" s="34"/>
    </row>
    <row r="15" spans="3:17" x14ac:dyDescent="0.25">
      <c r="D15" s="6" t="s">
        <v>26</v>
      </c>
      <c r="F15" s="28">
        <v>100000</v>
      </c>
      <c r="L15" s="41">
        <f>SUMPRODUCT(G16:G18,L16:L18)</f>
        <v>2.1899999999999999E-2</v>
      </c>
      <c r="M15" s="43">
        <f>N15/(F15*L15)</f>
        <v>111.18721461187215</v>
      </c>
      <c r="N15" s="64">
        <f>SUM(N16:N18)</f>
        <v>243500</v>
      </c>
      <c r="P15" s="29"/>
      <c r="Q15" s="33" t="s">
        <v>64</v>
      </c>
    </row>
    <row r="16" spans="3:17" x14ac:dyDescent="0.25">
      <c r="E16" s="3" t="s">
        <v>7</v>
      </c>
      <c r="F16" s="42">
        <f>G16*F$15</f>
        <v>1000</v>
      </c>
      <c r="G16" s="62">
        <v>0.01</v>
      </c>
      <c r="L16" s="25">
        <v>0.15</v>
      </c>
      <c r="M16" s="4">
        <v>50</v>
      </c>
      <c r="N16" s="44">
        <f>M16*L16*F16</f>
        <v>7500</v>
      </c>
      <c r="P16" s="29"/>
      <c r="Q16" s="33"/>
    </row>
    <row r="17" spans="3:17" x14ac:dyDescent="0.25">
      <c r="E17" s="3" t="s">
        <v>8</v>
      </c>
      <c r="F17" s="42">
        <f t="shared" ref="F17:F18" si="6">G17*F$15</f>
        <v>35000</v>
      </c>
      <c r="G17" s="62">
        <v>0.35</v>
      </c>
      <c r="L17" s="25">
        <v>0.04</v>
      </c>
      <c r="M17" s="4">
        <v>100</v>
      </c>
      <c r="N17" s="44">
        <f>M17*L17*F17</f>
        <v>140000</v>
      </c>
      <c r="P17" s="29"/>
      <c r="Q17" s="33"/>
    </row>
    <row r="18" spans="3:17" x14ac:dyDescent="0.25">
      <c r="E18" s="3" t="s">
        <v>9</v>
      </c>
      <c r="F18" s="42">
        <f t="shared" si="6"/>
        <v>64000</v>
      </c>
      <c r="G18" s="73">
        <f>100%-SUM(G16:G17)</f>
        <v>0.64</v>
      </c>
      <c r="L18" s="25">
        <v>0.01</v>
      </c>
      <c r="M18" s="4">
        <v>150</v>
      </c>
      <c r="N18" s="44">
        <f>M18*L18*F18</f>
        <v>96000</v>
      </c>
      <c r="P18" s="29"/>
      <c r="Q18" s="33"/>
    </row>
    <row r="19" spans="3:17" x14ac:dyDescent="0.25">
      <c r="N19" s="30"/>
      <c r="Q19" s="33"/>
    </row>
    <row r="20" spans="3:17" x14ac:dyDescent="0.25">
      <c r="N20" s="30"/>
      <c r="Q20" s="33"/>
    </row>
    <row r="21" spans="3:17" s="15" customFormat="1" ht="15.75" thickBot="1" x14ac:dyDescent="0.3">
      <c r="C21" s="18" t="s">
        <v>11</v>
      </c>
      <c r="D21" s="18"/>
      <c r="E21" s="13"/>
      <c r="F21" s="14"/>
      <c r="H21" s="14"/>
      <c r="I21" s="14"/>
      <c r="J21" s="14"/>
      <c r="K21" s="54"/>
      <c r="L21" s="16"/>
      <c r="M21" s="17"/>
      <c r="N21" s="47"/>
      <c r="O21" s="17"/>
      <c r="P21" s="17"/>
      <c r="Q21" s="34"/>
    </row>
    <row r="22" spans="3:17" s="22" customFormat="1" x14ac:dyDescent="0.25">
      <c r="C22" s="19"/>
      <c r="D22" s="6" t="s">
        <v>25</v>
      </c>
      <c r="E22" s="20"/>
      <c r="F22" s="21"/>
      <c r="H22" s="21"/>
      <c r="I22" s="21"/>
      <c r="J22" s="21"/>
      <c r="K22" s="55"/>
      <c r="L22" s="23"/>
      <c r="M22" s="24"/>
      <c r="N22" s="48"/>
      <c r="O22" s="39"/>
      <c r="P22" s="24"/>
      <c r="Q22" s="35"/>
    </row>
    <row r="23" spans="3:17" s="22" customFormat="1" x14ac:dyDescent="0.25">
      <c r="C23" s="19"/>
      <c r="D23" s="6"/>
      <c r="E23" s="20" t="s">
        <v>54</v>
      </c>
      <c r="F23" s="21">
        <f>20*80%</f>
        <v>16</v>
      </c>
      <c r="H23" s="21"/>
      <c r="I23" s="21"/>
      <c r="J23" s="51">
        <f>F23*8*3600</f>
        <v>460800</v>
      </c>
      <c r="K23" s="55"/>
      <c r="L23" s="23"/>
      <c r="M23" s="24"/>
      <c r="N23" s="48"/>
      <c r="O23" s="39"/>
      <c r="P23" s="24"/>
      <c r="Q23" s="35" t="s">
        <v>71</v>
      </c>
    </row>
    <row r="24" spans="3:17" x14ac:dyDescent="0.25">
      <c r="E24" s="3" t="s">
        <v>13</v>
      </c>
      <c r="J24" s="2">
        <v>30</v>
      </c>
      <c r="N24" s="46"/>
      <c r="O24" s="44">
        <f>F15*O33</f>
        <v>-10000</v>
      </c>
      <c r="Q24" s="33"/>
    </row>
    <row r="25" spans="3:17" x14ac:dyDescent="0.25">
      <c r="E25" s="3" t="s">
        <v>14</v>
      </c>
      <c r="L25" s="25">
        <v>0.2</v>
      </c>
      <c r="N25" s="46"/>
      <c r="O25" s="29"/>
      <c r="Q25" s="33" t="s">
        <v>60</v>
      </c>
    </row>
    <row r="26" spans="3:17" x14ac:dyDescent="0.25">
      <c r="E26" s="3" t="s">
        <v>15</v>
      </c>
      <c r="J26" s="2">
        <f>60*5</f>
        <v>300</v>
      </c>
      <c r="N26" s="46"/>
      <c r="O26" s="44">
        <f>F15*(L25-L15)*J26*O34/60</f>
        <v>-8905</v>
      </c>
      <c r="Q26" s="33"/>
    </row>
    <row r="27" spans="3:17" x14ac:dyDescent="0.25">
      <c r="E27" s="3" t="s">
        <v>43</v>
      </c>
      <c r="L27" s="72" t="s">
        <v>16</v>
      </c>
      <c r="N27" s="46"/>
      <c r="O27" s="29"/>
      <c r="Q27" s="33"/>
    </row>
    <row r="28" spans="3:17" x14ac:dyDescent="0.25">
      <c r="E28" s="3" t="s">
        <v>44</v>
      </c>
      <c r="L28" s="72" t="s">
        <v>16</v>
      </c>
      <c r="N28" s="46"/>
      <c r="O28" s="29"/>
      <c r="Q28" s="33"/>
    </row>
    <row r="29" spans="3:17" x14ac:dyDescent="0.25">
      <c r="E29" s="3" t="s">
        <v>17</v>
      </c>
      <c r="J29" s="2">
        <f>60*45</f>
        <v>2700</v>
      </c>
      <c r="N29" s="46"/>
      <c r="O29" s="44">
        <f>J29*F15*L15*O34/60</f>
        <v>-9855</v>
      </c>
      <c r="Q29" s="33"/>
    </row>
    <row r="30" spans="3:17" x14ac:dyDescent="0.25">
      <c r="E30" s="3" t="s">
        <v>55</v>
      </c>
      <c r="H30" s="50"/>
      <c r="I30" s="50"/>
      <c r="J30" s="42">
        <f>J29*F15*L15+F15*(L25-L15)*J26+F15*J24</f>
        <v>14256000</v>
      </c>
      <c r="N30" s="46"/>
      <c r="O30" s="44">
        <f>O29+O26+O24</f>
        <v>-28760</v>
      </c>
      <c r="Q30" s="33"/>
    </row>
    <row r="31" spans="3:17" x14ac:dyDescent="0.25">
      <c r="D31" s="6" t="s">
        <v>28</v>
      </c>
      <c r="N31" s="30"/>
      <c r="Q31" s="33"/>
    </row>
    <row r="32" spans="3:17" x14ac:dyDescent="0.25">
      <c r="E32" s="3" t="s">
        <v>29</v>
      </c>
      <c r="N32" s="5">
        <v>0</v>
      </c>
      <c r="Q32" s="33"/>
    </row>
    <row r="33" spans="3:17" x14ac:dyDescent="0.25">
      <c r="E33" s="3" t="s">
        <v>30</v>
      </c>
      <c r="N33" s="30"/>
      <c r="O33" s="4">
        <v>-0.1</v>
      </c>
      <c r="Q33" s="33"/>
    </row>
    <row r="34" spans="3:17" x14ac:dyDescent="0.25">
      <c r="E34" s="3" t="s">
        <v>31</v>
      </c>
      <c r="N34" s="30"/>
      <c r="O34" s="4">
        <v>-0.1</v>
      </c>
      <c r="Q34" s="33"/>
    </row>
    <row r="35" spans="3:17" x14ac:dyDescent="0.25">
      <c r="E35" s="3" t="s">
        <v>59</v>
      </c>
      <c r="N35" s="46"/>
      <c r="O35" s="44">
        <f>O30+O6</f>
        <v>-73708.432313725498</v>
      </c>
      <c r="Q35" s="33"/>
    </row>
    <row r="36" spans="3:17" x14ac:dyDescent="0.25">
      <c r="Q36" s="33"/>
    </row>
    <row r="37" spans="3:17" s="15" customFormat="1" ht="15.75" thickBot="1" x14ac:dyDescent="0.3">
      <c r="C37" s="65" t="s">
        <v>23</v>
      </c>
      <c r="D37" s="65"/>
      <c r="E37" s="66"/>
      <c r="F37" s="14"/>
      <c r="H37" s="14"/>
      <c r="I37" s="14"/>
      <c r="J37" s="14"/>
      <c r="K37" s="54"/>
      <c r="L37" s="16"/>
      <c r="M37" s="17"/>
      <c r="N37" s="17"/>
      <c r="O37" s="17"/>
      <c r="P37" s="17"/>
      <c r="Q37" s="34"/>
    </row>
    <row r="38" spans="3:17" s="22" customFormat="1" x14ac:dyDescent="0.25">
      <c r="C38" s="67"/>
      <c r="D38" s="68" t="s">
        <v>46</v>
      </c>
      <c r="E38" s="69"/>
      <c r="F38" s="21"/>
      <c r="H38" s="21"/>
      <c r="I38" s="21"/>
      <c r="J38" s="21"/>
      <c r="K38" s="55"/>
      <c r="L38" s="23"/>
      <c r="M38" s="24"/>
      <c r="N38" s="39"/>
      <c r="O38" s="39"/>
      <c r="P38" s="24"/>
      <c r="Q38" s="35"/>
    </row>
    <row r="39" spans="3:17" s="22" customFormat="1" x14ac:dyDescent="0.25">
      <c r="C39" s="67"/>
      <c r="D39" s="67"/>
      <c r="E39" s="69" t="s">
        <v>32</v>
      </c>
      <c r="F39" s="21"/>
      <c r="H39" s="21"/>
      <c r="I39" s="21"/>
      <c r="J39" s="21"/>
      <c r="K39" s="55"/>
      <c r="L39" s="23"/>
      <c r="M39" s="24"/>
      <c r="N39" s="39"/>
      <c r="O39" s="39"/>
      <c r="P39" s="24"/>
      <c r="Q39" s="36" t="s">
        <v>52</v>
      </c>
    </row>
    <row r="40" spans="3:17" s="22" customFormat="1" x14ac:dyDescent="0.25">
      <c r="C40" s="67"/>
      <c r="D40" s="67"/>
      <c r="E40" s="69" t="s">
        <v>42</v>
      </c>
      <c r="F40" s="21"/>
      <c r="H40" s="21"/>
      <c r="I40" s="21"/>
      <c r="J40" s="21"/>
      <c r="K40" s="55"/>
      <c r="L40" s="23"/>
      <c r="M40" s="24"/>
      <c r="N40" s="39"/>
      <c r="O40" s="39"/>
      <c r="P40" s="24"/>
      <c r="Q40" s="35"/>
    </row>
    <row r="41" spans="3:17" s="22" customFormat="1" x14ac:dyDescent="0.25">
      <c r="C41" s="67"/>
      <c r="D41" s="67" t="s">
        <v>47</v>
      </c>
      <c r="E41" s="69"/>
      <c r="F41" s="21"/>
      <c r="H41" s="21"/>
      <c r="I41" s="21"/>
      <c r="J41" s="21"/>
      <c r="K41" s="55"/>
      <c r="L41" s="23"/>
      <c r="M41" s="24"/>
      <c r="N41" s="39"/>
      <c r="O41" s="39"/>
      <c r="P41" s="24"/>
      <c r="Q41" s="35"/>
    </row>
    <row r="42" spans="3:17" x14ac:dyDescent="0.25">
      <c r="C42" s="68"/>
      <c r="D42" s="68"/>
      <c r="E42" s="70" t="s">
        <v>33</v>
      </c>
      <c r="N42" s="29"/>
      <c r="O42" s="29"/>
      <c r="Q42" s="33"/>
    </row>
    <row r="43" spans="3:17" x14ac:dyDescent="0.25">
      <c r="C43" s="68"/>
      <c r="D43" s="68"/>
      <c r="E43" s="70" t="s">
        <v>34</v>
      </c>
      <c r="N43" s="29"/>
      <c r="O43" s="29"/>
      <c r="Q43" s="33"/>
    </row>
    <row r="44" spans="3:17" x14ac:dyDescent="0.25">
      <c r="C44" s="68"/>
      <c r="D44" s="68"/>
      <c r="E44" s="70" t="s">
        <v>35</v>
      </c>
      <c r="N44" s="29"/>
      <c r="O44" s="29"/>
      <c r="Q44" s="33"/>
    </row>
    <row r="45" spans="3:17" x14ac:dyDescent="0.25">
      <c r="C45" s="68"/>
      <c r="D45" s="68"/>
      <c r="E45" s="70" t="s">
        <v>36</v>
      </c>
      <c r="N45" s="29"/>
      <c r="O45" s="29"/>
      <c r="Q45" s="33"/>
    </row>
    <row r="46" spans="3:17" x14ac:dyDescent="0.25">
      <c r="C46" s="68"/>
      <c r="D46" s="68"/>
      <c r="E46" s="70" t="s">
        <v>37</v>
      </c>
      <c r="N46" s="29"/>
      <c r="O46" s="29"/>
      <c r="Q46" s="33"/>
    </row>
    <row r="47" spans="3:17" x14ac:dyDescent="0.25">
      <c r="C47" s="68"/>
      <c r="D47" s="68"/>
      <c r="E47" s="70" t="s">
        <v>38</v>
      </c>
      <c r="N47" s="29"/>
      <c r="O47" s="29"/>
      <c r="Q47" s="33"/>
    </row>
    <row r="48" spans="3:17" x14ac:dyDescent="0.25">
      <c r="C48" s="68"/>
      <c r="D48" s="68"/>
      <c r="E48" s="70" t="s">
        <v>63</v>
      </c>
      <c r="N48" s="29"/>
      <c r="O48" s="29"/>
      <c r="Q48" s="33"/>
    </row>
    <row r="49" spans="3:17" s="22" customFormat="1" x14ac:dyDescent="0.25">
      <c r="C49" s="67"/>
      <c r="D49" s="67" t="s">
        <v>48</v>
      </c>
      <c r="E49" s="69"/>
      <c r="F49" s="21"/>
      <c r="H49" s="21"/>
      <c r="I49" s="21"/>
      <c r="J49" s="21"/>
      <c r="K49" s="55"/>
      <c r="L49" s="23"/>
      <c r="M49" s="24"/>
      <c r="N49" s="39"/>
      <c r="O49" s="39"/>
      <c r="P49" s="24"/>
      <c r="Q49" s="35"/>
    </row>
    <row r="50" spans="3:17" x14ac:dyDescent="0.25">
      <c r="C50" s="68"/>
      <c r="D50" s="68"/>
      <c r="E50" s="70" t="s">
        <v>56</v>
      </c>
      <c r="F50" s="38">
        <f>F6</f>
        <v>30.9375</v>
      </c>
      <c r="N50" s="29"/>
      <c r="O50" s="29"/>
      <c r="Q50" s="33" t="s">
        <v>57</v>
      </c>
    </row>
    <row r="51" spans="3:17" x14ac:dyDescent="0.25">
      <c r="C51" s="68"/>
      <c r="D51" s="68"/>
      <c r="E51" s="70" t="s">
        <v>51</v>
      </c>
      <c r="F51" s="2" t="s">
        <v>58</v>
      </c>
      <c r="N51" s="29"/>
      <c r="O51" s="29"/>
      <c r="Q51" s="33"/>
    </row>
    <row r="52" spans="3:17" x14ac:dyDescent="0.25">
      <c r="C52" s="68"/>
      <c r="D52" s="68"/>
      <c r="E52" s="70" t="s">
        <v>50</v>
      </c>
      <c r="F52" s="21"/>
      <c r="N52" s="49"/>
      <c r="O52" s="45">
        <f>O35</f>
        <v>-73708.432313725498</v>
      </c>
      <c r="Q52" s="33"/>
    </row>
    <row r="53" spans="3:17" s="22" customFormat="1" x14ac:dyDescent="0.25">
      <c r="C53" s="67"/>
      <c r="D53" s="67" t="s">
        <v>49</v>
      </c>
      <c r="E53" s="69"/>
      <c r="F53" s="21"/>
      <c r="H53" s="21"/>
      <c r="I53" s="21"/>
      <c r="J53" s="21"/>
      <c r="K53" s="55"/>
      <c r="L53" s="23"/>
      <c r="M53" s="24"/>
      <c r="N53" s="24"/>
      <c r="O53" s="24"/>
      <c r="P53" s="24"/>
      <c r="Q53" s="35"/>
    </row>
    <row r="54" spans="3:17" x14ac:dyDescent="0.25">
      <c r="C54" s="68"/>
      <c r="D54" s="68"/>
      <c r="E54" s="70" t="s">
        <v>24</v>
      </c>
      <c r="Q54" s="33"/>
    </row>
    <row r="55" spans="3:17" x14ac:dyDescent="0.25">
      <c r="Q55" s="33"/>
    </row>
    <row r="56" spans="3:17" x14ac:dyDescent="0.25">
      <c r="Q56" s="33"/>
    </row>
    <row r="57" spans="3:17" x14ac:dyDescent="0.25">
      <c r="Q57" s="33"/>
    </row>
    <row r="58" spans="3:17" x14ac:dyDescent="0.25">
      <c r="Q58" s="33"/>
    </row>
    <row r="59" spans="3:17" x14ac:dyDescent="0.25">
      <c r="Q59" s="33"/>
    </row>
    <row r="60" spans="3:17" x14ac:dyDescent="0.25">
      <c r="Q60" s="33"/>
    </row>
    <row r="61" spans="3:17" x14ac:dyDescent="0.25">
      <c r="Q61" s="33"/>
    </row>
    <row r="62" spans="3:17" x14ac:dyDescent="0.25">
      <c r="Q62" s="33"/>
    </row>
    <row r="63" spans="3:17" x14ac:dyDescent="0.25">
      <c r="Q63" s="33"/>
    </row>
    <row r="64" spans="3:17" x14ac:dyDescent="0.25">
      <c r="Q64" s="33"/>
    </row>
    <row r="65" spans="17:17" x14ac:dyDescent="0.25">
      <c r="Q65" s="33"/>
    </row>
    <row r="66" spans="17:17" x14ac:dyDescent="0.25">
      <c r="Q66" s="33"/>
    </row>
    <row r="67" spans="17:17" x14ac:dyDescent="0.25">
      <c r="Q67" s="33"/>
    </row>
    <row r="68" spans="17:17" x14ac:dyDescent="0.25">
      <c r="Q68" s="33"/>
    </row>
    <row r="69" spans="17:17" x14ac:dyDescent="0.25">
      <c r="Q69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2015-06-05T18:17:20Z</dcterms:created>
  <dcterms:modified xsi:type="dcterms:W3CDTF">2021-05-31T11:50:25Z</dcterms:modified>
</cp:coreProperties>
</file>