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AVANZADO ALUMNOS\"/>
    </mc:Choice>
  </mc:AlternateContent>
  <bookViews>
    <workbookView xWindow="480" yWindow="36" windowWidth="17712" windowHeight="8016" tabRatio="785" activeTab="2"/>
  </bookViews>
  <sheets>
    <sheet name="GRAFICO DINAMICO" sheetId="6" r:id="rId1"/>
    <sheet name="TABLA DINAMICA" sheetId="5" r:id="rId2"/>
    <sheet name="DATOS" sheetId="1" r:id="rId3"/>
    <sheet name="FUNCIONES" sheetId="4" r:id="rId4"/>
    <sheet name="CUADRO" sheetId="3" r:id="rId5"/>
    <sheet name="LISTADOS" sheetId="2" r:id="rId6"/>
  </sheets>
  <definedNames>
    <definedName name="CENTROS">LISTADOS!$A$2:$A$5</definedName>
  </definedNames>
  <calcPr calcId="152511"/>
  <pivotCaches>
    <pivotCache cacheId="4" r:id="rId7"/>
  </pivotCaches>
</workbook>
</file>

<file path=xl/calcChain.xml><?xml version="1.0" encoding="utf-8"?>
<calcChain xmlns="http://schemas.openxmlformats.org/spreadsheetml/2006/main">
  <c r="C13" i="4" l="1"/>
  <c r="C26" i="4"/>
  <c r="C25" i="4"/>
  <c r="B21" i="4"/>
  <c r="C21" i="4" s="1"/>
  <c r="C20" i="4"/>
  <c r="C18" i="4"/>
  <c r="C17" i="4"/>
  <c r="C16" i="4"/>
  <c r="C15" i="4"/>
  <c r="C14" i="4"/>
  <c r="C11" i="4"/>
  <c r="C10" i="4"/>
  <c r="C12" i="4"/>
  <c r="C9" i="4"/>
  <c r="C8" i="4"/>
  <c r="C7" i="4"/>
  <c r="C6" i="4"/>
  <c r="C2" i="4"/>
  <c r="C5" i="4"/>
  <c r="C4" i="4"/>
  <c r="C3" i="4"/>
  <c r="B22" i="4" l="1"/>
  <c r="C19" i="4"/>
  <c r="C17" i="3"/>
  <c r="D17" i="3" s="1"/>
  <c r="C18" i="3"/>
  <c r="D18" i="3" s="1"/>
  <c r="C19" i="3"/>
  <c r="C16" i="3"/>
  <c r="D16" i="3" s="1"/>
  <c r="D19" i="3" s="1"/>
  <c r="B23" i="4" l="1"/>
  <c r="C22" i="4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23" i="4" l="1"/>
  <c r="B24" i="4"/>
  <c r="C24" i="4" s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O2" i="1"/>
  <c r="P2" i="1" s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K10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K2" i="1"/>
</calcChain>
</file>

<file path=xl/sharedStrings.xml><?xml version="1.0" encoding="utf-8"?>
<sst xmlns="http://schemas.openxmlformats.org/spreadsheetml/2006/main" count="328" uniqueCount="146">
  <si>
    <t>COD</t>
  </si>
  <si>
    <t>NOMBRE</t>
  </si>
  <si>
    <t>FNACIMIENTO</t>
  </si>
  <si>
    <t>ALTA</t>
  </si>
  <si>
    <t>CATEGORIA</t>
  </si>
  <si>
    <t>DESCRIPCION</t>
  </si>
  <si>
    <t>IMPORTE</t>
  </si>
  <si>
    <t>CENTRO</t>
  </si>
  <si>
    <t>CIUDAD</t>
  </si>
  <si>
    <t>AREA</t>
  </si>
  <si>
    <t>ENERO</t>
  </si>
  <si>
    <t>FEBRERO</t>
  </si>
  <si>
    <t>MARZO</t>
  </si>
  <si>
    <t>CENTROS</t>
  </si>
  <si>
    <t>MADRID CENTRAL</t>
  </si>
  <si>
    <t>MADRID SUR</t>
  </si>
  <si>
    <t>TOLEDO 1</t>
  </si>
  <si>
    <t>GUADALAJARA 1</t>
  </si>
  <si>
    <t>CIUDADES</t>
  </si>
  <si>
    <t>MADRID</t>
  </si>
  <si>
    <t>LEGANES</t>
  </si>
  <si>
    <t>QUINTANAR</t>
  </si>
  <si>
    <t>GUADALAJARA</t>
  </si>
  <si>
    <t>PEDRO</t>
  </si>
  <si>
    <t>LUIS</t>
  </si>
  <si>
    <t>ANA ISABEL</t>
  </si>
  <si>
    <t>PETRONILA</t>
  </si>
  <si>
    <t>LUZ</t>
  </si>
  <si>
    <t>AURORA</t>
  </si>
  <si>
    <t>ANDREA</t>
  </si>
  <si>
    <t>MARTA</t>
  </si>
  <si>
    <t>CARLOS</t>
  </si>
  <si>
    <t>ALBERTO</t>
  </si>
  <si>
    <t>TOMAS</t>
  </si>
  <si>
    <t>JACINTO</t>
  </si>
  <si>
    <t>GUSTAVO</t>
  </si>
  <si>
    <t>CLEMENTE</t>
  </si>
  <si>
    <t>MARIA</t>
  </si>
  <si>
    <t>ROSA</t>
  </si>
  <si>
    <t>ILDEFONSO</t>
  </si>
  <si>
    <t>MANUEL</t>
  </si>
  <si>
    <t>JOSE LUIS</t>
  </si>
  <si>
    <t>VICTOR</t>
  </si>
  <si>
    <t>SERGIO</t>
  </si>
  <si>
    <t>ANGEL</t>
  </si>
  <si>
    <t>DAVID</t>
  </si>
  <si>
    <t>SEXO</t>
  </si>
  <si>
    <t>HOMBRE</t>
  </si>
  <si>
    <t>MUJER</t>
  </si>
  <si>
    <t>ALBA</t>
  </si>
  <si>
    <t>GARCIA</t>
  </si>
  <si>
    <t>ANDRADE</t>
  </si>
  <si>
    <t>ALVAREZ</t>
  </si>
  <si>
    <t>LOPEZ</t>
  </si>
  <si>
    <t>GRANDES</t>
  </si>
  <si>
    <t>LINARES</t>
  </si>
  <si>
    <t>POLANCO</t>
  </si>
  <si>
    <t>PEREZ</t>
  </si>
  <si>
    <t>LORENZO</t>
  </si>
  <si>
    <t>MATIAS</t>
  </si>
  <si>
    <t>SEVILLA</t>
  </si>
  <si>
    <t>RUPEREZ</t>
  </si>
  <si>
    <t>CONTADOR</t>
  </si>
  <si>
    <t>LUCENTE</t>
  </si>
  <si>
    <t>PEDRAZA</t>
  </si>
  <si>
    <t>LUNA</t>
  </si>
  <si>
    <t>ALTARES</t>
  </si>
  <si>
    <t>COSME</t>
  </si>
  <si>
    <t>PARDO</t>
  </si>
  <si>
    <t>LUMINOSO</t>
  </si>
  <si>
    <t>VENTAS</t>
  </si>
  <si>
    <t>LOGISTICA</t>
  </si>
  <si>
    <t>ADMINISTRACION</t>
  </si>
  <si>
    <t>DESCRIPCIÓN</t>
  </si>
  <si>
    <t>00010</t>
  </si>
  <si>
    <t>00020</t>
  </si>
  <si>
    <t>00030</t>
  </si>
  <si>
    <t>00040</t>
  </si>
  <si>
    <t>ADMINISTRATIVO PRIMERA</t>
  </si>
  <si>
    <t>JEFE ALMACEN</t>
  </si>
  <si>
    <t>SUPERVISOR VENTAS</t>
  </si>
  <si>
    <t>TECNICO VENTAS</t>
  </si>
  <si>
    <t>RETRIBUCION</t>
  </si>
  <si>
    <t>VARIABLE</t>
  </si>
  <si>
    <t>COBERTURA OBJETIVO</t>
  </si>
  <si>
    <t>COMIDAS</t>
  </si>
  <si>
    <t>FIESTAS</t>
  </si>
  <si>
    <t>APELLIDO1</t>
  </si>
  <si>
    <t>APELLIDO2</t>
  </si>
  <si>
    <t>EDAD</t>
  </si>
  <si>
    <t>MES ALTA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</si>
  <si>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</si>
  <si>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</si>
  <si>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</si>
  <si>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</si>
  <si>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</si>
  <si>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</si>
  <si>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</si>
  <si>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</si>
  <si>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</si>
  <si>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NUM</t>
  </si>
  <si>
    <t>MES</t>
  </si>
  <si>
    <t/>
  </si>
  <si>
    <t>VACACIONES</t>
  </si>
  <si>
    <t>PUENTES</t>
  </si>
  <si>
    <t>ASUNTOS PROPIOS</t>
  </si>
  <si>
    <t>MOSCOSOS</t>
  </si>
  <si>
    <t>DER</t>
  </si>
  <si>
    <t>REAL</t>
  </si>
  <si>
    <t>PEND</t>
  </si>
  <si>
    <t>V</t>
  </si>
  <si>
    <t>P</t>
  </si>
  <si>
    <t>M</t>
  </si>
  <si>
    <t>Etiquetas de fila</t>
  </si>
  <si>
    <t>Total general</t>
  </si>
  <si>
    <t>Etiquetas de columna</t>
  </si>
  <si>
    <t>Suma de IMPORTE</t>
  </si>
  <si>
    <t>DATOS</t>
  </si>
  <si>
    <t>FUNCIONES</t>
  </si>
  <si>
    <t>RESULTADO</t>
  </si>
  <si>
    <t>IZQUIERDA</t>
  </si>
  <si>
    <t>DERECHA</t>
  </si>
  <si>
    <t>PRUEBAS</t>
  </si>
  <si>
    <t>EXTRAE</t>
  </si>
  <si>
    <t>CONCATENAR</t>
  </si>
  <si>
    <t>LARGO</t>
  </si>
  <si>
    <t>MAYUSC</t>
  </si>
  <si>
    <t>MINUSC</t>
  </si>
  <si>
    <t>pruebas</t>
  </si>
  <si>
    <t>SI</t>
  </si>
  <si>
    <t>Y</t>
  </si>
  <si>
    <t>O</t>
  </si>
  <si>
    <t>SI.ERROR</t>
  </si>
  <si>
    <t>AHORA</t>
  </si>
  <si>
    <t>HOY</t>
  </si>
  <si>
    <t>DIA</t>
  </si>
  <si>
    <t>AÑO</t>
  </si>
  <si>
    <t>FECHA</t>
  </si>
  <si>
    <t>DIA.LAB</t>
  </si>
  <si>
    <t>DIA.LAB.INTL</t>
  </si>
  <si>
    <t>DIAS.LAB</t>
  </si>
  <si>
    <t>DIAS.LAB.INTL</t>
  </si>
  <si>
    <t>DIASEM</t>
  </si>
  <si>
    <t>ABS</t>
  </si>
  <si>
    <t>ALEATORIO</t>
  </si>
  <si>
    <t>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</si>
</sst>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3" borderId="0" xfId="0" applyFont="1" applyFill="1" applyAlignment="1">
      <alignment horizontal="center"/>
    </xf>
    <xf numFmtId="4" fontId="0" fillId="0" borderId="0" xfId="0" applyNumberFormat="1"/>
    <xf numFmtId="4" fontId="1" fillId="3" borderId="0" xfId="0" applyNumberFormat="1" applyFont="1" applyFill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" fontId="1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8" xfId="0" applyNumberFormat="1" applyBorder="1"/>
    <xf numFmtId="0" fontId="0" fillId="0" borderId="9" xfId="0" applyBorder="1"/>
    <xf numFmtId="0" fontId="0" fillId="0" borderId="0" xfId="0" applyBorder="1"/>
    <xf numFmtId="0" fontId="0" fillId="0" borderId="14" xfId="0" applyBorder="1"/>
    <xf numFmtId="9" fontId="1" fillId="2" borderId="1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" fillId="0" borderId="9" xfId="0" applyFont="1" applyBorder="1"/>
    <xf numFmtId="0" fontId="1" fillId="0" borderId="9" xfId="0" quotePrefix="1" applyFont="1" applyBorder="1" applyAlignment="1">
      <alignment horizontal="center"/>
    </xf>
    <xf numFmtId="4" fontId="1" fillId="0" borderId="9" xfId="0" applyNumberFormat="1" applyFont="1" applyBorder="1"/>
    <xf numFmtId="4" fontId="1" fillId="0" borderId="10" xfId="0" applyNumberFormat="1" applyFont="1" applyBorder="1"/>
    <xf numFmtId="0" fontId="0" fillId="0" borderId="1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Border="1"/>
    <xf numFmtId="0" fontId="1" fillId="0" borderId="0" xfId="0" quotePrefix="1" applyFont="1" applyBorder="1" applyAlignment="1">
      <alignment horizontal="center"/>
    </xf>
    <xf numFmtId="4" fontId="1" fillId="0" borderId="0" xfId="0" applyNumberFormat="1" applyFont="1" applyBorder="1"/>
    <xf numFmtId="4" fontId="1" fillId="0" borderId="12" xfId="0" applyNumberFormat="1" applyFont="1" applyBorder="1"/>
    <xf numFmtId="0" fontId="0" fillId="0" borderId="13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1" fillId="0" borderId="14" xfId="0" applyFont="1" applyBorder="1"/>
    <xf numFmtId="0" fontId="1" fillId="0" borderId="14" xfId="0" quotePrefix="1" applyFont="1" applyBorder="1" applyAlignment="1">
      <alignment horizontal="center"/>
    </xf>
    <xf numFmtId="4" fontId="1" fillId="0" borderId="14" xfId="0" applyNumberFormat="1" applyFont="1" applyBorder="1"/>
    <xf numFmtId="4" fontId="1" fillId="0" borderId="15" xfId="0" applyNumberFormat="1" applyFont="1" applyBorder="1"/>
    <xf numFmtId="2" fontId="1" fillId="2" borderId="3" xfId="0" applyNumberFormat="1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/>
    <xf numFmtId="2" fontId="0" fillId="0" borderId="13" xfId="0" applyNumberFormat="1" applyBorder="1"/>
    <xf numFmtId="9" fontId="0" fillId="4" borderId="6" xfId="0" applyNumberFormat="1" applyFill="1" applyBorder="1" applyAlignment="1" applyProtection="1">
      <alignment horizontal="center"/>
      <protection locked="0"/>
    </xf>
    <xf numFmtId="9" fontId="0" fillId="4" borderId="7" xfId="0" applyNumberFormat="1" applyFill="1" applyBorder="1" applyAlignment="1" applyProtection="1">
      <alignment horizontal="center"/>
      <protection locked="0"/>
    </xf>
    <xf numFmtId="2" fontId="0" fillId="6" borderId="5" xfId="0" applyNumberFormat="1" applyFill="1" applyBorder="1"/>
    <xf numFmtId="2" fontId="0" fillId="6" borderId="6" xfId="0" applyNumberFormat="1" applyFill="1" applyBorder="1"/>
    <xf numFmtId="2" fontId="0" fillId="6" borderId="7" xfId="0" applyNumberFormat="1" applyFill="1" applyBorder="1"/>
    <xf numFmtId="1" fontId="1" fillId="2" borderId="3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left" vertical="center"/>
    </xf>
    <xf numFmtId="1" fontId="0" fillId="0" borderId="14" xfId="0" applyNumberFormat="1" applyBorder="1" applyAlignment="1">
      <alignment horizontal="left" vertical="center"/>
    </xf>
    <xf numFmtId="1" fontId="0" fillId="0" borderId="9" xfId="0" applyNumberFormat="1" applyBorder="1" applyAlignment="1">
      <alignment horizontal="left" vertic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quotePrefix="1" applyFont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quotePrefix="1"/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EXCEL - FUNCIONES.xlsx]TABLA DINAMICA!Tabla 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 DINAMICA'!$A$5:$A$19</c:f>
              <c:multiLvlStrCache>
                <c:ptCount val="10"/>
                <c:lvl>
                  <c:pt idx="0">
                    <c:v>LOGISTICA</c:v>
                  </c:pt>
                  <c:pt idx="1">
                    <c:v>VENTAS</c:v>
                  </c:pt>
                  <c:pt idx="2">
                    <c:v>ADMINISTRACION</c:v>
                  </c:pt>
                  <c:pt idx="3">
                    <c:v>LOGISTICA</c:v>
                  </c:pt>
                  <c:pt idx="4">
                    <c:v>VENTAS</c:v>
                  </c:pt>
                  <c:pt idx="5">
                    <c:v>LOGISTICA</c:v>
                  </c:pt>
                  <c:pt idx="6">
                    <c:v>VENTAS</c:v>
                  </c:pt>
                  <c:pt idx="7">
                    <c:v>ADMINISTRACION</c:v>
                  </c:pt>
                  <c:pt idx="8">
                    <c:v>LOGISTICA</c:v>
                  </c:pt>
                  <c:pt idx="9">
                    <c:v>VENTAS</c:v>
                  </c:pt>
                </c:lvl>
                <c:lvl>
                  <c:pt idx="0">
                    <c:v>GUADALAJARA 1</c:v>
                  </c:pt>
                  <c:pt idx="2">
                    <c:v>MADRID CENTRAL</c:v>
                  </c:pt>
                  <c:pt idx="5">
                    <c:v>MADRID SUR</c:v>
                  </c:pt>
                  <c:pt idx="7">
                    <c:v>TOLEDO 1</c:v>
                  </c:pt>
                </c:lvl>
              </c:multiLvlStrCache>
            </c:multiLvlStrRef>
          </c:cat>
          <c:val>
            <c:numRef>
              <c:f>'TABLA DINAMICA'!$B$5:$B$19</c:f>
              <c:numCache>
                <c:formatCode>General</c:formatCode>
                <c:ptCount val="10"/>
                <c:pt idx="0">
                  <c:v>1150</c:v>
                </c:pt>
                <c:pt idx="1">
                  <c:v>2400</c:v>
                </c:pt>
                <c:pt idx="2">
                  <c:v>1150</c:v>
                </c:pt>
                <c:pt idx="4">
                  <c:v>4050</c:v>
                </c:pt>
                <c:pt idx="5">
                  <c:v>2600</c:v>
                </c:pt>
                <c:pt idx="6">
                  <c:v>2550</c:v>
                </c:pt>
                <c:pt idx="7">
                  <c:v>2300</c:v>
                </c:pt>
                <c:pt idx="8">
                  <c:v>2600</c:v>
                </c:pt>
                <c:pt idx="9">
                  <c:v>2400</c:v>
                </c:pt>
              </c:numCache>
            </c:numRef>
          </c:val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 DINAMICA'!$A$5:$A$19</c:f>
              <c:multiLvlStrCache>
                <c:ptCount val="10"/>
                <c:lvl>
                  <c:pt idx="0">
                    <c:v>LOGISTICA</c:v>
                  </c:pt>
                  <c:pt idx="1">
                    <c:v>VENTAS</c:v>
                  </c:pt>
                  <c:pt idx="2">
                    <c:v>ADMINISTRACION</c:v>
                  </c:pt>
                  <c:pt idx="3">
                    <c:v>LOGISTICA</c:v>
                  </c:pt>
                  <c:pt idx="4">
                    <c:v>VENTAS</c:v>
                  </c:pt>
                  <c:pt idx="5">
                    <c:v>LOGISTICA</c:v>
                  </c:pt>
                  <c:pt idx="6">
                    <c:v>VENTAS</c:v>
                  </c:pt>
                  <c:pt idx="7">
                    <c:v>ADMINISTRACION</c:v>
                  </c:pt>
                  <c:pt idx="8">
                    <c:v>LOGISTICA</c:v>
                  </c:pt>
                  <c:pt idx="9">
                    <c:v>VENTAS</c:v>
                  </c:pt>
                </c:lvl>
                <c:lvl>
                  <c:pt idx="0">
                    <c:v>GUADALAJARA 1</c:v>
                  </c:pt>
                  <c:pt idx="2">
                    <c:v>MADRID CENTRAL</c:v>
                  </c:pt>
                  <c:pt idx="5">
                    <c:v>MADRID SUR</c:v>
                  </c:pt>
                  <c:pt idx="7">
                    <c:v>TOLEDO 1</c:v>
                  </c:pt>
                </c:lvl>
              </c:multiLvlStrCache>
            </c:multiLvlStrRef>
          </c:cat>
          <c:val>
            <c:numRef>
              <c:f>'TABLA DINAMICA'!$C$5:$C$19</c:f>
              <c:numCache>
                <c:formatCode>General</c:formatCode>
                <c:ptCount val="10"/>
                <c:pt idx="0">
                  <c:v>2600</c:v>
                </c:pt>
                <c:pt idx="2">
                  <c:v>1150</c:v>
                </c:pt>
                <c:pt idx="3">
                  <c:v>2600</c:v>
                </c:pt>
                <c:pt idx="4">
                  <c:v>1350</c:v>
                </c:pt>
                <c:pt idx="5">
                  <c:v>6350</c:v>
                </c:pt>
                <c:pt idx="7">
                  <c:v>2300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3707552"/>
        <c:axId val="-1853709184"/>
      </c:barChart>
      <c:catAx>
        <c:axId val="-18537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53709184"/>
        <c:crosses val="autoZero"/>
        <c:auto val="1"/>
        <c:lblAlgn val="ctr"/>
        <c:lblOffset val="100"/>
        <c:noMultiLvlLbl val="0"/>
      </c:catAx>
      <c:valAx>
        <c:axId val="-1853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537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IMEDES" refreshedDate="43170.917550347222" createdVersion="5" refreshedVersion="5" minRefreshableVersion="3" recordCount="24">
  <cacheSource type="worksheet">
    <worksheetSource ref="A1:U25" sheet="DATOS"/>
  </cacheSource>
  <cacheFields count="21">
    <cacheField name="COD" numFmtId="0">
      <sharedItems containsSemiMixedTypes="0" containsString="0" containsNumber="1" containsInteger="1" minValue="10" maxValue="33"/>
    </cacheField>
    <cacheField name="NOMBRE" numFmtId="0">
      <sharedItems/>
    </cacheField>
    <cacheField name="APELLIDO1" numFmtId="0">
      <sharedItems/>
    </cacheField>
    <cacheField name="APELLIDO2" numFmtId="0">
      <sharedItems/>
    </cacheField>
    <cacheField name="FNACIMIENTO" numFmtId="14">
      <sharedItems containsSemiMixedTypes="0" containsNonDate="0" containsDate="1" containsString="0" minDate="1973-03-01T00:00:00" maxDate="1976-12-11T00:00:00"/>
    </cacheField>
    <cacheField name="EDAD" numFmtId="2">
      <sharedItems containsSemiMixedTypes="0" containsString="0" containsNumber="1" minValue="41.276712328767125" maxValue="45.057534246575344"/>
    </cacheField>
    <cacheField name="SEXO" numFmtId="0">
      <sharedItems count="2">
        <s v="HOMBRE"/>
        <s v="MUJER"/>
      </sharedItems>
    </cacheField>
    <cacheField name="ALTA" numFmtId="14">
      <sharedItems containsSemiMixedTypes="0" containsNonDate="0" containsDate="1" containsString="0" minDate="1999-03-18T00:00:00" maxDate="2008-01-13T00:00:00"/>
    </cacheField>
    <cacheField name="MES ALTA" numFmtId="1">
      <sharedItems/>
    </cacheField>
    <cacheField name="CENTRO" numFmtId="0">
      <sharedItems count="4">
        <s v="MADRID CENTRAL"/>
        <s v="TOLEDO 1"/>
        <s v="GUADALAJARA 1"/>
        <s v="MADRID SUR"/>
      </sharedItems>
    </cacheField>
    <cacheField name="CIUDAD" numFmtId="0">
      <sharedItems/>
    </cacheField>
    <cacheField name="AREA" numFmtId="0">
      <sharedItems count="3">
        <s v="VENTAS"/>
        <s v="ADMINISTRACION"/>
        <s v="LOGISTICA"/>
      </sharedItems>
    </cacheField>
    <cacheField name="CATEGORIA" numFmtId="0">
      <sharedItems/>
    </cacheField>
    <cacheField name="DESCRIPCION" numFmtId="0">
      <sharedItems/>
    </cacheField>
    <cacheField name="IMPORTE" numFmtId="4">
      <sharedItems containsSemiMixedTypes="0" containsString="0" containsNumber="1" containsInteger="1" minValue="1150" maxValue="2600"/>
    </cacheField>
    <cacheField name="VARIABLE" numFmtId="4">
      <sharedItems containsSemiMixedTypes="0" containsString="0" containsNumber="1" minValue="9.2000000000000011" maxValue="630"/>
    </cacheField>
    <cacheField name="COBERTURA OBJETIVO" numFmtId="9">
      <sharedItems containsSemiMixedTypes="0" containsString="0" containsNumber="1" minValue="0.4" maxValue="1.5"/>
    </cacheField>
    <cacheField name="ENERO" numFmtId="2">
      <sharedItems containsSemiMixedTypes="0" containsString="0" containsNumber="1" containsInteger="1" minValue="22" maxValue="22"/>
    </cacheField>
    <cacheField name="FEBRERO" numFmtId="2">
      <sharedItems containsSemiMixedTypes="0" containsString="0" containsNumber="1" containsInteger="1" minValue="20" maxValue="20"/>
    </cacheField>
    <cacheField name="MARZO" numFmtId="2">
      <sharedItems containsSemiMixedTypes="0" containsString="0" containsNumber="1" containsInteger="1" minValue="20" maxValue="20"/>
    </cacheField>
    <cacheField name="COMIDAS" numFmtId="2">
      <sharedItems containsSemiMixedTypes="0" containsString="0" containsNumber="1" containsInteger="1" minValue="62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0"/>
    <s v="PEDRO"/>
    <s v="GARCIA"/>
    <s v="PEREZ"/>
    <d v="1973-03-01T00:00:00"/>
    <n v="45.057534246575344"/>
    <x v="0"/>
    <d v="2008-01-12T00:00:00"/>
    <s v="ENERO"/>
    <x v="0"/>
    <s v="MADRID"/>
    <x v="0"/>
    <s v="00030"/>
    <s v="SUPERVISOR VENTAS"/>
    <n v="1350"/>
    <n v="189"/>
    <n v="0.7"/>
    <n v="22"/>
    <n v="20"/>
    <n v="20"/>
    <n v="62"/>
  </r>
  <r>
    <n v="11"/>
    <s v="LUIS"/>
    <s v="ANDRADE"/>
    <s v="LORENZO"/>
    <d v="1973-04-30T00:00:00"/>
    <n v="44.893150684931506"/>
    <x v="0"/>
    <d v="1999-03-18T00:00:00"/>
    <s v="MARZO"/>
    <x v="1"/>
    <s v="QUINTANAR"/>
    <x v="1"/>
    <s v="00010"/>
    <s v="ADMINISTRATIVO PRIMERA"/>
    <n v="1150"/>
    <n v="18.400000000000002"/>
    <n v="0.8"/>
    <n v="22"/>
    <n v="20"/>
    <n v="20"/>
    <n v="62"/>
  </r>
  <r>
    <n v="12"/>
    <s v="ANA ISABEL"/>
    <s v="ALVAREZ"/>
    <s v="MATIAS"/>
    <d v="1973-06-29T00:00:00"/>
    <n v="44.728767123287675"/>
    <x v="1"/>
    <d v="1999-05-22T00:00:00"/>
    <s v="MAYO"/>
    <x v="2"/>
    <s v="GUADALAJARA"/>
    <x v="2"/>
    <s v="00020"/>
    <s v="JEFE ALMACEN"/>
    <n v="2600"/>
    <n v="247"/>
    <n v="0.95"/>
    <n v="22"/>
    <n v="20"/>
    <n v="20"/>
    <n v="62"/>
  </r>
  <r>
    <n v="13"/>
    <s v="PETRONILA"/>
    <s v="LOPEZ"/>
    <s v="SEVILLA"/>
    <d v="1973-08-28T00:00:00"/>
    <n v="44.564383561643837"/>
    <x v="1"/>
    <d v="1999-07-26T00:00:00"/>
    <s v="JULIO"/>
    <x v="0"/>
    <s v="MADRID"/>
    <x v="1"/>
    <s v="00010"/>
    <s v="ADMINISTRATIVO PRIMERA"/>
    <n v="1150"/>
    <n v="21.849999999999998"/>
    <n v="0.95"/>
    <n v="22"/>
    <n v="20"/>
    <n v="20"/>
    <n v="62"/>
  </r>
  <r>
    <n v="14"/>
    <s v="LUZ"/>
    <s v="GRANDES"/>
    <s v="RUPEREZ"/>
    <d v="1973-10-27T00:00:00"/>
    <n v="44.4"/>
    <x v="1"/>
    <d v="1999-09-29T00:00:00"/>
    <s v="SEPTIEMBRE"/>
    <x v="3"/>
    <s v="LEGANES"/>
    <x v="2"/>
    <s v="00010"/>
    <s v="ADMINISTRATIVO PRIMERA"/>
    <n v="1150"/>
    <n v="20.7"/>
    <n v="0.9"/>
    <n v="22"/>
    <n v="20"/>
    <n v="20"/>
    <n v="62"/>
  </r>
  <r>
    <n v="15"/>
    <s v="AURORA"/>
    <s v="LINARES"/>
    <s v="LORENZO"/>
    <d v="1973-12-26T00:00:00"/>
    <n v="44.235616438356168"/>
    <x v="1"/>
    <d v="2001-01-12T00:00:00"/>
    <s v="ENERO"/>
    <x v="1"/>
    <s v="QUINTANAR"/>
    <x v="1"/>
    <s v="00010"/>
    <s v="ADMINISTRATIVO PRIMERA"/>
    <n v="1150"/>
    <n v="9.2000000000000011"/>
    <n v="0.4"/>
    <n v="22"/>
    <n v="20"/>
    <n v="20"/>
    <n v="62"/>
  </r>
  <r>
    <n v="16"/>
    <s v="ANDREA"/>
    <s v="POLANCO"/>
    <s v="MATIAS"/>
    <d v="1974-02-24T00:00:00"/>
    <n v="44.07123287671233"/>
    <x v="1"/>
    <d v="2001-02-23T00:00:00"/>
    <s v="FEBRERO"/>
    <x v="3"/>
    <s v="LEGANES"/>
    <x v="2"/>
    <s v="00020"/>
    <s v="JEFE ALMACEN"/>
    <n v="2600"/>
    <n v="156"/>
    <n v="0.6"/>
    <n v="22"/>
    <n v="20"/>
    <n v="20"/>
    <n v="62"/>
  </r>
  <r>
    <n v="17"/>
    <s v="MARTA"/>
    <s v="PEREZ"/>
    <s v="SEVILLA"/>
    <d v="1974-04-25T00:00:00"/>
    <n v="43.906849315068492"/>
    <x v="1"/>
    <d v="2001-04-06T00:00:00"/>
    <s v="ABRIL"/>
    <x v="0"/>
    <s v="MADRID"/>
    <x v="0"/>
    <s v="00030"/>
    <s v="SUPERVISOR VENTAS"/>
    <n v="1350"/>
    <n v="148.5"/>
    <n v="0.55000000000000004"/>
    <n v="22"/>
    <n v="20"/>
    <n v="20"/>
    <n v="62"/>
  </r>
  <r>
    <n v="18"/>
    <s v="CARLOS"/>
    <s v="LORENZO"/>
    <s v="RUPEREZ"/>
    <d v="1974-06-24T00:00:00"/>
    <n v="43.742465753424661"/>
    <x v="0"/>
    <d v="2001-05-18T00:00:00"/>
    <s v="MAYO"/>
    <x v="1"/>
    <s v="QUINTANAR"/>
    <x v="0"/>
    <s v="00040"/>
    <s v="TECNICO VENTAS"/>
    <n v="1200"/>
    <n v="205.79999999999998"/>
    <n v="0.49"/>
    <n v="22"/>
    <n v="20"/>
    <n v="20"/>
    <n v="62"/>
  </r>
  <r>
    <n v="19"/>
    <s v="ALBERTO"/>
    <s v="MATIAS"/>
    <s v="LUNA"/>
    <d v="1974-08-23T00:00:00"/>
    <n v="43.578082191780823"/>
    <x v="0"/>
    <d v="2001-06-29T00:00:00"/>
    <s v="JUNIO"/>
    <x v="2"/>
    <s v="GUADALAJARA"/>
    <x v="0"/>
    <s v="00040"/>
    <s v="TECNICO VENTAS"/>
    <n v="1200"/>
    <n v="420"/>
    <n v="1"/>
    <n v="22"/>
    <n v="20"/>
    <n v="20"/>
    <n v="62"/>
  </r>
  <r>
    <n v="20"/>
    <s v="TOMAS"/>
    <s v="SEVILLA"/>
    <s v="ALTARES"/>
    <d v="1974-10-22T00:00:00"/>
    <n v="43.413698630136984"/>
    <x v="0"/>
    <d v="2001-08-10T00:00:00"/>
    <s v="AGOSTO"/>
    <x v="0"/>
    <s v="MADRID"/>
    <x v="0"/>
    <s v="00030"/>
    <s v="SUPERVISOR VENTAS"/>
    <n v="1350"/>
    <n v="324"/>
    <n v="1.2"/>
    <n v="22"/>
    <n v="20"/>
    <n v="20"/>
    <n v="62"/>
  </r>
  <r>
    <n v="21"/>
    <s v="JACINTO"/>
    <s v="RUPEREZ"/>
    <s v="COSME"/>
    <d v="1974-12-21T00:00:00"/>
    <n v="43.249315068493154"/>
    <x v="0"/>
    <d v="2001-09-21T00:00:00"/>
    <s v="SEPTIEMBRE"/>
    <x v="3"/>
    <s v="LEGANES"/>
    <x v="0"/>
    <s v="00040"/>
    <s v="TECNICO VENTAS"/>
    <n v="1200"/>
    <n v="462.00000000000006"/>
    <n v="1.1000000000000001"/>
    <n v="22"/>
    <n v="20"/>
    <n v="20"/>
    <n v="62"/>
  </r>
  <r>
    <n v="22"/>
    <s v="GUSTAVO"/>
    <s v="CONTADOR"/>
    <s v="LUCENTE"/>
    <d v="1975-02-19T00:00:00"/>
    <n v="43.084931506849315"/>
    <x v="0"/>
    <d v="2001-11-02T00:00:00"/>
    <s v="NOVIEMBRE"/>
    <x v="1"/>
    <s v="QUINTANAR"/>
    <x v="2"/>
    <s v="00020"/>
    <s v="JEFE ALMACEN"/>
    <n v="2600"/>
    <n v="273"/>
    <n v="1.05"/>
    <n v="22"/>
    <n v="20"/>
    <n v="20"/>
    <n v="62"/>
  </r>
  <r>
    <n v="23"/>
    <s v="CLEMENTE"/>
    <s v="LUCENTE"/>
    <s v="PEDRAZA"/>
    <d v="1975-04-20T00:00:00"/>
    <n v="42.920547945205477"/>
    <x v="0"/>
    <d v="2001-12-14T00:00:00"/>
    <s v="DICIEMBRE"/>
    <x v="2"/>
    <s v="GUADALAJARA"/>
    <x v="0"/>
    <s v="00040"/>
    <s v="TECNICO VENTAS"/>
    <n v="1200"/>
    <n v="273"/>
    <n v="0.65"/>
    <n v="22"/>
    <n v="20"/>
    <n v="20"/>
    <n v="62"/>
  </r>
  <r>
    <n v="24"/>
    <s v="ALBA"/>
    <s v="PEDRAZA"/>
    <s v="PEREZ"/>
    <d v="1975-06-19T00:00:00"/>
    <n v="42.756164383561647"/>
    <x v="1"/>
    <d v="2002-01-25T00:00:00"/>
    <s v="ENERO"/>
    <x v="0"/>
    <s v="MADRID"/>
    <x v="2"/>
    <s v="00020"/>
    <s v="JEFE ALMACEN"/>
    <n v="2600"/>
    <n v="234"/>
    <n v="0.9"/>
    <n v="22"/>
    <n v="20"/>
    <n v="20"/>
    <n v="62"/>
  </r>
  <r>
    <n v="25"/>
    <s v="MARIA"/>
    <s v="GARCIA"/>
    <s v="LORENZO"/>
    <d v="1975-08-18T00:00:00"/>
    <n v="42.591780821917808"/>
    <x v="1"/>
    <d v="2002-03-08T00:00:00"/>
    <s v="MARZO"/>
    <x v="3"/>
    <s v="LEGANES"/>
    <x v="2"/>
    <s v="00020"/>
    <s v="JEFE ALMACEN"/>
    <n v="2600"/>
    <n v="234"/>
    <n v="0.9"/>
    <n v="22"/>
    <n v="20"/>
    <n v="20"/>
    <n v="62"/>
  </r>
  <r>
    <n v="26"/>
    <s v="ROSA"/>
    <s v="ANDRADE"/>
    <s v="MATIAS"/>
    <d v="1975-10-17T00:00:00"/>
    <n v="42.42739726027397"/>
    <x v="1"/>
    <d v="2002-04-19T00:00:00"/>
    <s v="ABRIL"/>
    <x v="1"/>
    <s v="QUINTANAR"/>
    <x v="1"/>
    <s v="00010"/>
    <s v="ADMINISTRATIVO PRIMERA"/>
    <n v="1150"/>
    <n v="23"/>
    <n v="1"/>
    <n v="22"/>
    <n v="20"/>
    <n v="20"/>
    <n v="62"/>
  </r>
  <r>
    <n v="27"/>
    <s v="ILDEFONSO"/>
    <s v="ALVAREZ"/>
    <s v="SEVILLA"/>
    <d v="1975-12-16T00:00:00"/>
    <n v="42.263013698630139"/>
    <x v="0"/>
    <d v="2002-05-31T00:00:00"/>
    <s v="MAYO"/>
    <x v="2"/>
    <s v="GUADALAJARA"/>
    <x v="2"/>
    <s v="00010"/>
    <s v="ADMINISTRATIVO PRIMERA"/>
    <n v="1150"/>
    <n v="23"/>
    <n v="1"/>
    <n v="22"/>
    <n v="20"/>
    <n v="20"/>
    <n v="62"/>
  </r>
  <r>
    <n v="28"/>
    <s v="MANUEL"/>
    <s v="LOPEZ"/>
    <s v="RUPEREZ"/>
    <d v="1976-02-14T00:00:00"/>
    <n v="42.098630136986301"/>
    <x v="0"/>
    <d v="2002-07-12T00:00:00"/>
    <s v="JULIO"/>
    <x v="0"/>
    <s v="MADRID"/>
    <x v="1"/>
    <s v="00010"/>
    <s v="ADMINISTRATIVO PRIMERA"/>
    <n v="1150"/>
    <n v="23"/>
    <n v="1"/>
    <n v="22"/>
    <n v="20"/>
    <n v="20"/>
    <n v="62"/>
  </r>
  <r>
    <n v="29"/>
    <s v="JOSE LUIS"/>
    <s v="LORENZO"/>
    <s v="PARDO"/>
    <d v="1976-04-14T00:00:00"/>
    <n v="41.934246575342463"/>
    <x v="0"/>
    <d v="2002-08-23T00:00:00"/>
    <s v="AGOSTO"/>
    <x v="3"/>
    <s v="LEGANES"/>
    <x v="0"/>
    <s v="00030"/>
    <s v="SUPERVISOR VENTAS"/>
    <n v="1350"/>
    <n v="162"/>
    <n v="0.6"/>
    <n v="22"/>
    <n v="20"/>
    <n v="20"/>
    <n v="62"/>
  </r>
  <r>
    <n v="30"/>
    <s v="VICTOR"/>
    <s v="MATIAS"/>
    <s v="LUMINOSO"/>
    <d v="1976-06-13T00:00:00"/>
    <n v="41.769863013698632"/>
    <x v="0"/>
    <d v="2002-11-21T00:00:00"/>
    <s v="NOVIEMBRE"/>
    <x v="1"/>
    <s v="QUINTANAR"/>
    <x v="1"/>
    <s v="00010"/>
    <s v="ADMINISTRATIVO PRIMERA"/>
    <n v="1150"/>
    <n v="20.7"/>
    <n v="0.9"/>
    <n v="22"/>
    <n v="20"/>
    <n v="20"/>
    <n v="62"/>
  </r>
  <r>
    <n v="31"/>
    <s v="SERGIO"/>
    <s v="SEVILLA"/>
    <s v="CONTADOR"/>
    <d v="1976-08-12T00:00:00"/>
    <n v="41.605479452054794"/>
    <x v="0"/>
    <d v="2003-02-19T00:00:00"/>
    <s v="FEBRERO"/>
    <x v="0"/>
    <s v="MADRID"/>
    <x v="0"/>
    <s v="00030"/>
    <s v="SUPERVISOR VENTAS"/>
    <n v="1350"/>
    <n v="256.5"/>
    <n v="0.95"/>
    <n v="22"/>
    <n v="20"/>
    <n v="20"/>
    <n v="62"/>
  </r>
  <r>
    <n v="32"/>
    <s v="ANGEL"/>
    <s v="RUPEREZ"/>
    <s v="LUCENTE"/>
    <d v="1976-10-11T00:00:00"/>
    <n v="41.441095890410956"/>
    <x v="0"/>
    <d v="2003-05-20T00:00:00"/>
    <s v="MAYO"/>
    <x v="3"/>
    <s v="LEGANES"/>
    <x v="2"/>
    <s v="00020"/>
    <s v="JEFE ALMACEN"/>
    <n v="2600"/>
    <n v="260"/>
    <n v="1"/>
    <n v="22"/>
    <n v="20"/>
    <n v="20"/>
    <n v="62"/>
  </r>
  <r>
    <n v="33"/>
    <s v="DAVID"/>
    <s v="CONTADOR"/>
    <s v="PEDRAZA"/>
    <d v="1976-12-10T00:00:00"/>
    <n v="41.276712328767125"/>
    <x v="0"/>
    <d v="2003-08-18T00:00:00"/>
    <s v="AGOSTO"/>
    <x v="1"/>
    <s v="QUINTANAR"/>
    <x v="0"/>
    <s v="00040"/>
    <s v="TECNICO VENTAS"/>
    <n v="1200"/>
    <n v="630"/>
    <n v="1.5"/>
    <n v="22"/>
    <n v="20"/>
    <n v="20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D19" firstHeaderRow="1" firstDataRow="2" firstDataCol="1"/>
  <pivotFields count="21">
    <pivotField showAll="0"/>
    <pivotField showAll="0"/>
    <pivotField showAll="0"/>
    <pivotField showAll="0"/>
    <pivotField numFmtId="14" showAll="0"/>
    <pivotField numFmtId="2" showAll="0"/>
    <pivotField axis="axisCol" showAll="0">
      <items count="3">
        <item x="0"/>
        <item x="1"/>
        <item t="default"/>
      </items>
    </pivotField>
    <pivotField numFmtId="14"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numFmtId="4" showAll="0"/>
    <pivotField numFmtId="4" showAll="0"/>
    <pivotField numFmtId="9" showAll="0"/>
    <pivotField numFmtId="2" showAll="0"/>
    <pivotField numFmtId="2" showAll="0"/>
    <pivotField numFmtId="2" showAll="0"/>
    <pivotField numFmtId="2" showAll="0"/>
  </pivotFields>
  <rowFields count="2">
    <field x="9"/>
    <field x="11"/>
  </rowFields>
  <rowItems count="15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a de IMPORTE" fld="14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B10" sqref="B10"/>
    </sheetView>
  </sheetViews>
  <sheetFormatPr baseColWidth="10" defaultRowHeight="14.4" x14ac:dyDescent="0.3"/>
  <cols>
    <col min="1" max="1" width="20" bestFit="1" customWidth="1"/>
    <col min="2" max="4" width="25.44140625" customWidth="1"/>
    <col min="5" max="5" width="16.77734375" bestFit="1" customWidth="1"/>
    <col min="6" max="6" width="22.5546875" bestFit="1" customWidth="1"/>
    <col min="7" max="7" width="21.5546875" bestFit="1" customWidth="1"/>
  </cols>
  <sheetData>
    <row r="3" spans="1:4" x14ac:dyDescent="0.3">
      <c r="A3" s="75" t="s">
        <v>116</v>
      </c>
      <c r="B3" s="75" t="s">
        <v>115</v>
      </c>
    </row>
    <row r="4" spans="1:4" x14ac:dyDescent="0.3">
      <c r="A4" s="75" t="s">
        <v>113</v>
      </c>
      <c r="B4" t="s">
        <v>47</v>
      </c>
      <c r="C4" t="s">
        <v>48</v>
      </c>
      <c r="D4" t="s">
        <v>114</v>
      </c>
    </row>
    <row r="5" spans="1:4" x14ac:dyDescent="0.3">
      <c r="A5" s="76" t="s">
        <v>17</v>
      </c>
      <c r="B5" s="78">
        <v>3550</v>
      </c>
      <c r="C5" s="78">
        <v>2600</v>
      </c>
      <c r="D5" s="78">
        <v>6150</v>
      </c>
    </row>
    <row r="6" spans="1:4" x14ac:dyDescent="0.3">
      <c r="A6" s="77" t="s">
        <v>71</v>
      </c>
      <c r="B6" s="78">
        <v>1150</v>
      </c>
      <c r="C6" s="78">
        <v>2600</v>
      </c>
      <c r="D6" s="78">
        <v>3750</v>
      </c>
    </row>
    <row r="7" spans="1:4" x14ac:dyDescent="0.3">
      <c r="A7" s="77" t="s">
        <v>70</v>
      </c>
      <c r="B7" s="78">
        <v>2400</v>
      </c>
      <c r="C7" s="78"/>
      <c r="D7" s="78">
        <v>2400</v>
      </c>
    </row>
    <row r="8" spans="1:4" x14ac:dyDescent="0.3">
      <c r="A8" s="76" t="s">
        <v>14</v>
      </c>
      <c r="B8" s="78">
        <v>5200</v>
      </c>
      <c r="C8" s="78">
        <v>5100</v>
      </c>
      <c r="D8" s="78">
        <v>10300</v>
      </c>
    </row>
    <row r="9" spans="1:4" x14ac:dyDescent="0.3">
      <c r="A9" s="77" t="s">
        <v>72</v>
      </c>
      <c r="B9" s="78">
        <v>1150</v>
      </c>
      <c r="C9" s="78">
        <v>1150</v>
      </c>
      <c r="D9" s="78">
        <v>2300</v>
      </c>
    </row>
    <row r="10" spans="1:4" x14ac:dyDescent="0.3">
      <c r="A10" s="77" t="s">
        <v>71</v>
      </c>
      <c r="B10" s="78"/>
      <c r="C10" s="78">
        <v>2600</v>
      </c>
      <c r="D10" s="78">
        <v>2600</v>
      </c>
    </row>
    <row r="11" spans="1:4" x14ac:dyDescent="0.3">
      <c r="A11" s="77" t="s">
        <v>70</v>
      </c>
      <c r="B11" s="78">
        <v>4050</v>
      </c>
      <c r="C11" s="78">
        <v>1350</v>
      </c>
      <c r="D11" s="78">
        <v>5400</v>
      </c>
    </row>
    <row r="12" spans="1:4" x14ac:dyDescent="0.3">
      <c r="A12" s="76" t="s">
        <v>15</v>
      </c>
      <c r="B12" s="78">
        <v>5150</v>
      </c>
      <c r="C12" s="78">
        <v>6350</v>
      </c>
      <c r="D12" s="78">
        <v>11500</v>
      </c>
    </row>
    <row r="13" spans="1:4" x14ac:dyDescent="0.3">
      <c r="A13" s="77" t="s">
        <v>71</v>
      </c>
      <c r="B13" s="78">
        <v>2600</v>
      </c>
      <c r="C13" s="78">
        <v>6350</v>
      </c>
      <c r="D13" s="78">
        <v>8950</v>
      </c>
    </row>
    <row r="14" spans="1:4" x14ac:dyDescent="0.3">
      <c r="A14" s="77" t="s">
        <v>70</v>
      </c>
      <c r="B14" s="78">
        <v>2550</v>
      </c>
      <c r="C14" s="78"/>
      <c r="D14" s="78">
        <v>2550</v>
      </c>
    </row>
    <row r="15" spans="1:4" x14ac:dyDescent="0.3">
      <c r="A15" s="76" t="s">
        <v>16</v>
      </c>
      <c r="B15" s="78">
        <v>7300</v>
      </c>
      <c r="C15" s="78">
        <v>2300</v>
      </c>
      <c r="D15" s="78">
        <v>9600</v>
      </c>
    </row>
    <row r="16" spans="1:4" x14ac:dyDescent="0.3">
      <c r="A16" s="77" t="s">
        <v>72</v>
      </c>
      <c r="B16" s="78">
        <v>2300</v>
      </c>
      <c r="C16" s="78">
        <v>2300</v>
      </c>
      <c r="D16" s="78">
        <v>4600</v>
      </c>
    </row>
    <row r="17" spans="1:4" x14ac:dyDescent="0.3">
      <c r="A17" s="77" t="s">
        <v>71</v>
      </c>
      <c r="B17" s="78">
        <v>2600</v>
      </c>
      <c r="C17" s="78"/>
      <c r="D17" s="78">
        <v>2600</v>
      </c>
    </row>
    <row r="18" spans="1:4" x14ac:dyDescent="0.3">
      <c r="A18" s="77" t="s">
        <v>70</v>
      </c>
      <c r="B18" s="78">
        <v>2400</v>
      </c>
      <c r="C18" s="78"/>
      <c r="D18" s="78">
        <v>2400</v>
      </c>
    </row>
    <row r="19" spans="1:4" x14ac:dyDescent="0.3">
      <c r="A19" s="76" t="s">
        <v>114</v>
      </c>
      <c r="B19" s="78">
        <v>21200</v>
      </c>
      <c r="C19" s="78">
        <v>16350</v>
      </c>
      <c r="D19" s="78">
        <v>37550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Normal="100" workbookViewId="0">
      <selection activeCell="F5" sqref="F5"/>
    </sheetView>
  </sheetViews>
  <sheetFormatPr baseColWidth="10" defaultRowHeight="14.4" x14ac:dyDescent="0.3"/>
  <cols>
    <col min="1" max="1" width="8.44140625" style="4" customWidth="1"/>
    <col min="2" max="2" width="11.33203125" bestFit="1" customWidth="1"/>
    <col min="3" max="3" width="11.109375" bestFit="1" customWidth="1"/>
    <col min="4" max="4" width="13.6640625" bestFit="1" customWidth="1"/>
    <col min="5" max="5" width="13.6640625" style="4" customWidth="1"/>
    <col min="6" max="6" width="13.6640625" style="50" customWidth="1"/>
    <col min="7" max="7" width="11.44140625" customWidth="1"/>
    <col min="8" max="8" width="12.88671875" style="4" customWidth="1"/>
    <col min="9" max="9" width="12.88671875" style="59" customWidth="1"/>
    <col min="10" max="10" width="20.44140625" customWidth="1"/>
    <col min="11" max="11" width="16.88671875" style="3" customWidth="1"/>
    <col min="12" max="12" width="19.6640625" customWidth="1"/>
    <col min="13" max="13" width="11.33203125" style="3" bestFit="1" customWidth="1"/>
    <col min="14" max="14" width="27.109375" style="3" customWidth="1"/>
    <col min="15" max="15" width="11.33203125" style="12" customWidth="1"/>
    <col min="16" max="16" width="13.33203125" style="12" customWidth="1"/>
    <col min="17" max="17" width="13.109375" style="10" customWidth="1"/>
    <col min="18" max="20" width="11.88671875" customWidth="1"/>
  </cols>
  <sheetData>
    <row r="1" spans="1:21" s="11" customFormat="1" ht="28.8" x14ac:dyDescent="0.3">
      <c r="A1" s="13" t="s">
        <v>0</v>
      </c>
      <c r="B1" s="14" t="s">
        <v>1</v>
      </c>
      <c r="C1" s="14" t="s">
        <v>87</v>
      </c>
      <c r="D1" s="14" t="s">
        <v>88</v>
      </c>
      <c r="E1" s="14" t="s">
        <v>2</v>
      </c>
      <c r="F1" s="46" t="s">
        <v>89</v>
      </c>
      <c r="G1" s="14" t="s">
        <v>46</v>
      </c>
      <c r="H1" s="14" t="s">
        <v>3</v>
      </c>
      <c r="I1" s="58" t="s">
        <v>90</v>
      </c>
      <c r="J1" s="14" t="s">
        <v>7</v>
      </c>
      <c r="K1" s="14" t="s">
        <v>8</v>
      </c>
      <c r="L1" s="14" t="s">
        <v>9</v>
      </c>
      <c r="M1" s="14" t="s">
        <v>4</v>
      </c>
      <c r="N1" s="14" t="s">
        <v>5</v>
      </c>
      <c r="O1" s="26" t="s">
        <v>6</v>
      </c>
      <c r="P1" s="27" t="s">
        <v>83</v>
      </c>
      <c r="Q1" s="25" t="s">
        <v>84</v>
      </c>
      <c r="R1" s="13" t="s">
        <v>10</v>
      </c>
      <c r="S1" s="14" t="s">
        <v>11</v>
      </c>
      <c r="T1" s="15" t="s">
        <v>12</v>
      </c>
      <c r="U1" s="20" t="s">
        <v>85</v>
      </c>
    </row>
    <row r="2" spans="1:21" x14ac:dyDescent="0.3">
      <c r="A2" s="28">
        <v>10</v>
      </c>
      <c r="B2" s="22" t="s">
        <v>23</v>
      </c>
      <c r="C2" s="22" t="s">
        <v>50</v>
      </c>
      <c r="D2" s="22" t="s">
        <v>57</v>
      </c>
      <c r="E2" s="29">
        <v>26724</v>
      </c>
      <c r="F2" s="47">
        <f ca="1">(TODAY()-E2)/365</f>
        <v>45.057534246575344</v>
      </c>
      <c r="G2" s="22" t="s">
        <v>47</v>
      </c>
      <c r="H2" s="29">
        <v>39459</v>
      </c>
      <c r="I2" s="62" t="str">
        <f>VLOOKUP(MONTH(H2),LISTADOS!$K$2:$L$13,2,FALSE)</f>
        <v>ENERO</v>
      </c>
      <c r="J2" s="22" t="s">
        <v>14</v>
      </c>
      <c r="K2" s="30" t="str">
        <f>IFERROR(VLOOKUP(J2,LISTADOS!$A$2:$B$5,2,FALSE),"")</f>
        <v>MADRID</v>
      </c>
      <c r="L2" s="22" t="s">
        <v>70</v>
      </c>
      <c r="M2" s="31" t="s">
        <v>76</v>
      </c>
      <c r="N2" s="30" t="str">
        <f>IFERROR(VLOOKUP(M2,LISTADOS!$D$2:$E$5,2,FALSE),"")</f>
        <v>SUPERVISOR VENTAS</v>
      </c>
      <c r="O2" s="32">
        <f>VLOOKUP(M2,LISTADOS!$D$2:$F$5,3,FALSE)</f>
        <v>1350</v>
      </c>
      <c r="P2" s="33">
        <f>(VLOOKUP(M2,LISTADOS!$D$2:$G$5,4,FALSE)*O2)*Q2</f>
        <v>189</v>
      </c>
      <c r="Q2" s="53">
        <v>0.7</v>
      </c>
      <c r="R2" s="21">
        <f>IFERROR(NETWORKDAYS.INTL(IF(H2&lt;=DATE(2018,1,1),DATE(2018,1,1),IF(H2&gt;LISTADOS!K4ECHA(2018,1,31),"",H2)),DATE(2018,1,31),1,LISTADOS!$I$2:$I$15),"")</f>
        <v>22</v>
      </c>
      <c r="S2" s="21">
        <f>IFERROR(NETWORKDAYS.INTL(IF(H2&lt;=DATE(2018,2,1),DATE(2018,2,1),IF(J2&gt;LISTADOS!K4ECHA(2018,2,28),"",J2)),DATE(2018,2,28),1,LISTADOS!$I$2:$I$15),"")</f>
        <v>20</v>
      </c>
      <c r="T2" s="21">
        <f>IFERROR(NETWORKDAYS.INTL(IF(H2&lt;=DATE(2018,3,1),DATE(2018,3,1),IF(K2&gt;LISTADOS!K4ECHA(2018,3,31),"",H2)),DATE(2018,3,31),1,LISTADOS!$I$2:$I$15),"")</f>
        <v>20</v>
      </c>
      <c r="U2" s="55">
        <f>SUM(R2:T2)</f>
        <v>62</v>
      </c>
    </row>
    <row r="3" spans="1:21" x14ac:dyDescent="0.3">
      <c r="A3" s="34">
        <f>A2+1</f>
        <v>11</v>
      </c>
      <c r="B3" s="23" t="s">
        <v>24</v>
      </c>
      <c r="C3" s="23" t="s">
        <v>51</v>
      </c>
      <c r="D3" s="23" t="s">
        <v>58</v>
      </c>
      <c r="E3" s="35">
        <v>26784</v>
      </c>
      <c r="F3" s="48">
        <f t="shared" ref="F3:F25" ca="1" si="0">(TODAY()-E3)/365</f>
        <v>44.893150684931506</v>
      </c>
      <c r="G3" s="23" t="s">
        <v>47</v>
      </c>
      <c r="H3" s="35">
        <v>36237</v>
      </c>
      <c r="I3" s="60" t="str">
        <f>VLOOKUP(MONTH(H3),LISTADOS!$K$2:$L$13,2,FALSE)</f>
        <v>MARZO</v>
      </c>
      <c r="J3" s="23" t="s">
        <v>16</v>
      </c>
      <c r="K3" s="36" t="str">
        <f>IFERROR(VLOOKUP(J3,LISTADOS!$A$2:$B$5,2,FALSE),"")</f>
        <v>QUINTANAR</v>
      </c>
      <c r="L3" s="23" t="s">
        <v>72</v>
      </c>
      <c r="M3" s="37" t="s">
        <v>74</v>
      </c>
      <c r="N3" s="36" t="str">
        <f>IFERROR(VLOOKUP(M3,LISTADOS!$D$2:$E$5,2,FALSE),"")</f>
        <v>ADMINISTRATIVO PRIMERA</v>
      </c>
      <c r="O3" s="38">
        <f>VLOOKUP(M3,LISTADOS!$D$2:$F$5,3,FALSE)</f>
        <v>1150</v>
      </c>
      <c r="P3" s="39">
        <f>(VLOOKUP(M3,LISTADOS!$D$2:$G$5,4,FALSE)*O3)*Q3</f>
        <v>18.400000000000002</v>
      </c>
      <c r="Q3" s="53">
        <v>0.8</v>
      </c>
      <c r="R3" s="51">
        <f>IFERROR(NETWORKDAYS.INTL(IF(H3&lt;=DATE(2018,1,1),DATE(2018,1,1),IF(H3&gt;DATE(2018,1,31),"",H3)),DATE(2018,1,31),1,LISTADOS!$I$2:$I$15),"")</f>
        <v>22</v>
      </c>
      <c r="S3" s="51">
        <f>IFERROR(NETWORKDAYS.INTL(IF(H3&lt;=DATE(2018,2,1),DATE(2018,2,1),IF(J3&gt;LISTADOS!K4ECHA(2018,2,28),"",J3)),DATE(2018,2,28),1,LISTADOS!$I$2:$I$15),"")</f>
        <v>20</v>
      </c>
      <c r="T3" s="51">
        <f>IFERROR(NETWORKDAYS.INTL(IF(H3&lt;=DATE(2018,3,1),DATE(2018,3,1),IF(K3&gt;LISTADOS!K4ECHA(2018,3,31),"",H3)),DATE(2018,3,31),1,LISTADOS!$I$2:$I$15),"")</f>
        <v>20</v>
      </c>
      <c r="U3" s="56">
        <f t="shared" ref="U3:U25" si="1">SUM(R3:T3)</f>
        <v>62</v>
      </c>
    </row>
    <row r="4" spans="1:21" x14ac:dyDescent="0.3">
      <c r="A4" s="34">
        <f t="shared" ref="A4:A25" si="2">A3+1</f>
        <v>12</v>
      </c>
      <c r="B4" s="23" t="s">
        <v>25</v>
      </c>
      <c r="C4" s="23" t="s">
        <v>52</v>
      </c>
      <c r="D4" s="23" t="s">
        <v>59</v>
      </c>
      <c r="E4" s="35">
        <v>26844</v>
      </c>
      <c r="F4" s="48">
        <f t="shared" ca="1" si="0"/>
        <v>44.728767123287675</v>
      </c>
      <c r="G4" s="23" t="s">
        <v>48</v>
      </c>
      <c r="H4" s="35">
        <v>36302</v>
      </c>
      <c r="I4" s="60" t="str">
        <f>VLOOKUP(MONTH(H4),LISTADOS!$K$2:$L$13,2,FALSE)</f>
        <v>MAYO</v>
      </c>
      <c r="J4" s="23" t="s">
        <v>17</v>
      </c>
      <c r="K4" s="36" t="str">
        <f>IFERROR(VLOOKUP(J4,LISTADOS!$A$2:$B$5,2,FALSE),"")</f>
        <v>GUADALAJARA</v>
      </c>
      <c r="L4" s="23" t="s">
        <v>71</v>
      </c>
      <c r="M4" s="37" t="s">
        <v>75</v>
      </c>
      <c r="N4" s="36" t="str">
        <f>IFERROR(VLOOKUP(M4,LISTADOS!$D$2:$E$5,2,FALSE),"")</f>
        <v>JEFE ALMACEN</v>
      </c>
      <c r="O4" s="38">
        <f>VLOOKUP(M4,LISTADOS!$D$2:$F$5,3,FALSE)</f>
        <v>2600</v>
      </c>
      <c r="P4" s="39">
        <f>(VLOOKUP(M4,LISTADOS!$D$2:$G$5,4,FALSE)*O4)*Q4</f>
        <v>247</v>
      </c>
      <c r="Q4" s="53">
        <v>0.95</v>
      </c>
      <c r="R4" s="51">
        <f>IFERROR(NETWORKDAYS.INTL(IF(H4&lt;=DATE(2018,1,1),DATE(2018,1,1),IF(H4&gt;DATE(2018,1,31),"",H4)),DATE(2018,1,31),1,LISTADOS!$I$2:$I$15),"")</f>
        <v>22</v>
      </c>
      <c r="S4" s="51">
        <f>IFERROR(NETWORKDAYS.INTL(IF(H4&lt;=DATE(2018,2,1),DATE(2018,2,1),IF(J4&gt;LISTADOS!K4ECHA(2018,2,28),"",J4)),DATE(2018,2,28),1,LISTADOS!$I$2:$I$15),"")</f>
        <v>20</v>
      </c>
      <c r="T4" s="51">
        <f>IFERROR(NETWORKDAYS.INTL(IF(H4&lt;=DATE(2018,3,1),DATE(2018,3,1),IF(K4&gt;LISTADOS!K4ECHA(2018,3,31),"",H4)),DATE(2018,3,31),1,LISTADOS!$I$2:$I$15),"")</f>
        <v>20</v>
      </c>
      <c r="U4" s="56">
        <f t="shared" si="1"/>
        <v>62</v>
      </c>
    </row>
    <row r="5" spans="1:21" x14ac:dyDescent="0.3">
      <c r="A5" s="34">
        <f t="shared" si="2"/>
        <v>13</v>
      </c>
      <c r="B5" s="23" t="s">
        <v>26</v>
      </c>
      <c r="C5" s="23" t="s">
        <v>53</v>
      </c>
      <c r="D5" s="23" t="s">
        <v>60</v>
      </c>
      <c r="E5" s="35">
        <v>26904</v>
      </c>
      <c r="F5" s="48">
        <f t="shared" ca="1" si="0"/>
        <v>44.564383561643837</v>
      </c>
      <c r="G5" s="23" t="s">
        <v>48</v>
      </c>
      <c r="H5" s="35">
        <v>36367</v>
      </c>
      <c r="I5" s="60" t="str">
        <f>VLOOKUP(MONTH(H5),LISTADOS!$K$2:$L$13,2,FALSE)</f>
        <v>JULIO</v>
      </c>
      <c r="J5" s="23" t="s">
        <v>14</v>
      </c>
      <c r="K5" s="36" t="str">
        <f>IFERROR(VLOOKUP(J5,LISTADOS!$A$2:$B$5,2,FALSE),"")</f>
        <v>MADRID</v>
      </c>
      <c r="L5" s="23" t="s">
        <v>72</v>
      </c>
      <c r="M5" s="37" t="s">
        <v>74</v>
      </c>
      <c r="N5" s="36" t="str">
        <f>IFERROR(VLOOKUP(M5,LISTADOS!$D$2:$E$5,2,FALSE),"")</f>
        <v>ADMINISTRATIVO PRIMERA</v>
      </c>
      <c r="O5" s="38">
        <f>VLOOKUP(M5,LISTADOS!$D$2:$F$5,3,FALSE)</f>
        <v>1150</v>
      </c>
      <c r="P5" s="39">
        <f>(VLOOKUP(M5,LISTADOS!$D$2:$G$5,4,FALSE)*O5)*Q5</f>
        <v>21.849999999999998</v>
      </c>
      <c r="Q5" s="53">
        <v>0.95</v>
      </c>
      <c r="R5" s="51">
        <f>IFERROR(NETWORKDAYS.INTL(IF(H5&lt;=DATE(2018,1,1),DATE(2018,1,1),IF(H5&gt;DATE(2018,1,31),"",H5)),DATE(2018,1,31),1,LISTADOS!$I$2:$I$15),"")</f>
        <v>22</v>
      </c>
      <c r="S5" s="51">
        <f>IFERROR(NETWORKDAYS.INTL(IF(H5&lt;=DATE(2018,2,1),DATE(2018,2,1),IF(J5&gt;LISTADOS!K4ECHA(2018,2,28),"",J5)),DATE(2018,2,28),1,LISTADOS!$I$2:$I$15),"")</f>
        <v>20</v>
      </c>
      <c r="T5" s="51">
        <f>IFERROR(NETWORKDAYS.INTL(IF(H5&lt;=DATE(2018,3,1),DATE(2018,3,1),IF(K5&gt;LISTADOS!K4ECHA(2018,3,31),"",H5)),DATE(2018,3,31),1,LISTADOS!$I$2:$I$15),"")</f>
        <v>20</v>
      </c>
      <c r="U5" s="56">
        <f t="shared" si="1"/>
        <v>62</v>
      </c>
    </row>
    <row r="6" spans="1:21" x14ac:dyDescent="0.3">
      <c r="A6" s="34">
        <f t="shared" si="2"/>
        <v>14</v>
      </c>
      <c r="B6" s="23" t="s">
        <v>27</v>
      </c>
      <c r="C6" s="23" t="s">
        <v>54</v>
      </c>
      <c r="D6" s="23" t="s">
        <v>61</v>
      </c>
      <c r="E6" s="35">
        <v>26964</v>
      </c>
      <c r="F6" s="48">
        <f t="shared" ca="1" si="0"/>
        <v>44.4</v>
      </c>
      <c r="G6" s="23" t="s">
        <v>48</v>
      </c>
      <c r="H6" s="35">
        <v>36432</v>
      </c>
      <c r="I6" s="60" t="str">
        <f>VLOOKUP(MONTH(H6),LISTADOS!$K$2:$L$13,2,FALSE)</f>
        <v>SEPTIEMBRE</v>
      </c>
      <c r="J6" s="23" t="s">
        <v>15</v>
      </c>
      <c r="K6" s="36" t="str">
        <f>IFERROR(VLOOKUP(J6,LISTADOS!$A$2:$B$5,2,FALSE),"")</f>
        <v>LEGANES</v>
      </c>
      <c r="L6" s="23" t="s">
        <v>71</v>
      </c>
      <c r="M6" s="37" t="s">
        <v>74</v>
      </c>
      <c r="N6" s="36" t="str">
        <f>IFERROR(VLOOKUP(M6,LISTADOS!$D$2:$E$5,2,FALSE),"")</f>
        <v>ADMINISTRATIVO PRIMERA</v>
      </c>
      <c r="O6" s="38">
        <f>VLOOKUP(M6,LISTADOS!$D$2:$F$5,3,FALSE)</f>
        <v>1150</v>
      </c>
      <c r="P6" s="39">
        <f>(VLOOKUP(M6,LISTADOS!$D$2:$G$5,4,FALSE)*O6)*Q6</f>
        <v>20.7</v>
      </c>
      <c r="Q6" s="53">
        <v>0.9</v>
      </c>
      <c r="R6" s="51">
        <f>IFERROR(NETWORKDAYS.INTL(IF(H6&lt;=DATE(2018,1,1),DATE(2018,1,1),IF(H6&gt;DATE(2018,1,31),"",H6)),DATE(2018,1,31),1,LISTADOS!$I$2:$I$15),"")</f>
        <v>22</v>
      </c>
      <c r="S6" s="51">
        <f>IFERROR(NETWORKDAYS.INTL(IF(H6&lt;=DATE(2018,2,1),DATE(2018,2,1),IF(J6&gt;LISTADOS!K4ECHA(2018,2,28),"",J6)),DATE(2018,2,28),1,LISTADOS!$I$2:$I$15),"")</f>
        <v>20</v>
      </c>
      <c r="T6" s="51">
        <f>IFERROR(NETWORKDAYS.INTL(IF(H6&lt;=DATE(2018,3,1),DATE(2018,3,1),IF(K6&gt;LISTADOS!K4ECHA(2018,3,31),"",H6)),DATE(2018,3,31),1,LISTADOS!$I$2:$I$15),"")</f>
        <v>20</v>
      </c>
      <c r="U6" s="56">
        <f t="shared" si="1"/>
        <v>62</v>
      </c>
    </row>
    <row r="7" spans="1:21" x14ac:dyDescent="0.3">
      <c r="A7" s="34">
        <f t="shared" si="2"/>
        <v>15</v>
      </c>
      <c r="B7" s="23" t="s">
        <v>28</v>
      </c>
      <c r="C7" s="23" t="s">
        <v>55</v>
      </c>
      <c r="D7" s="23" t="s">
        <v>58</v>
      </c>
      <c r="E7" s="35">
        <v>27024</v>
      </c>
      <c r="F7" s="48">
        <f t="shared" ca="1" si="0"/>
        <v>44.235616438356168</v>
      </c>
      <c r="G7" s="23" t="s">
        <v>48</v>
      </c>
      <c r="H7" s="35">
        <v>36903</v>
      </c>
      <c r="I7" s="60" t="str">
        <f>VLOOKUP(MONTH(H7),LISTADOS!$K$2:$L$13,2,FALSE)</f>
        <v>ENERO</v>
      </c>
      <c r="J7" s="23" t="s">
        <v>16</v>
      </c>
      <c r="K7" s="36" t="str">
        <f>IFERROR(VLOOKUP(J7,LISTADOS!$A$2:$B$5,2,FALSE),"")</f>
        <v>QUINTANAR</v>
      </c>
      <c r="L7" s="23" t="s">
        <v>72</v>
      </c>
      <c r="M7" s="37" t="s">
        <v>74</v>
      </c>
      <c r="N7" s="36" t="str">
        <f>IFERROR(VLOOKUP(M7,LISTADOS!$D$2:$E$5,2,FALSE),"")</f>
        <v>ADMINISTRATIVO PRIMERA</v>
      </c>
      <c r="O7" s="38">
        <f>VLOOKUP(M7,LISTADOS!$D$2:$F$5,3,FALSE)</f>
        <v>1150</v>
      </c>
      <c r="P7" s="39">
        <f>(VLOOKUP(M7,LISTADOS!$D$2:$G$5,4,FALSE)*O7)*Q7</f>
        <v>9.2000000000000011</v>
      </c>
      <c r="Q7" s="53">
        <v>0.4</v>
      </c>
      <c r="R7" s="51">
        <f>IFERROR(NETWORKDAYS.INTL(IF(H7&lt;=DATE(2018,1,1),DATE(2018,1,1),IF(H7&gt;DATE(2018,1,31),"",H7)),DATE(2018,1,31),1,LISTADOS!$I$2:$I$15),"")</f>
        <v>22</v>
      </c>
      <c r="S7" s="51">
        <f>IFERROR(NETWORKDAYS.INTL(IF(H7&lt;=DATE(2018,2,1),DATE(2018,2,1),IF(J7&gt;LISTADOS!K4ECHA(2018,2,28),"",J7)),DATE(2018,2,28),1,LISTADOS!$I$2:$I$15),"")</f>
        <v>20</v>
      </c>
      <c r="T7" s="51">
        <f>IFERROR(NETWORKDAYS.INTL(IF(H7&lt;=DATE(2018,3,1),DATE(2018,3,1),IF(K7&gt;LISTADOS!K4ECHA(2018,3,31),"",H7)),DATE(2018,3,31),1,LISTADOS!$I$2:$I$15),"")</f>
        <v>20</v>
      </c>
      <c r="U7" s="56">
        <f t="shared" si="1"/>
        <v>62</v>
      </c>
    </row>
    <row r="8" spans="1:21" x14ac:dyDescent="0.3">
      <c r="A8" s="34">
        <f t="shared" si="2"/>
        <v>16</v>
      </c>
      <c r="B8" s="23" t="s">
        <v>29</v>
      </c>
      <c r="C8" s="23" t="s">
        <v>56</v>
      </c>
      <c r="D8" s="23" t="s">
        <v>59</v>
      </c>
      <c r="E8" s="35">
        <v>27084</v>
      </c>
      <c r="F8" s="48">
        <f t="shared" ca="1" si="0"/>
        <v>44.07123287671233</v>
      </c>
      <c r="G8" s="23" t="s">
        <v>48</v>
      </c>
      <c r="H8" s="35">
        <v>36945</v>
      </c>
      <c r="I8" s="60" t="str">
        <f>VLOOKUP(MONTH(H8),LISTADOS!$K$2:$L$13,2,FALSE)</f>
        <v>FEBRERO</v>
      </c>
      <c r="J8" s="23" t="s">
        <v>15</v>
      </c>
      <c r="K8" s="36" t="str">
        <f>IFERROR(VLOOKUP(J8,LISTADOS!$A$2:$B$5,2,FALSE),"")</f>
        <v>LEGANES</v>
      </c>
      <c r="L8" s="23" t="s">
        <v>71</v>
      </c>
      <c r="M8" s="37" t="s">
        <v>75</v>
      </c>
      <c r="N8" s="36" t="str">
        <f>IFERROR(VLOOKUP(M8,LISTADOS!$D$2:$E$5,2,FALSE),"")</f>
        <v>JEFE ALMACEN</v>
      </c>
      <c r="O8" s="38">
        <f>VLOOKUP(M8,LISTADOS!$D$2:$F$5,3,FALSE)</f>
        <v>2600</v>
      </c>
      <c r="P8" s="39">
        <f>(VLOOKUP(M8,LISTADOS!$D$2:$G$5,4,FALSE)*O8)*Q8</f>
        <v>156</v>
      </c>
      <c r="Q8" s="53">
        <v>0.6</v>
      </c>
      <c r="R8" s="51">
        <f>IFERROR(NETWORKDAYS.INTL(IF(H8&lt;=DATE(2018,1,1),DATE(2018,1,1),IF(H8&gt;DATE(2018,1,31),"",H8)),DATE(2018,1,31),1,LISTADOS!$I$2:$I$15),"")</f>
        <v>22</v>
      </c>
      <c r="S8" s="51">
        <f>IFERROR(NETWORKDAYS.INTL(IF(H8&lt;=DATE(2018,2,1),DATE(2018,2,1),IF(J8&gt;LISTADOS!K4ECHA(2018,2,28),"",J8)),DATE(2018,2,28),1,LISTADOS!$I$2:$I$15),"")</f>
        <v>20</v>
      </c>
      <c r="T8" s="51">
        <f>IFERROR(NETWORKDAYS.INTL(IF(H8&lt;=DATE(2018,3,1),DATE(2018,3,1),IF(K8&gt;LISTADOS!K4ECHA(2018,3,31),"",H8)),DATE(2018,3,31),1,LISTADOS!$I$2:$I$15),"")</f>
        <v>20</v>
      </c>
      <c r="U8" s="56">
        <f t="shared" si="1"/>
        <v>62</v>
      </c>
    </row>
    <row r="9" spans="1:21" x14ac:dyDescent="0.3">
      <c r="A9" s="34">
        <f t="shared" si="2"/>
        <v>17</v>
      </c>
      <c r="B9" s="23" t="s">
        <v>30</v>
      </c>
      <c r="C9" s="23" t="s">
        <v>57</v>
      </c>
      <c r="D9" s="23" t="s">
        <v>60</v>
      </c>
      <c r="E9" s="35">
        <v>27144</v>
      </c>
      <c r="F9" s="48">
        <f t="shared" ca="1" si="0"/>
        <v>43.906849315068492</v>
      </c>
      <c r="G9" s="23" t="s">
        <v>48</v>
      </c>
      <c r="H9" s="35">
        <v>36987</v>
      </c>
      <c r="I9" s="60" t="str">
        <f>VLOOKUP(MONTH(H9),LISTADOS!$K$2:$L$13,2,FALSE)</f>
        <v>ABRIL</v>
      </c>
      <c r="J9" s="23" t="s">
        <v>14</v>
      </c>
      <c r="K9" s="36" t="str">
        <f>IFERROR(VLOOKUP(J9,LISTADOS!$A$2:$B$5,2,FALSE),"")</f>
        <v>MADRID</v>
      </c>
      <c r="L9" s="23" t="s">
        <v>70</v>
      </c>
      <c r="M9" s="37" t="s">
        <v>76</v>
      </c>
      <c r="N9" s="36" t="str">
        <f>IFERROR(VLOOKUP(M9,LISTADOS!$D$2:$E$5,2,FALSE),"")</f>
        <v>SUPERVISOR VENTAS</v>
      </c>
      <c r="O9" s="38">
        <f>VLOOKUP(M9,LISTADOS!$D$2:$F$5,3,FALSE)</f>
        <v>1350</v>
      </c>
      <c r="P9" s="39">
        <f>(VLOOKUP(M9,LISTADOS!$D$2:$G$5,4,FALSE)*O9)*Q9</f>
        <v>148.5</v>
      </c>
      <c r="Q9" s="53">
        <v>0.55000000000000004</v>
      </c>
      <c r="R9" s="51">
        <f>IFERROR(NETWORKDAYS.INTL(IF(H9&lt;=DATE(2018,1,1),DATE(2018,1,1),IF(H9&gt;DATE(2018,1,31),"",H9)),DATE(2018,1,31),1,LISTADOS!$I$2:$I$15),"")</f>
        <v>22</v>
      </c>
      <c r="S9" s="51">
        <f>IFERROR(NETWORKDAYS.INTL(IF(H9&lt;=DATE(2018,2,1),DATE(2018,2,1),IF(J9&gt;LISTADOS!K4ECHA(2018,2,28),"",J9)),DATE(2018,2,28),1,LISTADOS!$I$2:$I$15),"")</f>
        <v>20</v>
      </c>
      <c r="T9" s="51">
        <f>IFERROR(NETWORKDAYS.INTL(IF(H9&lt;=DATE(2018,3,1),DATE(2018,3,1),IF(K9&gt;LISTADOS!K4ECHA(2018,3,31),"",H9)),DATE(2018,3,31),1,LISTADOS!$I$2:$I$15),"")</f>
        <v>20</v>
      </c>
      <c r="U9" s="56">
        <f t="shared" si="1"/>
        <v>62</v>
      </c>
    </row>
    <row r="10" spans="1:21" x14ac:dyDescent="0.3">
      <c r="A10" s="34">
        <f t="shared" si="2"/>
        <v>18</v>
      </c>
      <c r="B10" s="23" t="s">
        <v>31</v>
      </c>
      <c r="C10" s="23" t="s">
        <v>58</v>
      </c>
      <c r="D10" s="23" t="s">
        <v>61</v>
      </c>
      <c r="E10" s="35">
        <v>27204</v>
      </c>
      <c r="F10" s="48">
        <f t="shared" ca="1" si="0"/>
        <v>43.742465753424661</v>
      </c>
      <c r="G10" s="23" t="s">
        <v>47</v>
      </c>
      <c r="H10" s="35">
        <v>37029</v>
      </c>
      <c r="I10" s="60" t="str">
        <f>VLOOKUP(MONTH(H10),LISTADOS!$K$2:$L$13,2,FALSE)</f>
        <v>MAYO</v>
      </c>
      <c r="J10" s="23" t="s">
        <v>16</v>
      </c>
      <c r="K10" s="36" t="str">
        <f>IFERROR(VLOOKUP(J10,LISTADOS!$A$2:$B$5,2,FALSE),"")</f>
        <v>QUINTANAR</v>
      </c>
      <c r="L10" s="23" t="s">
        <v>70</v>
      </c>
      <c r="M10" s="37" t="s">
        <v>77</v>
      </c>
      <c r="N10" s="36" t="str">
        <f>IFERROR(VLOOKUP(M10,LISTADOS!$D$2:$E$5,2,FALSE),"")</f>
        <v>TECNICO VENTAS</v>
      </c>
      <c r="O10" s="38">
        <f>VLOOKUP(M10,LISTADOS!$D$2:$F$5,3,FALSE)</f>
        <v>1200</v>
      </c>
      <c r="P10" s="39">
        <f>(VLOOKUP(M10,LISTADOS!$D$2:$G$5,4,FALSE)*O10)*Q10</f>
        <v>205.79999999999998</v>
      </c>
      <c r="Q10" s="53">
        <v>0.49</v>
      </c>
      <c r="R10" s="51">
        <f>IFERROR(NETWORKDAYS.INTL(IF(H10&lt;=DATE(2018,1,1),DATE(2018,1,1),IF(H10&gt;DATE(2018,1,31),"",H10)),DATE(2018,1,31),1,LISTADOS!$I$2:$I$15),"")</f>
        <v>22</v>
      </c>
      <c r="S10" s="51">
        <f>IFERROR(NETWORKDAYS.INTL(IF(H10&lt;=DATE(2018,2,1),DATE(2018,2,1),IF(J10&gt;LISTADOS!K4ECHA(2018,2,28),"",J10)),DATE(2018,2,28),1,LISTADOS!$I$2:$I$15),"")</f>
        <v>20</v>
      </c>
      <c r="T10" s="51">
        <f>IFERROR(NETWORKDAYS.INTL(IF(H10&lt;=DATE(2018,3,1),DATE(2018,3,1),IF(K10&gt;LISTADOS!K4ECHA(2018,3,31),"",H10)),DATE(2018,3,31),1,LISTADOS!$I$2:$I$15),"")</f>
        <v>20</v>
      </c>
      <c r="U10" s="56">
        <f t="shared" si="1"/>
        <v>62</v>
      </c>
    </row>
    <row r="11" spans="1:21" x14ac:dyDescent="0.3">
      <c r="A11" s="34">
        <f t="shared" si="2"/>
        <v>19</v>
      </c>
      <c r="B11" s="23" t="s">
        <v>32</v>
      </c>
      <c r="C11" s="23" t="s">
        <v>59</v>
      </c>
      <c r="D11" s="23" t="s">
        <v>65</v>
      </c>
      <c r="E11" s="35">
        <v>27264</v>
      </c>
      <c r="F11" s="48">
        <f t="shared" ca="1" si="0"/>
        <v>43.578082191780823</v>
      </c>
      <c r="G11" s="23" t="s">
        <v>47</v>
      </c>
      <c r="H11" s="35">
        <v>37071</v>
      </c>
      <c r="I11" s="60" t="str">
        <f>VLOOKUP(MONTH(H11),LISTADOS!$K$2:$L$13,2,FALSE)</f>
        <v>JUNIO</v>
      </c>
      <c r="J11" s="23" t="s">
        <v>17</v>
      </c>
      <c r="K11" s="36" t="str">
        <f>IFERROR(VLOOKUP(J11,LISTADOS!$A$2:$B$5,2,FALSE),"")</f>
        <v>GUADALAJARA</v>
      </c>
      <c r="L11" s="23" t="s">
        <v>70</v>
      </c>
      <c r="M11" s="37" t="s">
        <v>77</v>
      </c>
      <c r="N11" s="36" t="str">
        <f>IFERROR(VLOOKUP(M11,LISTADOS!$D$2:$E$5,2,FALSE),"")</f>
        <v>TECNICO VENTAS</v>
      </c>
      <c r="O11" s="38">
        <f>VLOOKUP(M11,LISTADOS!$D$2:$F$5,3,FALSE)</f>
        <v>1200</v>
      </c>
      <c r="P11" s="39">
        <f>(VLOOKUP(M11,LISTADOS!$D$2:$G$5,4,FALSE)*O11)*Q11</f>
        <v>420</v>
      </c>
      <c r="Q11" s="53">
        <v>1</v>
      </c>
      <c r="R11" s="51">
        <f>IFERROR(NETWORKDAYS.INTL(IF(H11&lt;=DATE(2018,1,1),DATE(2018,1,1),IF(H11&gt;DATE(2018,1,31),"",H11)),DATE(2018,1,31),1,LISTADOS!$I$2:$I$15),"")</f>
        <v>22</v>
      </c>
      <c r="S11" s="51">
        <f>IFERROR(NETWORKDAYS.INTL(IF(H11&lt;=DATE(2018,2,1),DATE(2018,2,1),IF(J11&gt;LISTADOS!K4ECHA(2018,2,28),"",J11)),DATE(2018,2,28),1,LISTADOS!$I$2:$I$15),"")</f>
        <v>20</v>
      </c>
      <c r="T11" s="51">
        <f>IFERROR(NETWORKDAYS.INTL(IF(H11&lt;=DATE(2018,3,1),DATE(2018,3,1),IF(K11&gt;LISTADOS!K4ECHA(2018,3,31),"",H11)),DATE(2018,3,31),1,LISTADOS!$I$2:$I$15),"")</f>
        <v>20</v>
      </c>
      <c r="U11" s="56">
        <f t="shared" si="1"/>
        <v>62</v>
      </c>
    </row>
    <row r="12" spans="1:21" x14ac:dyDescent="0.3">
      <c r="A12" s="34">
        <f t="shared" si="2"/>
        <v>20</v>
      </c>
      <c r="B12" s="23" t="s">
        <v>33</v>
      </c>
      <c r="C12" s="23" t="s">
        <v>60</v>
      </c>
      <c r="D12" s="23" t="s">
        <v>66</v>
      </c>
      <c r="E12" s="35">
        <v>27324</v>
      </c>
      <c r="F12" s="48">
        <f t="shared" ca="1" si="0"/>
        <v>43.413698630136984</v>
      </c>
      <c r="G12" s="23" t="s">
        <v>47</v>
      </c>
      <c r="H12" s="35">
        <v>37113</v>
      </c>
      <c r="I12" s="60" t="str">
        <f>VLOOKUP(MONTH(H12),LISTADOS!$K$2:$L$13,2,FALSE)</f>
        <v>AGOSTO</v>
      </c>
      <c r="J12" s="23" t="s">
        <v>14</v>
      </c>
      <c r="K12" s="36" t="str">
        <f>IFERROR(VLOOKUP(J12,LISTADOS!$A$2:$B$5,2,FALSE),"")</f>
        <v>MADRID</v>
      </c>
      <c r="L12" s="23" t="s">
        <v>70</v>
      </c>
      <c r="M12" s="37" t="s">
        <v>76</v>
      </c>
      <c r="N12" s="36" t="str">
        <f>IFERROR(VLOOKUP(M12,LISTADOS!$D$2:$E$5,2,FALSE),"")</f>
        <v>SUPERVISOR VENTAS</v>
      </c>
      <c r="O12" s="38">
        <f>VLOOKUP(M12,LISTADOS!$D$2:$F$5,3,FALSE)</f>
        <v>1350</v>
      </c>
      <c r="P12" s="39">
        <f>(VLOOKUP(M12,LISTADOS!$D$2:$G$5,4,FALSE)*O12)*Q12</f>
        <v>324</v>
      </c>
      <c r="Q12" s="53">
        <v>1.2</v>
      </c>
      <c r="R12" s="51">
        <f>IFERROR(NETWORKDAYS.INTL(IF(H12&lt;=DATE(2018,1,1),DATE(2018,1,1),IF(H12&gt;DATE(2018,1,31),"",H12)),DATE(2018,1,31),1,LISTADOS!$I$2:$I$15),"")</f>
        <v>22</v>
      </c>
      <c r="S12" s="51">
        <f>IFERROR(NETWORKDAYS.INTL(IF(H12&lt;=DATE(2018,2,1),DATE(2018,2,1),IF(J12&gt;LISTADOS!K4ECHA(2018,2,28),"",J12)),DATE(2018,2,28),1,LISTADOS!$I$2:$I$15),"")</f>
        <v>20</v>
      </c>
      <c r="T12" s="51">
        <f>IFERROR(NETWORKDAYS.INTL(IF(H12&lt;=DATE(2018,3,1),DATE(2018,3,1),IF(K12&gt;LISTADOS!K4ECHA(2018,3,31),"",H12)),DATE(2018,3,31),1,LISTADOS!$I$2:$I$15),"")</f>
        <v>20</v>
      </c>
      <c r="U12" s="56">
        <f t="shared" si="1"/>
        <v>62</v>
      </c>
    </row>
    <row r="13" spans="1:21" x14ac:dyDescent="0.3">
      <c r="A13" s="34">
        <f t="shared" si="2"/>
        <v>21</v>
      </c>
      <c r="B13" s="23" t="s">
        <v>34</v>
      </c>
      <c r="C13" s="23" t="s">
        <v>61</v>
      </c>
      <c r="D13" s="23" t="s">
        <v>67</v>
      </c>
      <c r="E13" s="35">
        <v>27384</v>
      </c>
      <c r="F13" s="48">
        <f t="shared" ca="1" si="0"/>
        <v>43.249315068493154</v>
      </c>
      <c r="G13" s="23" t="s">
        <v>47</v>
      </c>
      <c r="H13" s="35">
        <v>37155</v>
      </c>
      <c r="I13" s="60" t="str">
        <f>VLOOKUP(MONTH(H13),LISTADOS!$K$2:$L$13,2,FALSE)</f>
        <v>SEPTIEMBRE</v>
      </c>
      <c r="J13" s="23" t="s">
        <v>15</v>
      </c>
      <c r="K13" s="36" t="str">
        <f>IFERROR(VLOOKUP(J13,LISTADOS!$A$2:$B$5,2,FALSE),"")</f>
        <v>LEGANES</v>
      </c>
      <c r="L13" s="23" t="s">
        <v>70</v>
      </c>
      <c r="M13" s="37" t="s">
        <v>77</v>
      </c>
      <c r="N13" s="36" t="str">
        <f>IFERROR(VLOOKUP(M13,LISTADOS!$D$2:$E$5,2,FALSE),"")</f>
        <v>TECNICO VENTAS</v>
      </c>
      <c r="O13" s="38">
        <f>VLOOKUP(M13,LISTADOS!$D$2:$F$5,3,FALSE)</f>
        <v>1200</v>
      </c>
      <c r="P13" s="39">
        <f>(VLOOKUP(M13,LISTADOS!$D$2:$G$5,4,FALSE)*O13)*Q13</f>
        <v>462.00000000000006</v>
      </c>
      <c r="Q13" s="53">
        <v>1.1000000000000001</v>
      </c>
      <c r="R13" s="51">
        <f>IFERROR(NETWORKDAYS.INTL(IF(H13&lt;=DATE(2018,1,1),DATE(2018,1,1),IF(H13&gt;DATE(2018,1,31),"",H13)),DATE(2018,1,31),1,LISTADOS!$I$2:$I$15),"")</f>
        <v>22</v>
      </c>
      <c r="S13" s="51">
        <f>IFERROR(NETWORKDAYS.INTL(IF(H13&lt;=DATE(2018,2,1),DATE(2018,2,1),IF(J13&gt;LISTADOS!K4ECHA(2018,2,28),"",J13)),DATE(2018,2,28),1,LISTADOS!$I$2:$I$15),"")</f>
        <v>20</v>
      </c>
      <c r="T13" s="51">
        <f>IFERROR(NETWORKDAYS.INTL(IF(H13&lt;=DATE(2018,3,1),DATE(2018,3,1),IF(K13&gt;LISTADOS!K4ECHA(2018,3,31),"",H13)),DATE(2018,3,31),1,LISTADOS!$I$2:$I$15),"")</f>
        <v>20</v>
      </c>
      <c r="U13" s="56">
        <f t="shared" si="1"/>
        <v>62</v>
      </c>
    </row>
    <row r="14" spans="1:21" x14ac:dyDescent="0.3">
      <c r="A14" s="34">
        <f t="shared" si="2"/>
        <v>22</v>
      </c>
      <c r="B14" s="23" t="s">
        <v>35</v>
      </c>
      <c r="C14" s="23" t="s">
        <v>62</v>
      </c>
      <c r="D14" s="23" t="s">
        <v>63</v>
      </c>
      <c r="E14" s="35">
        <v>27444</v>
      </c>
      <c r="F14" s="48">
        <f t="shared" ca="1" si="0"/>
        <v>43.084931506849315</v>
      </c>
      <c r="G14" s="23" t="s">
        <v>47</v>
      </c>
      <c r="H14" s="35">
        <v>37197</v>
      </c>
      <c r="I14" s="60" t="str">
        <f>VLOOKUP(MONTH(H14),LISTADOS!$K$2:$L$13,2,FALSE)</f>
        <v>NOVIEMBRE</v>
      </c>
      <c r="J14" s="23" t="s">
        <v>16</v>
      </c>
      <c r="K14" s="36" t="str">
        <f>IFERROR(VLOOKUP(J14,LISTADOS!$A$2:$B$5,2,FALSE),"")</f>
        <v>QUINTANAR</v>
      </c>
      <c r="L14" s="23" t="s">
        <v>71</v>
      </c>
      <c r="M14" s="37" t="s">
        <v>75</v>
      </c>
      <c r="N14" s="36" t="str">
        <f>IFERROR(VLOOKUP(M14,LISTADOS!$D$2:$E$5,2,FALSE),"")</f>
        <v>JEFE ALMACEN</v>
      </c>
      <c r="O14" s="38">
        <f>VLOOKUP(M14,LISTADOS!$D$2:$F$5,3,FALSE)</f>
        <v>2600</v>
      </c>
      <c r="P14" s="39">
        <f>(VLOOKUP(M14,LISTADOS!$D$2:$G$5,4,FALSE)*O14)*Q14</f>
        <v>273</v>
      </c>
      <c r="Q14" s="53">
        <v>1.05</v>
      </c>
      <c r="R14" s="51">
        <f>IFERROR(NETWORKDAYS.INTL(IF(H14&lt;=DATE(2018,1,1),DATE(2018,1,1),IF(H14&gt;DATE(2018,1,31),"",H14)),DATE(2018,1,31),1,LISTADOS!$I$2:$I$15),"")</f>
        <v>22</v>
      </c>
      <c r="S14" s="51">
        <f>IFERROR(NETWORKDAYS.INTL(IF(H14&lt;=DATE(2018,2,1),DATE(2018,2,1),IF(J14&gt;LISTADOS!K4ECHA(2018,2,28),"",J14)),DATE(2018,2,28),1,LISTADOS!$I$2:$I$15),"")</f>
        <v>20</v>
      </c>
      <c r="T14" s="51">
        <f>IFERROR(NETWORKDAYS.INTL(IF(H14&lt;=DATE(2018,3,1),DATE(2018,3,1),IF(K14&gt;LISTADOS!K4ECHA(2018,3,31),"",H14)),DATE(2018,3,31),1,LISTADOS!$I$2:$I$15),"")</f>
        <v>20</v>
      </c>
      <c r="U14" s="56">
        <f t="shared" si="1"/>
        <v>62</v>
      </c>
    </row>
    <row r="15" spans="1:21" x14ac:dyDescent="0.3">
      <c r="A15" s="34">
        <f t="shared" si="2"/>
        <v>23</v>
      </c>
      <c r="B15" s="23" t="s">
        <v>36</v>
      </c>
      <c r="C15" s="23" t="s">
        <v>63</v>
      </c>
      <c r="D15" s="23" t="s">
        <v>64</v>
      </c>
      <c r="E15" s="35">
        <v>27504</v>
      </c>
      <c r="F15" s="48">
        <f t="shared" ca="1" si="0"/>
        <v>42.920547945205477</v>
      </c>
      <c r="G15" s="23" t="s">
        <v>47</v>
      </c>
      <c r="H15" s="35">
        <v>37239</v>
      </c>
      <c r="I15" s="60" t="str">
        <f>VLOOKUP(MONTH(H15),LISTADOS!$K$2:$L$13,2,FALSE)</f>
        <v>DICIEMBRE</v>
      </c>
      <c r="J15" s="23" t="s">
        <v>17</v>
      </c>
      <c r="K15" s="36" t="str">
        <f>IFERROR(VLOOKUP(J15,LISTADOS!$A$2:$B$5,2,FALSE),"")</f>
        <v>GUADALAJARA</v>
      </c>
      <c r="L15" s="23" t="s">
        <v>70</v>
      </c>
      <c r="M15" s="37" t="s">
        <v>77</v>
      </c>
      <c r="N15" s="36" t="str">
        <f>IFERROR(VLOOKUP(M15,LISTADOS!$D$2:$E$5,2,FALSE),"")</f>
        <v>TECNICO VENTAS</v>
      </c>
      <c r="O15" s="38">
        <f>VLOOKUP(M15,LISTADOS!$D$2:$F$5,3,FALSE)</f>
        <v>1200</v>
      </c>
      <c r="P15" s="39">
        <f>(VLOOKUP(M15,LISTADOS!$D$2:$G$5,4,FALSE)*O15)*Q15</f>
        <v>273</v>
      </c>
      <c r="Q15" s="53">
        <v>0.65</v>
      </c>
      <c r="R15" s="51">
        <f>IFERROR(NETWORKDAYS.INTL(IF(H15&lt;=DATE(2018,1,1),DATE(2018,1,1),IF(H15&gt;DATE(2018,1,31),"",H15)),DATE(2018,1,31),1,LISTADOS!$I$2:$I$15),"")</f>
        <v>22</v>
      </c>
      <c r="S15" s="51">
        <f>IFERROR(NETWORKDAYS.INTL(IF(H15&lt;=DATE(2018,2,1),DATE(2018,2,1),IF(J15&gt;LISTADOS!K4ECHA(2018,2,28),"",J15)),DATE(2018,2,28),1,LISTADOS!$I$2:$I$15),"")</f>
        <v>20</v>
      </c>
      <c r="T15" s="51">
        <f>IFERROR(NETWORKDAYS.INTL(IF(H15&lt;=DATE(2018,3,1),DATE(2018,3,1),IF(K15&gt;LISTADOS!K4ECHA(2018,3,31),"",H15)),DATE(2018,3,31),1,LISTADOS!$I$2:$I$15),"")</f>
        <v>20</v>
      </c>
      <c r="U15" s="56">
        <f t="shared" si="1"/>
        <v>62</v>
      </c>
    </row>
    <row r="16" spans="1:21" x14ac:dyDescent="0.3">
      <c r="A16" s="34">
        <f t="shared" si="2"/>
        <v>24</v>
      </c>
      <c r="B16" s="23" t="s">
        <v>49</v>
      </c>
      <c r="C16" s="23" t="s">
        <v>64</v>
      </c>
      <c r="D16" s="23" t="s">
        <v>57</v>
      </c>
      <c r="E16" s="35">
        <v>27564</v>
      </c>
      <c r="F16" s="48">
        <f t="shared" ca="1" si="0"/>
        <v>42.756164383561647</v>
      </c>
      <c r="G16" s="23" t="s">
        <v>48</v>
      </c>
      <c r="H16" s="35">
        <v>37281</v>
      </c>
      <c r="I16" s="60" t="str">
        <f>VLOOKUP(MONTH(H16),LISTADOS!$K$2:$L$13,2,FALSE)</f>
        <v>ENERO</v>
      </c>
      <c r="J16" s="23" t="s">
        <v>14</v>
      </c>
      <c r="K16" s="36" t="str">
        <f>IFERROR(VLOOKUP(J16,LISTADOS!$A$2:$B$5,2,FALSE),"")</f>
        <v>MADRID</v>
      </c>
      <c r="L16" s="23" t="s">
        <v>71</v>
      </c>
      <c r="M16" s="37" t="s">
        <v>75</v>
      </c>
      <c r="N16" s="36" t="str">
        <f>IFERROR(VLOOKUP(M16,LISTADOS!$D$2:$E$5,2,FALSE),"")</f>
        <v>JEFE ALMACEN</v>
      </c>
      <c r="O16" s="38">
        <f>VLOOKUP(M16,LISTADOS!$D$2:$F$5,3,FALSE)</f>
        <v>2600</v>
      </c>
      <c r="P16" s="39">
        <f>(VLOOKUP(M16,LISTADOS!$D$2:$G$5,4,FALSE)*O16)*Q16</f>
        <v>234</v>
      </c>
      <c r="Q16" s="53">
        <v>0.9</v>
      </c>
      <c r="R16" s="51">
        <f>IFERROR(NETWORKDAYS.INTL(IF(H16&lt;=DATE(2018,1,1),DATE(2018,1,1),IF(H16&gt;DATE(2018,1,31),"",H16)),DATE(2018,1,31),1,LISTADOS!$I$2:$I$15),"")</f>
        <v>22</v>
      </c>
      <c r="S16" s="51">
        <f>IFERROR(NETWORKDAYS.INTL(IF(H16&lt;=DATE(2018,2,1),DATE(2018,2,1),IF(J16&gt;LISTADOS!K4ECHA(2018,2,28),"",J16)),DATE(2018,2,28),1,LISTADOS!$I$2:$I$15),"")</f>
        <v>20</v>
      </c>
      <c r="T16" s="51">
        <f>IFERROR(NETWORKDAYS.INTL(IF(H16&lt;=DATE(2018,3,1),DATE(2018,3,1),IF(K16&gt;LISTADOS!K4ECHA(2018,3,31),"",H16)),DATE(2018,3,31),1,LISTADOS!$I$2:$I$15),"")</f>
        <v>20</v>
      </c>
      <c r="U16" s="56">
        <f t="shared" si="1"/>
        <v>62</v>
      </c>
    </row>
    <row r="17" spans="1:21" x14ac:dyDescent="0.3">
      <c r="A17" s="34">
        <f t="shared" si="2"/>
        <v>25</v>
      </c>
      <c r="B17" s="23" t="s">
        <v>37</v>
      </c>
      <c r="C17" s="23" t="s">
        <v>50</v>
      </c>
      <c r="D17" s="23" t="s">
        <v>58</v>
      </c>
      <c r="E17" s="35">
        <v>27624</v>
      </c>
      <c r="F17" s="48">
        <f t="shared" ca="1" si="0"/>
        <v>42.591780821917808</v>
      </c>
      <c r="G17" s="23" t="s">
        <v>48</v>
      </c>
      <c r="H17" s="35">
        <v>37323</v>
      </c>
      <c r="I17" s="60" t="str">
        <f>VLOOKUP(MONTH(H17),LISTADOS!$K$2:$L$13,2,FALSE)</f>
        <v>MARZO</v>
      </c>
      <c r="J17" s="23" t="s">
        <v>15</v>
      </c>
      <c r="K17" s="36" t="str">
        <f>IFERROR(VLOOKUP(J17,LISTADOS!$A$2:$B$5,2,FALSE),"")</f>
        <v>LEGANES</v>
      </c>
      <c r="L17" s="23" t="s">
        <v>71</v>
      </c>
      <c r="M17" s="37" t="s">
        <v>75</v>
      </c>
      <c r="N17" s="36" t="str">
        <f>IFERROR(VLOOKUP(M17,LISTADOS!$D$2:$E$5,2,FALSE),"")</f>
        <v>JEFE ALMACEN</v>
      </c>
      <c r="O17" s="38">
        <f>VLOOKUP(M17,LISTADOS!$D$2:$F$5,3,FALSE)</f>
        <v>2600</v>
      </c>
      <c r="P17" s="39">
        <f>(VLOOKUP(M17,LISTADOS!$D$2:$G$5,4,FALSE)*O17)*Q17</f>
        <v>234</v>
      </c>
      <c r="Q17" s="53">
        <v>0.9</v>
      </c>
      <c r="R17" s="51">
        <f>IFERROR(NETWORKDAYS.INTL(IF(H17&lt;=DATE(2018,1,1),DATE(2018,1,1),IF(H17&gt;DATE(2018,1,31),"",H17)),DATE(2018,1,31),1,LISTADOS!$I$2:$I$15),"")</f>
        <v>22</v>
      </c>
      <c r="S17" s="51">
        <f>IFERROR(NETWORKDAYS.INTL(IF(H17&lt;=DATE(2018,2,1),DATE(2018,2,1),IF(J17&gt;LISTADOS!K4ECHA(2018,2,28),"",J17)),DATE(2018,2,28),1,LISTADOS!$I$2:$I$15),"")</f>
        <v>20</v>
      </c>
      <c r="T17" s="51">
        <f>IFERROR(NETWORKDAYS.INTL(IF(H17&lt;=DATE(2018,3,1),DATE(2018,3,1),IF(K17&gt;LISTADOS!K4ECHA(2018,3,31),"",H17)),DATE(2018,3,31),1,LISTADOS!$I$2:$I$15),"")</f>
        <v>20</v>
      </c>
      <c r="U17" s="56">
        <f t="shared" si="1"/>
        <v>62</v>
      </c>
    </row>
    <row r="18" spans="1:21" x14ac:dyDescent="0.3">
      <c r="A18" s="34">
        <f t="shared" si="2"/>
        <v>26</v>
      </c>
      <c r="B18" s="23" t="s">
        <v>38</v>
      </c>
      <c r="C18" s="23" t="s">
        <v>51</v>
      </c>
      <c r="D18" s="23" t="s">
        <v>59</v>
      </c>
      <c r="E18" s="35">
        <v>27684</v>
      </c>
      <c r="F18" s="48">
        <f t="shared" ca="1" si="0"/>
        <v>42.42739726027397</v>
      </c>
      <c r="G18" s="23" t="s">
        <v>48</v>
      </c>
      <c r="H18" s="35">
        <v>37365</v>
      </c>
      <c r="I18" s="60" t="str">
        <f>VLOOKUP(MONTH(H18),LISTADOS!$K$2:$L$13,2,FALSE)</f>
        <v>ABRIL</v>
      </c>
      <c r="J18" s="23" t="s">
        <v>16</v>
      </c>
      <c r="K18" s="36" t="str">
        <f>IFERROR(VLOOKUP(J18,LISTADOS!$A$2:$B$5,2,FALSE),"")</f>
        <v>QUINTANAR</v>
      </c>
      <c r="L18" s="23" t="s">
        <v>72</v>
      </c>
      <c r="M18" s="37" t="s">
        <v>74</v>
      </c>
      <c r="N18" s="36" t="str">
        <f>IFERROR(VLOOKUP(M18,LISTADOS!$D$2:$E$5,2,FALSE),"")</f>
        <v>ADMINISTRATIVO PRIMERA</v>
      </c>
      <c r="O18" s="38">
        <f>VLOOKUP(M18,LISTADOS!$D$2:$F$5,3,FALSE)</f>
        <v>1150</v>
      </c>
      <c r="P18" s="39">
        <f>(VLOOKUP(M18,LISTADOS!$D$2:$G$5,4,FALSE)*O18)*Q18</f>
        <v>23</v>
      </c>
      <c r="Q18" s="53">
        <v>1</v>
      </c>
      <c r="R18" s="51">
        <f>IFERROR(NETWORKDAYS.INTL(IF(H18&lt;=DATE(2018,1,1),DATE(2018,1,1),IF(H18&gt;DATE(2018,1,31),"",H18)),DATE(2018,1,31),1,LISTADOS!$I$2:$I$15),"")</f>
        <v>22</v>
      </c>
      <c r="S18" s="51">
        <f>IFERROR(NETWORKDAYS.INTL(IF(H18&lt;=DATE(2018,2,1),DATE(2018,2,1),IF(J18&gt;LISTADOS!K4ECHA(2018,2,28),"",J18)),DATE(2018,2,28),1,LISTADOS!$I$2:$I$15),"")</f>
        <v>20</v>
      </c>
      <c r="T18" s="51">
        <f>IFERROR(NETWORKDAYS.INTL(IF(H18&lt;=DATE(2018,3,1),DATE(2018,3,1),IF(K18&gt;LISTADOS!K4ECHA(2018,3,31),"",H18)),DATE(2018,3,31),1,LISTADOS!$I$2:$I$15),"")</f>
        <v>20</v>
      </c>
      <c r="U18" s="56">
        <f t="shared" si="1"/>
        <v>62</v>
      </c>
    </row>
    <row r="19" spans="1:21" x14ac:dyDescent="0.3">
      <c r="A19" s="34">
        <f t="shared" si="2"/>
        <v>27</v>
      </c>
      <c r="B19" s="23" t="s">
        <v>39</v>
      </c>
      <c r="C19" s="23" t="s">
        <v>52</v>
      </c>
      <c r="D19" s="23" t="s">
        <v>60</v>
      </c>
      <c r="E19" s="35">
        <v>27744</v>
      </c>
      <c r="F19" s="48">
        <f t="shared" ca="1" si="0"/>
        <v>42.263013698630139</v>
      </c>
      <c r="G19" s="23" t="s">
        <v>47</v>
      </c>
      <c r="H19" s="35">
        <v>37407</v>
      </c>
      <c r="I19" s="60" t="str">
        <f>VLOOKUP(MONTH(H19),LISTADOS!$K$2:$L$13,2,FALSE)</f>
        <v>MAYO</v>
      </c>
      <c r="J19" s="23" t="s">
        <v>17</v>
      </c>
      <c r="K19" s="36" t="str">
        <f>IFERROR(VLOOKUP(J19,LISTADOS!$A$2:$B$5,2,FALSE),"")</f>
        <v>GUADALAJARA</v>
      </c>
      <c r="L19" s="23" t="s">
        <v>71</v>
      </c>
      <c r="M19" s="37" t="s">
        <v>74</v>
      </c>
      <c r="N19" s="36" t="str">
        <f>IFERROR(VLOOKUP(M19,LISTADOS!$D$2:$E$5,2,FALSE),"")</f>
        <v>ADMINISTRATIVO PRIMERA</v>
      </c>
      <c r="O19" s="38">
        <f>VLOOKUP(M19,LISTADOS!$D$2:$F$5,3,FALSE)</f>
        <v>1150</v>
      </c>
      <c r="P19" s="39">
        <f>(VLOOKUP(M19,LISTADOS!$D$2:$G$5,4,FALSE)*O19)*Q19</f>
        <v>23</v>
      </c>
      <c r="Q19" s="53">
        <v>1</v>
      </c>
      <c r="R19" s="51">
        <f>IFERROR(NETWORKDAYS.INTL(IF(H19&lt;=DATE(2018,1,1),DATE(2018,1,1),IF(H19&gt;DATE(2018,1,31),"",H19)),DATE(2018,1,31),1,LISTADOS!$I$2:$I$15),"")</f>
        <v>22</v>
      </c>
      <c r="S19" s="51">
        <f>IFERROR(NETWORKDAYS.INTL(IF(H19&lt;=DATE(2018,2,1),DATE(2018,2,1),IF(J19&gt;LISTADOS!K4ECHA(2018,2,28),"",J19)),DATE(2018,2,28),1,LISTADOS!$I$2:$I$15),"")</f>
        <v>20</v>
      </c>
      <c r="T19" s="51">
        <f>IFERROR(NETWORKDAYS.INTL(IF(H19&lt;=DATE(2018,3,1),DATE(2018,3,1),IF(K19&gt;LISTADOS!K4ECHA(2018,3,31),"",H19)),DATE(2018,3,31),1,LISTADOS!$I$2:$I$15),"")</f>
        <v>20</v>
      </c>
      <c r="U19" s="56">
        <f t="shared" si="1"/>
        <v>62</v>
      </c>
    </row>
    <row r="20" spans="1:21" x14ac:dyDescent="0.3">
      <c r="A20" s="34">
        <f t="shared" si="2"/>
        <v>28</v>
      </c>
      <c r="B20" s="23" t="s">
        <v>40</v>
      </c>
      <c r="C20" s="23" t="s">
        <v>53</v>
      </c>
      <c r="D20" s="23" t="s">
        <v>61</v>
      </c>
      <c r="E20" s="35">
        <v>27804</v>
      </c>
      <c r="F20" s="48">
        <f t="shared" ca="1" si="0"/>
        <v>42.098630136986301</v>
      </c>
      <c r="G20" s="23" t="s">
        <v>47</v>
      </c>
      <c r="H20" s="35">
        <v>37449</v>
      </c>
      <c r="I20" s="60" t="str">
        <f>VLOOKUP(MONTH(H20),LISTADOS!$K$2:$L$13,2,FALSE)</f>
        <v>JULIO</v>
      </c>
      <c r="J20" s="23" t="s">
        <v>14</v>
      </c>
      <c r="K20" s="36" t="str">
        <f>IFERROR(VLOOKUP(J20,LISTADOS!$A$2:$B$5,2,FALSE),"")</f>
        <v>MADRID</v>
      </c>
      <c r="L20" s="23" t="s">
        <v>72</v>
      </c>
      <c r="M20" s="37" t="s">
        <v>74</v>
      </c>
      <c r="N20" s="36" t="str">
        <f>IFERROR(VLOOKUP(M20,LISTADOS!$D$2:$E$5,2,FALSE),"")</f>
        <v>ADMINISTRATIVO PRIMERA</v>
      </c>
      <c r="O20" s="38">
        <f>VLOOKUP(M20,LISTADOS!$D$2:$F$5,3,FALSE)</f>
        <v>1150</v>
      </c>
      <c r="P20" s="39">
        <f>(VLOOKUP(M20,LISTADOS!$D$2:$G$5,4,FALSE)*O20)*Q20</f>
        <v>23</v>
      </c>
      <c r="Q20" s="53">
        <v>1</v>
      </c>
      <c r="R20" s="51">
        <f>IFERROR(NETWORKDAYS.INTL(IF(H20&lt;=DATE(2018,1,1),DATE(2018,1,1),IF(H20&gt;DATE(2018,1,31),"",H20)),DATE(2018,1,31),1,LISTADOS!$I$2:$I$15),"")</f>
        <v>22</v>
      </c>
      <c r="S20" s="51">
        <f>IFERROR(NETWORKDAYS.INTL(IF(H20&lt;=DATE(2018,2,1),DATE(2018,2,1),IF(J20&gt;LISTADOS!K4ECHA(2018,2,28),"",J20)),DATE(2018,2,28),1,LISTADOS!$I$2:$I$15),"")</f>
        <v>20</v>
      </c>
      <c r="T20" s="51">
        <f>IFERROR(NETWORKDAYS.INTL(IF(H20&lt;=DATE(2018,3,1),DATE(2018,3,1),IF(K20&gt;LISTADOS!K4ECHA(2018,3,31),"",H20)),DATE(2018,3,31),1,LISTADOS!$I$2:$I$15),"")</f>
        <v>20</v>
      </c>
      <c r="U20" s="56">
        <f t="shared" si="1"/>
        <v>62</v>
      </c>
    </row>
    <row r="21" spans="1:21" x14ac:dyDescent="0.3">
      <c r="A21" s="34">
        <f t="shared" si="2"/>
        <v>29</v>
      </c>
      <c r="B21" s="23" t="s">
        <v>41</v>
      </c>
      <c r="C21" s="23" t="s">
        <v>58</v>
      </c>
      <c r="D21" s="23" t="s">
        <v>68</v>
      </c>
      <c r="E21" s="35">
        <v>27864</v>
      </c>
      <c r="F21" s="48">
        <f t="shared" ca="1" si="0"/>
        <v>41.934246575342463</v>
      </c>
      <c r="G21" s="23" t="s">
        <v>47</v>
      </c>
      <c r="H21" s="35">
        <v>37491</v>
      </c>
      <c r="I21" s="60" t="str">
        <f>VLOOKUP(MONTH(H21),LISTADOS!$K$2:$L$13,2,FALSE)</f>
        <v>AGOSTO</v>
      </c>
      <c r="J21" s="23" t="s">
        <v>15</v>
      </c>
      <c r="K21" s="36" t="str">
        <f>IFERROR(VLOOKUP(J21,LISTADOS!$A$2:$B$5,2,FALSE),"")</f>
        <v>LEGANES</v>
      </c>
      <c r="L21" s="23" t="s">
        <v>70</v>
      </c>
      <c r="M21" s="37" t="s">
        <v>76</v>
      </c>
      <c r="N21" s="36" t="str">
        <f>IFERROR(VLOOKUP(M21,LISTADOS!$D$2:$E$5,2,FALSE),"")</f>
        <v>SUPERVISOR VENTAS</v>
      </c>
      <c r="O21" s="38">
        <f>VLOOKUP(M21,LISTADOS!$D$2:$F$5,3,FALSE)</f>
        <v>1350</v>
      </c>
      <c r="P21" s="39">
        <f>(VLOOKUP(M21,LISTADOS!$D$2:$G$5,4,FALSE)*O21)*Q21</f>
        <v>162</v>
      </c>
      <c r="Q21" s="53">
        <v>0.6</v>
      </c>
      <c r="R21" s="51">
        <f>IFERROR(NETWORKDAYS.INTL(IF(H21&lt;=DATE(2018,1,1),DATE(2018,1,1),IF(H21&gt;DATE(2018,1,31),"",H21)),DATE(2018,1,31),1,LISTADOS!$I$2:$I$15),"")</f>
        <v>22</v>
      </c>
      <c r="S21" s="51">
        <f>IFERROR(NETWORKDAYS.INTL(IF(H21&lt;=DATE(2018,2,1),DATE(2018,2,1),IF(J21&gt;LISTADOS!K4ECHA(2018,2,28),"",J21)),DATE(2018,2,28),1,LISTADOS!$I$2:$I$15),"")</f>
        <v>20</v>
      </c>
      <c r="T21" s="51">
        <f>IFERROR(NETWORKDAYS.INTL(IF(H21&lt;=DATE(2018,3,1),DATE(2018,3,1),IF(K21&gt;LISTADOS!K4ECHA(2018,3,31),"",H21)),DATE(2018,3,31),1,LISTADOS!$I$2:$I$15),"")</f>
        <v>20</v>
      </c>
      <c r="U21" s="56">
        <f t="shared" si="1"/>
        <v>62</v>
      </c>
    </row>
    <row r="22" spans="1:21" x14ac:dyDescent="0.3">
      <c r="A22" s="34">
        <f t="shared" si="2"/>
        <v>30</v>
      </c>
      <c r="B22" s="23" t="s">
        <v>42</v>
      </c>
      <c r="C22" s="23" t="s">
        <v>59</v>
      </c>
      <c r="D22" s="23" t="s">
        <v>69</v>
      </c>
      <c r="E22" s="35">
        <v>27924</v>
      </c>
      <c r="F22" s="48">
        <f t="shared" ca="1" si="0"/>
        <v>41.769863013698632</v>
      </c>
      <c r="G22" s="23" t="s">
        <v>47</v>
      </c>
      <c r="H22" s="35">
        <v>37581</v>
      </c>
      <c r="I22" s="60" t="str">
        <f>VLOOKUP(MONTH(H22),LISTADOS!$K$2:$L$13,2,FALSE)</f>
        <v>NOVIEMBRE</v>
      </c>
      <c r="J22" s="23" t="s">
        <v>16</v>
      </c>
      <c r="K22" s="36" t="str">
        <f>IFERROR(VLOOKUP(J22,LISTADOS!$A$2:$B$5,2,FALSE),"")</f>
        <v>QUINTANAR</v>
      </c>
      <c r="L22" s="23" t="s">
        <v>72</v>
      </c>
      <c r="M22" s="37" t="s">
        <v>74</v>
      </c>
      <c r="N22" s="36" t="str">
        <f>IFERROR(VLOOKUP(M22,LISTADOS!$D$2:$E$5,2,FALSE),"")</f>
        <v>ADMINISTRATIVO PRIMERA</v>
      </c>
      <c r="O22" s="38">
        <f>VLOOKUP(M22,LISTADOS!$D$2:$F$5,3,FALSE)</f>
        <v>1150</v>
      </c>
      <c r="P22" s="39">
        <f>(VLOOKUP(M22,LISTADOS!$D$2:$G$5,4,FALSE)*O22)*Q22</f>
        <v>20.7</v>
      </c>
      <c r="Q22" s="53">
        <v>0.9</v>
      </c>
      <c r="R22" s="51">
        <f>IFERROR(NETWORKDAYS.INTL(IF(H22&lt;=DATE(2018,1,1),DATE(2018,1,1),IF(H22&gt;DATE(2018,1,31),"",H22)),DATE(2018,1,31),1,LISTADOS!$I$2:$I$15),"")</f>
        <v>22</v>
      </c>
      <c r="S22" s="51">
        <f>IFERROR(NETWORKDAYS.INTL(IF(H22&lt;=DATE(2018,2,1),DATE(2018,2,1),IF(J22&gt;LISTADOS!K4ECHA(2018,2,28),"",J22)),DATE(2018,2,28),1,LISTADOS!$I$2:$I$15),"")</f>
        <v>20</v>
      </c>
      <c r="T22" s="51">
        <f>IFERROR(NETWORKDAYS.INTL(IF(H22&lt;=DATE(2018,3,1),DATE(2018,3,1),IF(K22&gt;LISTADOS!K4ECHA(2018,3,31),"",H22)),DATE(2018,3,31),1,LISTADOS!$I$2:$I$15),"")</f>
        <v>20</v>
      </c>
      <c r="U22" s="56">
        <f t="shared" si="1"/>
        <v>62</v>
      </c>
    </row>
    <row r="23" spans="1:21" x14ac:dyDescent="0.3">
      <c r="A23" s="34">
        <f t="shared" si="2"/>
        <v>31</v>
      </c>
      <c r="B23" s="23" t="s">
        <v>43</v>
      </c>
      <c r="C23" s="23" t="s">
        <v>60</v>
      </c>
      <c r="D23" s="23" t="s">
        <v>62</v>
      </c>
      <c r="E23" s="35">
        <v>27984</v>
      </c>
      <c r="F23" s="48">
        <f t="shared" ca="1" si="0"/>
        <v>41.605479452054794</v>
      </c>
      <c r="G23" s="23" t="s">
        <v>47</v>
      </c>
      <c r="H23" s="35">
        <v>37671</v>
      </c>
      <c r="I23" s="60" t="str">
        <f>VLOOKUP(MONTH(H23),LISTADOS!$K$2:$L$13,2,FALSE)</f>
        <v>FEBRERO</v>
      </c>
      <c r="J23" s="23" t="s">
        <v>14</v>
      </c>
      <c r="K23" s="36" t="str">
        <f>IFERROR(VLOOKUP(J23,LISTADOS!$A$2:$B$5,2,FALSE),"")</f>
        <v>MADRID</v>
      </c>
      <c r="L23" s="23" t="s">
        <v>70</v>
      </c>
      <c r="M23" s="37" t="s">
        <v>76</v>
      </c>
      <c r="N23" s="36" t="str">
        <f>IFERROR(VLOOKUP(M23,LISTADOS!$D$2:$E$5,2,FALSE),"")</f>
        <v>SUPERVISOR VENTAS</v>
      </c>
      <c r="O23" s="38">
        <f>VLOOKUP(M23,LISTADOS!$D$2:$F$5,3,FALSE)</f>
        <v>1350</v>
      </c>
      <c r="P23" s="39">
        <f>(VLOOKUP(M23,LISTADOS!$D$2:$G$5,4,FALSE)*O23)*Q23</f>
        <v>256.5</v>
      </c>
      <c r="Q23" s="53">
        <v>0.95</v>
      </c>
      <c r="R23" s="51">
        <f>IFERROR(NETWORKDAYS.INTL(IF(H23&lt;=DATE(2018,1,1),DATE(2018,1,1),IF(H23&gt;DATE(2018,1,31),"",H23)),DATE(2018,1,31),1,LISTADOS!$I$2:$I$15),"")</f>
        <v>22</v>
      </c>
      <c r="S23" s="51">
        <f>IFERROR(NETWORKDAYS.INTL(IF(H23&lt;=DATE(2018,2,1),DATE(2018,2,1),IF(J23&gt;LISTADOS!K4ECHA(2018,2,28),"",J23)),DATE(2018,2,28),1,LISTADOS!$I$2:$I$15),"")</f>
        <v>20</v>
      </c>
      <c r="T23" s="51">
        <f>IFERROR(NETWORKDAYS.INTL(IF(H23&lt;=DATE(2018,3,1),DATE(2018,3,1),IF(K23&gt;LISTADOS!K4ECHA(2018,3,31),"",H23)),DATE(2018,3,31),1,LISTADOS!$I$2:$I$15),"")</f>
        <v>20</v>
      </c>
      <c r="U23" s="56">
        <f t="shared" si="1"/>
        <v>62</v>
      </c>
    </row>
    <row r="24" spans="1:21" x14ac:dyDescent="0.3">
      <c r="A24" s="34">
        <f t="shared" si="2"/>
        <v>32</v>
      </c>
      <c r="B24" s="23" t="s">
        <v>44</v>
      </c>
      <c r="C24" s="23" t="s">
        <v>61</v>
      </c>
      <c r="D24" s="23" t="s">
        <v>63</v>
      </c>
      <c r="E24" s="35">
        <v>28044</v>
      </c>
      <c r="F24" s="48">
        <f t="shared" ca="1" si="0"/>
        <v>41.441095890410956</v>
      </c>
      <c r="G24" s="23" t="s">
        <v>47</v>
      </c>
      <c r="H24" s="35">
        <v>37761</v>
      </c>
      <c r="I24" s="60" t="str">
        <f>VLOOKUP(MONTH(H24),LISTADOS!$K$2:$L$13,2,FALSE)</f>
        <v>MAYO</v>
      </c>
      <c r="J24" s="23" t="s">
        <v>15</v>
      </c>
      <c r="K24" s="36" t="str">
        <f>IFERROR(VLOOKUP(J24,LISTADOS!$A$2:$B$5,2,FALSE),"")</f>
        <v>LEGANES</v>
      </c>
      <c r="L24" s="23" t="s">
        <v>71</v>
      </c>
      <c r="M24" s="37" t="s">
        <v>75</v>
      </c>
      <c r="N24" s="36" t="str">
        <f>IFERROR(VLOOKUP(M24,LISTADOS!$D$2:$E$5,2,FALSE),"")</f>
        <v>JEFE ALMACEN</v>
      </c>
      <c r="O24" s="38">
        <f>VLOOKUP(M24,LISTADOS!$D$2:$F$5,3,FALSE)</f>
        <v>2600</v>
      </c>
      <c r="P24" s="39">
        <f>(VLOOKUP(M24,LISTADOS!$D$2:$G$5,4,FALSE)*O24)*Q24</f>
        <v>260</v>
      </c>
      <c r="Q24" s="53">
        <v>1</v>
      </c>
      <c r="R24" s="51">
        <f>IFERROR(NETWORKDAYS.INTL(IF(H24&lt;=DATE(2018,1,1),DATE(2018,1,1),IF(H24&gt;DATE(2018,1,31),"",H24)),DATE(2018,1,31),1,LISTADOS!$I$2:$I$15),"")</f>
        <v>22</v>
      </c>
      <c r="S24" s="51">
        <f>IFERROR(NETWORKDAYS.INTL(IF(H24&lt;=DATE(2018,2,1),DATE(2018,2,1),IF(J24&gt;LISTADOS!K4ECHA(2018,2,28),"",J24)),DATE(2018,2,28),1,LISTADOS!$I$2:$I$15),"")</f>
        <v>20</v>
      </c>
      <c r="T24" s="51">
        <f>IFERROR(NETWORKDAYS.INTL(IF(H24&lt;=DATE(2018,3,1),DATE(2018,3,1),IF(K24&gt;LISTADOS!K4ECHA(2018,3,31),"",H24)),DATE(2018,3,31),1,LISTADOS!$I$2:$I$15),"")</f>
        <v>20</v>
      </c>
      <c r="U24" s="56">
        <f t="shared" si="1"/>
        <v>62</v>
      </c>
    </row>
    <row r="25" spans="1:21" x14ac:dyDescent="0.3">
      <c r="A25" s="40">
        <f t="shared" si="2"/>
        <v>33</v>
      </c>
      <c r="B25" s="24" t="s">
        <v>45</v>
      </c>
      <c r="C25" s="24" t="s">
        <v>62</v>
      </c>
      <c r="D25" s="24" t="s">
        <v>64</v>
      </c>
      <c r="E25" s="41">
        <v>28104</v>
      </c>
      <c r="F25" s="49">
        <f t="shared" ca="1" si="0"/>
        <v>41.276712328767125</v>
      </c>
      <c r="G25" s="24" t="s">
        <v>47</v>
      </c>
      <c r="H25" s="41">
        <v>37851</v>
      </c>
      <c r="I25" s="61" t="str">
        <f>VLOOKUP(MONTH(H25),LISTADOS!$K$2:$L$13,2,FALSE)</f>
        <v>AGOSTO</v>
      </c>
      <c r="J25" s="24" t="s">
        <v>16</v>
      </c>
      <c r="K25" s="42" t="str">
        <f>IFERROR(VLOOKUP(J25,LISTADOS!$A$2:$B$5,2,FALSE),"")</f>
        <v>QUINTANAR</v>
      </c>
      <c r="L25" s="24" t="s">
        <v>70</v>
      </c>
      <c r="M25" s="43" t="s">
        <v>77</v>
      </c>
      <c r="N25" s="42" t="str">
        <f>IFERROR(VLOOKUP(M25,LISTADOS!$D$2:$E$5,2,FALSE),"")</f>
        <v>TECNICO VENTAS</v>
      </c>
      <c r="O25" s="44">
        <f>VLOOKUP(M25,LISTADOS!$D$2:$F$5,3,FALSE)</f>
        <v>1200</v>
      </c>
      <c r="P25" s="45">
        <f>(VLOOKUP(M25,LISTADOS!$D$2:$G$5,4,FALSE)*O25)*Q25</f>
        <v>630</v>
      </c>
      <c r="Q25" s="54">
        <v>1.5</v>
      </c>
      <c r="R25" s="52">
        <f>IFERROR(NETWORKDAYS.INTL(IF(H25&lt;=DATE(2018,1,1),DATE(2018,1,1),IF(H25&gt;DATE(2018,1,31),"",H25)),DATE(2018,1,31),1,LISTADOS!$I$2:$I$15),"")</f>
        <v>22</v>
      </c>
      <c r="S25" s="52">
        <f>IFERROR(NETWORKDAYS.INTL(IF(H25&lt;=DATE(2018,2,1),DATE(2018,2,1),IF(J25&gt;LISTADOS!K4ECHA(2018,2,28),"",J25)),DATE(2018,2,28),1,LISTADOS!$I$2:$I$15),"")</f>
        <v>20</v>
      </c>
      <c r="T25" s="52">
        <f>IFERROR(NETWORKDAYS.INTL(IF(H25&lt;=DATE(2018,3,1),DATE(2018,3,1),IF(K25&gt;LISTADOS!K4ECHA(2018,3,31),"",H25)),DATE(2018,3,31),1,LISTADOS!$I$2:$I$15),"")</f>
        <v>20</v>
      </c>
      <c r="U25" s="57">
        <f t="shared" si="1"/>
        <v>62</v>
      </c>
    </row>
  </sheetData>
  <dataValidations count="5">
    <dataValidation type="list" allowBlank="1" showInputMessage="1" showErrorMessage="1" sqref="J2:J25">
      <formula1>CENTROS</formula1>
    </dataValidation>
    <dataValidation type="custom" allowBlank="1" showInputMessage="1" showErrorMessage="1" sqref="A1 A104:A1048562">
      <formula1>COUNTIF(A:A,A2)=1</formula1>
    </dataValidation>
    <dataValidation type="custom" allowBlank="1" showInputMessage="1" showErrorMessage="1" sqref="A1048563:A1048576">
      <formula1>COUNTIF(A:A,A1)=1</formula1>
    </dataValidation>
    <dataValidation type="custom" allowBlank="1" showInputMessage="1" showErrorMessage="1" sqref="A2:A103">
      <formula1>COUNTIF($A$2:$A$25,A2)=1</formula1>
    </dataValidation>
    <dataValidation type="decimal" allowBlank="1" showInputMessage="1" showErrorMessage="1" sqref="O1:O1048576">
      <formula1>0</formula1>
      <formula2>2500</formula2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LISTADOS!$D$2:$D$5</xm:f>
          </x14:formula1>
          <xm:sqref>M2:M25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10" sqref="E10"/>
    </sheetView>
  </sheetViews>
  <sheetFormatPr baseColWidth="10" defaultRowHeight="14.4" x14ac:dyDescent="0.3"/>
  <cols>
    <col min="1" max="2" width="19.109375" customWidth="1"/>
    <col min="3" max="3" width="34.88671875" style="1" customWidth="1"/>
  </cols>
  <sheetData>
    <row r="1" spans="1:6" s="4" customFormat="1" x14ac:dyDescent="0.3">
      <c r="A1" s="87" t="s">
        <v>118</v>
      </c>
      <c r="B1" s="87" t="s">
        <v>117</v>
      </c>
      <c r="C1" s="87" t="s">
        <v>119</v>
      </c>
    </row>
    <row r="2" spans="1:6" x14ac:dyDescent="0.3">
      <c r="A2" s="88" t="s">
        <v>120</v>
      </c>
      <c r="B2" s="1" t="s">
        <v>122</v>
      </c>
      <c r="C2" s="1" t="str">
        <f>LEFT(B2,2)&amp;" -"</f>
        <v>PR -</v>
      </c>
    </row>
    <row r="3" spans="1:6" x14ac:dyDescent="0.3">
      <c r="A3" s="88" t="s">
        <v>121</v>
      </c>
      <c r="B3" s="1" t="s">
        <v>122</v>
      </c>
      <c r="C3" s="1" t="str">
        <f>RIGHT(B3,2)</f>
        <v>AS</v>
      </c>
    </row>
    <row r="4" spans="1:6" x14ac:dyDescent="0.3">
      <c r="A4" t="s">
        <v>123</v>
      </c>
      <c r="B4" s="1" t="s">
        <v>122</v>
      </c>
      <c r="C4" s="1" t="str">
        <f>MID(B4,4,1)</f>
        <v>E</v>
      </c>
    </row>
    <row r="5" spans="1:6" x14ac:dyDescent="0.3">
      <c r="A5" t="s">
        <v>124</v>
      </c>
      <c r="B5" s="1" t="s">
        <v>122</v>
      </c>
      <c r="C5" s="1" t="str">
        <f>CONCATENATE(B5," PEPE ",B5)</f>
        <v>PRUEBAS PEPE PRUEBAS</v>
      </c>
    </row>
    <row r="6" spans="1:6" x14ac:dyDescent="0.3">
      <c r="A6" t="s">
        <v>125</v>
      </c>
      <c r="B6" s="1" t="s">
        <v>122</v>
      </c>
      <c r="C6" s="1">
        <f>LEN(B6)</f>
        <v>7</v>
      </c>
    </row>
    <row r="7" spans="1:6" x14ac:dyDescent="0.3">
      <c r="A7" t="s">
        <v>126</v>
      </c>
      <c r="B7" s="1" t="s">
        <v>128</v>
      </c>
      <c r="C7" s="1" t="str">
        <f>UPPER(B7)</f>
        <v>PRUEBAS</v>
      </c>
    </row>
    <row r="8" spans="1:6" x14ac:dyDescent="0.3">
      <c r="A8" t="s">
        <v>127</v>
      </c>
      <c r="B8" s="1" t="s">
        <v>122</v>
      </c>
      <c r="C8" s="1" t="str">
        <f>LOWER(B8)</f>
        <v>pruebas</v>
      </c>
    </row>
    <row r="9" spans="1:6" x14ac:dyDescent="0.3">
      <c r="A9" t="s">
        <v>129</v>
      </c>
      <c r="B9" s="1" t="s">
        <v>122</v>
      </c>
      <c r="C9" s="1" t="str">
        <f>IF(B9="PRUEBAS","PONE PRUEBAS","HAS BORRADO PRUEBAS")</f>
        <v>PONE PRUEBAS</v>
      </c>
    </row>
    <row r="10" spans="1:6" x14ac:dyDescent="0.3">
      <c r="A10" t="s">
        <v>130</v>
      </c>
      <c r="B10" s="1" t="s">
        <v>122</v>
      </c>
      <c r="C10" s="1" t="str">
        <f ca="1">IF(AND(B10="pruebas",MONTH(TODAY())=3),"SE CUMPLEN LAS CONDICIONES"," NO SE CUMPLEN")</f>
        <v>SE CUMPLEN LAS CONDICIONES</v>
      </c>
    </row>
    <row r="11" spans="1:6" x14ac:dyDescent="0.3">
      <c r="A11" t="s">
        <v>131</v>
      </c>
      <c r="B11" s="1" t="s">
        <v>122</v>
      </c>
      <c r="C11" s="1" t="str">
        <f>IF(OR(B11="PRUEBAS",B11="PRUEBA"),"UNA ES CIERTA","NINGUNA ES VERDAD")</f>
        <v>UNA ES CIERTA</v>
      </c>
    </row>
    <row r="12" spans="1:6" x14ac:dyDescent="0.3">
      <c r="A12" t="s">
        <v>132</v>
      </c>
      <c r="B12" s="1">
        <v>10</v>
      </c>
      <c r="C12" s="1" t="str">
        <f>IFERROR(B12/0,"DIVIDIDO POR CERO")</f>
        <v>DIVIDIDO POR CERO</v>
      </c>
      <c r="E12" s="92">
        <v>1</v>
      </c>
      <c r="F12" s="93" t="s">
        <v>10</v>
      </c>
    </row>
    <row r="13" spans="1:6" x14ac:dyDescent="0.3">
      <c r="A13" t="s">
        <v>145</v>
      </c>
      <c r="B13" s="1">
        <v>1</v>
      </c>
      <c r="C13" s="1" t="str">
        <f>VLOOKUP(B13,$E$12:$F$14,2,FALSE)</f>
        <v>ENERO</v>
      </c>
      <c r="E13" s="94">
        <v>2</v>
      </c>
      <c r="F13" s="95" t="s">
        <v>11</v>
      </c>
    </row>
    <row r="14" spans="1:6" x14ac:dyDescent="0.3">
      <c r="A14" t="s">
        <v>133</v>
      </c>
      <c r="C14" s="89">
        <f ca="1">NOW()</f>
        <v>43170.995057986111</v>
      </c>
      <c r="E14" s="96">
        <v>3</v>
      </c>
      <c r="F14" s="97" t="s">
        <v>12</v>
      </c>
    </row>
    <row r="15" spans="1:6" x14ac:dyDescent="0.3">
      <c r="A15" t="s">
        <v>134</v>
      </c>
      <c r="C15" s="90">
        <f ca="1">TODAY()</f>
        <v>43170</v>
      </c>
    </row>
    <row r="16" spans="1:6" x14ac:dyDescent="0.3">
      <c r="A16" t="s">
        <v>135</v>
      </c>
      <c r="C16" s="1">
        <f ca="1">DAY(TODAY())</f>
        <v>11</v>
      </c>
    </row>
    <row r="17" spans="1:3" x14ac:dyDescent="0.3">
      <c r="A17" t="s">
        <v>101</v>
      </c>
      <c r="C17" s="1">
        <f ca="1">MONTH(TODAY())</f>
        <v>3</v>
      </c>
    </row>
    <row r="18" spans="1:3" x14ac:dyDescent="0.3">
      <c r="A18" t="s">
        <v>136</v>
      </c>
      <c r="C18" s="1">
        <f ca="1">YEAR(TODAY())</f>
        <v>2018</v>
      </c>
    </row>
    <row r="19" spans="1:3" x14ac:dyDescent="0.3">
      <c r="A19" t="s">
        <v>137</v>
      </c>
      <c r="C19" s="90">
        <f ca="1">DATE(C18,C17,C16)</f>
        <v>43170</v>
      </c>
    </row>
    <row r="20" spans="1:3" x14ac:dyDescent="0.3">
      <c r="A20" t="s">
        <v>138</v>
      </c>
      <c r="B20" s="90">
        <v>43141</v>
      </c>
      <c r="C20" s="90">
        <f>WORKDAY(B20,7,)</f>
        <v>43151</v>
      </c>
    </row>
    <row r="21" spans="1:3" x14ac:dyDescent="0.3">
      <c r="A21" t="s">
        <v>139</v>
      </c>
      <c r="B21" s="90">
        <f>B20</f>
        <v>43141</v>
      </c>
      <c r="C21" s="90">
        <f>WORKDAY.INTL(B21,7,2,)</f>
        <v>43152</v>
      </c>
    </row>
    <row r="22" spans="1:3" x14ac:dyDescent="0.3">
      <c r="A22" t="s">
        <v>140</v>
      </c>
      <c r="B22" s="90">
        <f>B21</f>
        <v>43141</v>
      </c>
      <c r="C22" s="91">
        <f>NETWORKDAYS.INTL(B22,DATE(2018,12,31),1,25/12/2018)</f>
        <v>231</v>
      </c>
    </row>
    <row r="23" spans="1:3" x14ac:dyDescent="0.3">
      <c r="A23" t="s">
        <v>141</v>
      </c>
      <c r="B23" s="90">
        <f>B22</f>
        <v>43141</v>
      </c>
      <c r="C23" s="91">
        <f>NETWORKDAYS.INTL(B23,DATE(2018,12,31),4,DATE(2018,12,25))</f>
        <v>232</v>
      </c>
    </row>
    <row r="24" spans="1:3" x14ac:dyDescent="0.3">
      <c r="A24" t="s">
        <v>142</v>
      </c>
      <c r="B24" s="90">
        <f>B23</f>
        <v>43141</v>
      </c>
      <c r="C24" s="1">
        <f>WEEKDAY(B24)</f>
        <v>7</v>
      </c>
    </row>
    <row r="25" spans="1:3" x14ac:dyDescent="0.3">
      <c r="A25" t="s">
        <v>143</v>
      </c>
      <c r="B25" s="1">
        <v>-25</v>
      </c>
      <c r="C25" s="1">
        <f>ABS(B25)</f>
        <v>25</v>
      </c>
    </row>
    <row r="26" spans="1:3" x14ac:dyDescent="0.3">
      <c r="A26" t="s">
        <v>144</v>
      </c>
      <c r="C26" s="1">
        <f ca="1">RANDBETWEEN(0,150)</f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C5" sqref="C5"/>
    </sheetView>
  </sheetViews>
  <sheetFormatPr baseColWidth="10" defaultRowHeight="14.4" x14ac:dyDescent="0.3"/>
  <cols>
    <col min="1" max="1" width="18.6640625" style="3" customWidth="1"/>
    <col min="2" max="32" width="5.88671875" customWidth="1"/>
  </cols>
  <sheetData>
    <row r="1" spans="1:32" s="86" customFormat="1" x14ac:dyDescent="0.3">
      <c r="A1" s="79" t="s">
        <v>102</v>
      </c>
      <c r="B1" s="83">
        <v>1</v>
      </c>
      <c r="C1" s="84">
        <v>2</v>
      </c>
      <c r="D1" s="84">
        <v>3</v>
      </c>
      <c r="E1" s="84">
        <v>4</v>
      </c>
      <c r="F1" s="84">
        <v>5</v>
      </c>
      <c r="G1" s="84">
        <v>6</v>
      </c>
      <c r="H1" s="84">
        <v>7</v>
      </c>
      <c r="I1" s="84">
        <v>8</v>
      </c>
      <c r="J1" s="84">
        <v>9</v>
      </c>
      <c r="K1" s="84">
        <v>10</v>
      </c>
      <c r="L1" s="84">
        <v>11</v>
      </c>
      <c r="M1" s="84">
        <v>12</v>
      </c>
      <c r="N1" s="84">
        <v>13</v>
      </c>
      <c r="O1" s="84">
        <v>14</v>
      </c>
      <c r="P1" s="84">
        <v>15</v>
      </c>
      <c r="Q1" s="84">
        <v>16</v>
      </c>
      <c r="R1" s="84">
        <v>17</v>
      </c>
      <c r="S1" s="84">
        <v>18</v>
      </c>
      <c r="T1" s="84">
        <v>19</v>
      </c>
      <c r="U1" s="84">
        <v>20</v>
      </c>
      <c r="V1" s="84">
        <v>21</v>
      </c>
      <c r="W1" s="84">
        <v>22</v>
      </c>
      <c r="X1" s="84">
        <v>23</v>
      </c>
      <c r="Y1" s="84">
        <v>24</v>
      </c>
      <c r="Z1" s="84">
        <v>25</v>
      </c>
      <c r="AA1" s="84">
        <v>26</v>
      </c>
      <c r="AB1" s="84">
        <v>27</v>
      </c>
      <c r="AC1" s="84">
        <v>28</v>
      </c>
      <c r="AD1" s="84">
        <v>29</v>
      </c>
      <c r="AE1" s="84">
        <v>30</v>
      </c>
      <c r="AF1" s="85">
        <v>31</v>
      </c>
    </row>
    <row r="2" spans="1:32" x14ac:dyDescent="0.3">
      <c r="A2" s="80" t="s">
        <v>10</v>
      </c>
      <c r="B2" s="28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70"/>
    </row>
    <row r="3" spans="1:32" x14ac:dyDescent="0.3">
      <c r="A3" s="81" t="s">
        <v>11</v>
      </c>
      <c r="B3" s="34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2"/>
    </row>
    <row r="4" spans="1:32" x14ac:dyDescent="0.3">
      <c r="A4" s="81" t="s">
        <v>12</v>
      </c>
      <c r="B4" s="34"/>
      <c r="C4" s="71"/>
      <c r="D4" s="71"/>
      <c r="E4" s="71"/>
      <c r="F4" s="71"/>
      <c r="G4" s="71" t="s">
        <v>110</v>
      </c>
      <c r="H4" s="71" t="s">
        <v>110</v>
      </c>
      <c r="I4" s="71" t="s">
        <v>110</v>
      </c>
      <c r="J4" s="71" t="s">
        <v>110</v>
      </c>
      <c r="K4" s="71" t="s">
        <v>110</v>
      </c>
      <c r="L4" s="71" t="s">
        <v>110</v>
      </c>
      <c r="M4" s="71" t="s">
        <v>110</v>
      </c>
      <c r="N4" s="71" t="s">
        <v>110</v>
      </c>
      <c r="O4" s="71" t="s">
        <v>110</v>
      </c>
      <c r="P4" s="71" t="s">
        <v>110</v>
      </c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2"/>
    </row>
    <row r="5" spans="1:32" x14ac:dyDescent="0.3">
      <c r="A5" s="81" t="s">
        <v>91</v>
      </c>
      <c r="B5" s="34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2"/>
    </row>
    <row r="6" spans="1:32" x14ac:dyDescent="0.3">
      <c r="A6" s="81" t="s">
        <v>92</v>
      </c>
      <c r="B6" s="34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 t="s">
        <v>110</v>
      </c>
      <c r="R6" s="71" t="s">
        <v>110</v>
      </c>
      <c r="S6" s="71" t="s">
        <v>110</v>
      </c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2"/>
    </row>
    <row r="7" spans="1:32" x14ac:dyDescent="0.3">
      <c r="A7" s="81" t="s">
        <v>93</v>
      </c>
      <c r="B7" s="34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2"/>
    </row>
    <row r="8" spans="1:32" x14ac:dyDescent="0.3">
      <c r="A8" s="81" t="s">
        <v>94</v>
      </c>
      <c r="B8" s="34"/>
      <c r="C8" s="71"/>
      <c r="D8" s="71"/>
      <c r="E8" s="71"/>
      <c r="F8" s="71"/>
      <c r="G8" s="71"/>
      <c r="H8" s="71"/>
      <c r="I8" s="71" t="s">
        <v>111</v>
      </c>
      <c r="J8" s="71" t="s">
        <v>111</v>
      </c>
      <c r="K8" s="71" t="s">
        <v>111</v>
      </c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2"/>
    </row>
    <row r="9" spans="1:32" x14ac:dyDescent="0.3">
      <c r="A9" s="81" t="s">
        <v>95</v>
      </c>
      <c r="B9" s="3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 t="s">
        <v>111</v>
      </c>
      <c r="W9" s="71"/>
      <c r="X9" s="71"/>
      <c r="Y9" s="71"/>
      <c r="Z9" s="71"/>
      <c r="AA9" s="71"/>
      <c r="AB9" s="71"/>
      <c r="AC9" s="71"/>
      <c r="AD9" s="71"/>
      <c r="AE9" s="71"/>
      <c r="AF9" s="72"/>
    </row>
    <row r="10" spans="1:32" x14ac:dyDescent="0.3">
      <c r="A10" s="81" t="s">
        <v>96</v>
      </c>
      <c r="B10" s="3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 t="s">
        <v>112</v>
      </c>
      <c r="O10" s="71"/>
      <c r="P10" s="71"/>
      <c r="Q10" s="71"/>
      <c r="R10" s="71"/>
      <c r="S10" s="71"/>
      <c r="T10" s="71"/>
      <c r="U10" s="71"/>
      <c r="V10" s="71" t="s">
        <v>112</v>
      </c>
      <c r="W10" s="71"/>
      <c r="X10" s="71"/>
      <c r="Y10" s="71"/>
      <c r="Z10" s="71"/>
      <c r="AA10" s="71"/>
      <c r="AB10" s="71"/>
      <c r="AC10" s="71"/>
      <c r="AD10" s="71"/>
      <c r="AE10" s="71"/>
      <c r="AF10" s="72"/>
    </row>
    <row r="11" spans="1:32" x14ac:dyDescent="0.3">
      <c r="A11" s="81" t="s">
        <v>97</v>
      </c>
      <c r="B11" s="3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2"/>
    </row>
    <row r="12" spans="1:32" x14ac:dyDescent="0.3">
      <c r="A12" s="81" t="s">
        <v>98</v>
      </c>
      <c r="B12" s="34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 t="s">
        <v>112</v>
      </c>
      <c r="AA12" s="71"/>
      <c r="AB12" s="71"/>
      <c r="AC12" s="71"/>
      <c r="AD12" s="71"/>
      <c r="AE12" s="71"/>
      <c r="AF12" s="72"/>
    </row>
    <row r="13" spans="1:32" x14ac:dyDescent="0.3">
      <c r="A13" s="82" t="s">
        <v>99</v>
      </c>
      <c r="B13" s="40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4"/>
    </row>
    <row r="15" spans="1:32" x14ac:dyDescent="0.3">
      <c r="B15" s="4" t="s">
        <v>107</v>
      </c>
      <c r="C15" t="s">
        <v>108</v>
      </c>
      <c r="D15" t="s">
        <v>109</v>
      </c>
    </row>
    <row r="16" spans="1:32" x14ac:dyDescent="0.3">
      <c r="A16" s="3" t="s">
        <v>103</v>
      </c>
      <c r="B16">
        <v>30</v>
      </c>
      <c r="C16">
        <f>COUNTIF($B$2:$AF$13,LEFT(A16,1))</f>
        <v>13</v>
      </c>
      <c r="D16">
        <f>B16-C16</f>
        <v>17</v>
      </c>
    </row>
    <row r="17" spans="1:4" x14ac:dyDescent="0.3">
      <c r="A17" s="3" t="s">
        <v>104</v>
      </c>
      <c r="B17">
        <v>4</v>
      </c>
      <c r="C17">
        <f t="shared" ref="C17:C19" si="0">COUNTIF($B$2:$AF$13,LEFT(A17,1))</f>
        <v>4</v>
      </c>
      <c r="D17">
        <f t="shared" ref="D17:D19" si="1">B17-C17</f>
        <v>0</v>
      </c>
    </row>
    <row r="18" spans="1:4" x14ac:dyDescent="0.3">
      <c r="A18" s="3" t="s">
        <v>105</v>
      </c>
      <c r="B18">
        <v>3</v>
      </c>
      <c r="C18">
        <f t="shared" si="0"/>
        <v>0</v>
      </c>
      <c r="D18">
        <f t="shared" si="1"/>
        <v>3</v>
      </c>
    </row>
    <row r="19" spans="1:4" x14ac:dyDescent="0.3">
      <c r="A19" s="3" t="s">
        <v>106</v>
      </c>
      <c r="B19">
        <v>3</v>
      </c>
      <c r="C19">
        <f t="shared" si="0"/>
        <v>3</v>
      </c>
      <c r="D19">
        <f t="shared" si="1"/>
        <v>0</v>
      </c>
    </row>
  </sheetData>
  <conditionalFormatting sqref="B2:AF13">
    <cfRule type="cellIs" dxfId="2" priority="1" operator="equal">
      <formula>"M"</formula>
    </cfRule>
    <cfRule type="cellIs" dxfId="1" priority="2" operator="equal">
      <formula>"P"</formula>
    </cfRule>
    <cfRule type="cellIs" dxfId="0" priority="3" operator="equal">
      <formula>"V"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C1" zoomScale="140" zoomScaleNormal="140" workbookViewId="0">
      <selection activeCell="E11" sqref="E11"/>
    </sheetView>
  </sheetViews>
  <sheetFormatPr baseColWidth="10" defaultRowHeight="14.4" x14ac:dyDescent="0.3"/>
  <cols>
    <col min="1" max="1" width="16.6640625" bestFit="1" customWidth="1"/>
    <col min="2" max="2" width="14.44140625" customWidth="1"/>
    <col min="3" max="3" width="2.33203125" customWidth="1"/>
    <col min="4" max="4" width="16" style="1" customWidth="1"/>
    <col min="5" max="5" width="28.5546875" customWidth="1"/>
    <col min="6" max="6" width="14.5546875" style="7" customWidth="1"/>
    <col min="7" max="7" width="13.88671875" customWidth="1"/>
    <col min="8" max="8" width="1.33203125" customWidth="1"/>
    <col min="9" max="9" width="16.109375" style="1" customWidth="1"/>
    <col min="10" max="10" width="1.5546875" customWidth="1"/>
  </cols>
  <sheetData>
    <row r="1" spans="1:12" s="3" customFormat="1" x14ac:dyDescent="0.3">
      <c r="A1" s="2" t="s">
        <v>13</v>
      </c>
      <c r="B1" s="2" t="s">
        <v>18</v>
      </c>
      <c r="D1" s="6" t="s">
        <v>4</v>
      </c>
      <c r="E1" s="6" t="s">
        <v>73</v>
      </c>
      <c r="F1" s="8" t="s">
        <v>82</v>
      </c>
      <c r="G1" s="8" t="s">
        <v>83</v>
      </c>
      <c r="I1" s="16" t="s">
        <v>86</v>
      </c>
      <c r="K1" s="63" t="s">
        <v>100</v>
      </c>
      <c r="L1" s="64" t="s">
        <v>101</v>
      </c>
    </row>
    <row r="2" spans="1:12" x14ac:dyDescent="0.3">
      <c r="A2" t="s">
        <v>14</v>
      </c>
      <c r="B2" t="s">
        <v>19</v>
      </c>
      <c r="D2" s="5" t="s">
        <v>74</v>
      </c>
      <c r="E2" t="s">
        <v>78</v>
      </c>
      <c r="F2" s="7">
        <v>1150</v>
      </c>
      <c r="G2" s="9">
        <v>0.02</v>
      </c>
      <c r="I2" s="17">
        <v>43101</v>
      </c>
      <c r="K2" s="65">
        <v>1</v>
      </c>
      <c r="L2" s="66" t="s">
        <v>10</v>
      </c>
    </row>
    <row r="3" spans="1:12" x14ac:dyDescent="0.3">
      <c r="A3" t="s">
        <v>15</v>
      </c>
      <c r="B3" t="s">
        <v>20</v>
      </c>
      <c r="D3" s="5" t="s">
        <v>75</v>
      </c>
      <c r="E3" t="s">
        <v>79</v>
      </c>
      <c r="F3" s="7">
        <v>2600</v>
      </c>
      <c r="G3" s="9">
        <v>0.1</v>
      </c>
      <c r="I3" s="18">
        <v>43106</v>
      </c>
      <c r="K3" s="65">
        <v>2</v>
      </c>
      <c r="L3" s="66" t="s">
        <v>11</v>
      </c>
    </row>
    <row r="4" spans="1:12" x14ac:dyDescent="0.3">
      <c r="A4" t="s">
        <v>16</v>
      </c>
      <c r="B4" t="s">
        <v>21</v>
      </c>
      <c r="D4" s="5" t="s">
        <v>76</v>
      </c>
      <c r="E4" t="s">
        <v>80</v>
      </c>
      <c r="F4" s="7">
        <v>1350</v>
      </c>
      <c r="G4" s="9">
        <v>0.2</v>
      </c>
      <c r="I4" s="18">
        <v>43188</v>
      </c>
      <c r="K4" s="65">
        <v>3</v>
      </c>
      <c r="L4" s="66" t="s">
        <v>12</v>
      </c>
    </row>
    <row r="5" spans="1:12" x14ac:dyDescent="0.3">
      <c r="A5" t="s">
        <v>17</v>
      </c>
      <c r="B5" t="s">
        <v>22</v>
      </c>
      <c r="D5" s="5" t="s">
        <v>77</v>
      </c>
      <c r="E5" t="s">
        <v>81</v>
      </c>
      <c r="F5" s="7">
        <v>1200</v>
      </c>
      <c r="G5" s="9">
        <v>0.35</v>
      </c>
      <c r="I5" s="18">
        <v>43189</v>
      </c>
      <c r="K5" s="65">
        <v>4</v>
      </c>
      <c r="L5" s="66" t="s">
        <v>91</v>
      </c>
    </row>
    <row r="6" spans="1:12" x14ac:dyDescent="0.3">
      <c r="I6" s="18">
        <v>43221</v>
      </c>
      <c r="K6" s="65">
        <v>5</v>
      </c>
      <c r="L6" s="66" t="s">
        <v>92</v>
      </c>
    </row>
    <row r="7" spans="1:12" x14ac:dyDescent="0.3">
      <c r="I7" s="18">
        <v>43222</v>
      </c>
      <c r="K7" s="65">
        <v>6</v>
      </c>
      <c r="L7" s="66" t="s">
        <v>93</v>
      </c>
    </row>
    <row r="8" spans="1:12" x14ac:dyDescent="0.3">
      <c r="I8" s="18">
        <v>43235</v>
      </c>
      <c r="K8" s="65">
        <v>7</v>
      </c>
      <c r="L8" s="66" t="s">
        <v>94</v>
      </c>
    </row>
    <row r="9" spans="1:12" x14ac:dyDescent="0.3">
      <c r="I9" s="18">
        <v>43327</v>
      </c>
      <c r="K9" s="65">
        <v>8</v>
      </c>
      <c r="L9" s="66" t="s">
        <v>95</v>
      </c>
    </row>
    <row r="10" spans="1:12" x14ac:dyDescent="0.3">
      <c r="I10" s="18">
        <v>43385</v>
      </c>
      <c r="K10" s="65">
        <v>9</v>
      </c>
      <c r="L10" s="66" t="s">
        <v>96</v>
      </c>
    </row>
    <row r="11" spans="1:12" x14ac:dyDescent="0.3">
      <c r="I11" s="18">
        <v>43405</v>
      </c>
      <c r="K11" s="65">
        <v>10</v>
      </c>
      <c r="L11" s="66" t="s">
        <v>97</v>
      </c>
    </row>
    <row r="12" spans="1:12" x14ac:dyDescent="0.3">
      <c r="I12" s="18">
        <v>43413</v>
      </c>
      <c r="K12" s="65">
        <v>11</v>
      </c>
      <c r="L12" s="66" t="s">
        <v>98</v>
      </c>
    </row>
    <row r="13" spans="1:12" x14ac:dyDescent="0.3">
      <c r="I13" s="18">
        <v>43440</v>
      </c>
      <c r="K13" s="67">
        <v>12</v>
      </c>
      <c r="L13" s="68" t="s">
        <v>99</v>
      </c>
    </row>
    <row r="14" spans="1:12" x14ac:dyDescent="0.3">
      <c r="I14" s="18">
        <v>43442</v>
      </c>
    </row>
    <row r="15" spans="1:12" x14ac:dyDescent="0.3">
      <c r="I15" s="19">
        <v>43459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TABLA DINAMICA</vt:lpstr>
      <vt:lpstr>DATOS</vt:lpstr>
      <vt:lpstr>FUNCIONES</vt:lpstr>
      <vt:lpstr>CUADRO</vt:lpstr>
      <vt:lpstr>LISTADOS</vt:lpstr>
      <vt:lpstr>GRAFICO DINAMICO</vt:lpstr>
      <vt:lpstr>CENTROS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GANIMEDES</cp:lastModifiedBy>
  <dcterms:created xsi:type="dcterms:W3CDTF">2018-03-06T15:23:48Z</dcterms:created>
  <dcterms:modified xsi:type="dcterms:W3CDTF">2018-03-11T22:53:08Z</dcterms:modified>
</cp:coreProperties>
</file>